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tables/table1.xml" ContentType="application/vnd.openxmlformats-officedocument.spreadsheetml.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ФИН\2021\Requests 2021\Balances by customers\"/>
    </mc:Choice>
  </mc:AlternateContent>
  <bookViews>
    <workbookView xWindow="-120" yWindow="-120" windowWidth="29040" windowHeight="15840" tabRatio="901" firstSheet="2" activeTab="2"/>
  </bookViews>
  <sheets>
    <sheet name="Adjusted Ageing (2)" sheetId="9" state="hidden" r:id="rId1"/>
    <sheet name="Calculations &gt;&gt;" sheetId="16" r:id="rId2"/>
    <sheet name="Data for wholesale" sheetId="25" r:id="rId3"/>
    <sheet name="Adj Ageing by Brand" sheetId="7" r:id="rId4"/>
    <sheet name="TM1 weekly" sheetId="17" r:id="rId5"/>
    <sheet name="DATA 2" sheetId="26" r:id="rId6"/>
    <sheet name="AR Provision" sheetId="18" state="hidden" r:id="rId7"/>
    <sheet name="By Brands(for WCAP)" sheetId="10" r:id="rId8"/>
    <sheet name="Adjusted Ageing by Customer" sheetId="23" state="hidden" r:id="rId9"/>
    <sheet name="Pivots" sheetId="2" state="hidden" r:id="rId10"/>
    <sheet name="Sheet1" sheetId="24" state="hidden" r:id="rId11"/>
    <sheet name="Источник &gt;&gt;" sheetId="12" r:id="rId12"/>
    <sheet name="Отчет по покупателям УТ" sheetId="1" r:id="rId13"/>
    <sheet name="Справочники &gt;&gt;" sheetId="11" r:id="rId14"/>
    <sheet name="Credit Days" sheetId="4" r:id="rId15"/>
    <sheet name="Days Ranges" sheetId="5" r:id="rId16"/>
    <sheet name="Brands" sheetId="6" r:id="rId17"/>
    <sheet name="Check 1S 62 vs UT" sheetId="20" r:id="rId18"/>
    <sheet name="UT" sheetId="21" r:id="rId19"/>
    <sheet name="WB" sheetId="27" r:id="rId20"/>
    <sheet name="End of Mar Copy from УТ" sheetId="19" r:id="rId21"/>
    <sheet name="Щербакова" sheetId="28" r:id="rId22"/>
  </sheets>
  <externalReferences>
    <externalReference r:id="rId23"/>
  </externalReferences>
  <definedNames>
    <definedName name="_xlnm._FilterDatabase" localSheetId="3" hidden="1">'Adj Ageing by Brand'!$A$1:$AC$1000</definedName>
    <definedName name="_xlnm._FilterDatabase" localSheetId="17" hidden="1">'Check 1S 62 vs UT'!$A$6:$K$241</definedName>
    <definedName name="_xlnm._FilterDatabase" localSheetId="5" hidden="1">'DATA 2'!$A$1:$AK$1000</definedName>
    <definedName name="_xlnm._FilterDatabase" localSheetId="20" hidden="1">'End of Mar Copy from УТ'!$A$1:$O$380</definedName>
    <definedName name="_xlnm._FilterDatabase" localSheetId="19" hidden="1">WB!$S$6:$U$16</definedName>
    <definedName name="_xlnm._FilterDatabase" localSheetId="12" hidden="1">'Отчет по покупателям УТ'!$A$5:$X$2589</definedName>
  </definedNames>
  <calcPr calcId="152511"/>
  <pivotCaches>
    <pivotCache cacheId="4" r:id="rId24"/>
    <pivotCache cacheId="10" r:id="rId25"/>
    <pivotCache cacheId="40" r:id="rId26"/>
  </pivotCaches>
</workbook>
</file>

<file path=xl/calcChain.xml><?xml version="1.0" encoding="utf-8"?>
<calcChain xmlns="http://schemas.openxmlformats.org/spreadsheetml/2006/main">
  <c r="G162" i="7" l="1" a="1"/>
  <c r="G162" i="7" s="1"/>
  <c r="H162" i="7" a="1"/>
  <c r="H162" i="7" s="1"/>
  <c r="I162" i="7" a="1"/>
  <c r="I162" i="7" s="1"/>
  <c r="J162" i="7" a="1"/>
  <c r="J162" i="7" s="1"/>
  <c r="K162" i="7" a="1"/>
  <c r="K162" i="7" s="1"/>
  <c r="L162" i="7" a="1"/>
  <c r="L162" i="7" s="1"/>
  <c r="G163" i="7" a="1"/>
  <c r="G163" i="7" s="1"/>
  <c r="H163" i="7" a="1"/>
  <c r="H163" i="7" s="1"/>
  <c r="I163" i="7" a="1"/>
  <c r="I163" i="7" s="1"/>
  <c r="J163" i="7" a="1"/>
  <c r="J163" i="7" s="1"/>
  <c r="K163" i="7" a="1"/>
  <c r="K163" i="7" s="1"/>
  <c r="L163" i="7" a="1"/>
  <c r="L163" i="7" s="1"/>
  <c r="G164" i="7" a="1"/>
  <c r="G164" i="7" s="1"/>
  <c r="H164" i="7" a="1"/>
  <c r="H164" i="7" s="1"/>
  <c r="I164" i="7" a="1"/>
  <c r="I164" i="7"/>
  <c r="J164" i="7" a="1"/>
  <c r="J164" i="7" s="1"/>
  <c r="K164" i="7" a="1"/>
  <c r="K164" i="7" s="1"/>
  <c r="L164" i="7" a="1"/>
  <c r="L164" i="7" s="1"/>
  <c r="G165" i="7" a="1"/>
  <c r="G165" i="7" s="1"/>
  <c r="H165" i="7" a="1"/>
  <c r="H165" i="7" s="1"/>
  <c r="I165" i="7" a="1"/>
  <c r="I165" i="7" s="1"/>
  <c r="J165" i="7" a="1"/>
  <c r="J165" i="7" s="1"/>
  <c r="K165" i="7" a="1"/>
  <c r="K165" i="7" s="1"/>
  <c r="L165" i="7" a="1"/>
  <c r="L165" i="7" s="1"/>
  <c r="G166" i="7" a="1"/>
  <c r="G166" i="7" s="1"/>
  <c r="H166" i="7" a="1"/>
  <c r="H166" i="7" s="1"/>
  <c r="I166" i="7" a="1"/>
  <c r="I166" i="7" s="1"/>
  <c r="J166" i="7" a="1"/>
  <c r="J166" i="7" s="1"/>
  <c r="K166" i="7" a="1"/>
  <c r="K166" i="7" s="1"/>
  <c r="L166" i="7" a="1"/>
  <c r="L166" i="7" s="1"/>
  <c r="G167" i="7" a="1"/>
  <c r="G167" i="7" s="1"/>
  <c r="H167" i="7" a="1"/>
  <c r="H167" i="7" s="1"/>
  <c r="I167" i="7" a="1"/>
  <c r="I167" i="7" s="1"/>
  <c r="J167" i="7" a="1"/>
  <c r="J167" i="7" s="1"/>
  <c r="K167" i="7" a="1"/>
  <c r="K167" i="7" s="1"/>
  <c r="L167" i="7" a="1"/>
  <c r="L167" i="7" s="1"/>
  <c r="X167" i="7" l="1"/>
  <c r="T167" i="7"/>
  <c r="V167" i="7"/>
  <c r="Z167" i="7"/>
  <c r="AA167" i="7"/>
  <c r="Y167" i="7"/>
  <c r="U167" i="7"/>
  <c r="AB167" i="7"/>
  <c r="S167" i="7"/>
  <c r="M167" i="7"/>
  <c r="V166" i="7"/>
  <c r="X166" i="7"/>
  <c r="Z166" i="7"/>
  <c r="T166" i="7"/>
  <c r="AA166" i="7"/>
  <c r="W166" i="7"/>
  <c r="W167" i="7"/>
  <c r="Y166" i="7"/>
  <c r="U166" i="7"/>
  <c r="AB166" i="7"/>
  <c r="M166" i="7"/>
  <c r="R166" i="7" s="1"/>
  <c r="S166" i="7"/>
  <c r="AD166" i="7" s="1"/>
  <c r="T165" i="7"/>
  <c r="Z165" i="7"/>
  <c r="V165" i="7"/>
  <c r="X165" i="7"/>
  <c r="AA165" i="7"/>
  <c r="Y165" i="7"/>
  <c r="W165" i="7"/>
  <c r="U165" i="7"/>
  <c r="S165" i="7"/>
  <c r="AB165" i="7"/>
  <c r="AC165" i="7" s="1"/>
  <c r="M165" i="7"/>
  <c r="R165" i="7" s="1"/>
  <c r="Z164" i="7"/>
  <c r="V164" i="7"/>
  <c r="U164" i="7" s="1"/>
  <c r="T164" i="7"/>
  <c r="S164" i="7" s="1"/>
  <c r="AD164" i="7" s="1"/>
  <c r="X164" i="7"/>
  <c r="W164" i="7" s="1"/>
  <c r="AA164" i="7"/>
  <c r="Y164" i="7"/>
  <c r="AB164" i="7"/>
  <c r="M164" i="7"/>
  <c r="T163" i="7"/>
  <c r="V163" i="7"/>
  <c r="X163" i="7"/>
  <c r="Z163" i="7"/>
  <c r="AA163" i="7"/>
  <c r="Y163" i="7"/>
  <c r="W163" i="7"/>
  <c r="U163" i="7"/>
  <c r="S163" i="7"/>
  <c r="AD163" i="7" s="1"/>
  <c r="AB163" i="7"/>
  <c r="AC163" i="7" s="1"/>
  <c r="M163" i="7"/>
  <c r="R163" i="7" s="1"/>
  <c r="Z162" i="7"/>
  <c r="X162" i="7"/>
  <c r="T162" i="7"/>
  <c r="V162" i="7"/>
  <c r="AA162" i="7"/>
  <c r="Y162" i="7"/>
  <c r="W162" i="7"/>
  <c r="U162" i="7"/>
  <c r="M162" i="7"/>
  <c r="S162" i="7"/>
  <c r="AD162" i="7" s="1"/>
  <c r="AB162" i="7"/>
  <c r="AC162" i="7" s="1"/>
  <c r="I407" i="1"/>
  <c r="J407" i="1" s="1"/>
  <c r="I406" i="1"/>
  <c r="J406" i="1" s="1"/>
  <c r="I405" i="1"/>
  <c r="J405" i="1" s="1"/>
  <c r="I404" i="1"/>
  <c r="J404" i="1" s="1"/>
  <c r="I403" i="1"/>
  <c r="J403" i="1" s="1"/>
  <c r="I402" i="1"/>
  <c r="J402" i="1" s="1"/>
  <c r="I401" i="1"/>
  <c r="J401" i="1" s="1"/>
  <c r="I400" i="1"/>
  <c r="J400" i="1" s="1"/>
  <c r="I399" i="1"/>
  <c r="J399" i="1" s="1"/>
  <c r="I398" i="1"/>
  <c r="J398" i="1" s="1"/>
  <c r="I397" i="1"/>
  <c r="J397" i="1" s="1"/>
  <c r="I396" i="1"/>
  <c r="J396" i="1" s="1"/>
  <c r="I395" i="1"/>
  <c r="J395" i="1" s="1"/>
  <c r="I394" i="1"/>
  <c r="J394" i="1" s="1"/>
  <c r="I393" i="1"/>
  <c r="J393" i="1" s="1"/>
  <c r="I392" i="1"/>
  <c r="J392" i="1" s="1"/>
  <c r="I391" i="1"/>
  <c r="J391" i="1" s="1"/>
  <c r="I390" i="1"/>
  <c r="J390" i="1" s="1"/>
  <c r="I389" i="1"/>
  <c r="J389" i="1" s="1"/>
  <c r="I388" i="1"/>
  <c r="J388" i="1" s="1"/>
  <c r="I387" i="1"/>
  <c r="J387" i="1" s="1"/>
  <c r="I386" i="1"/>
  <c r="J386" i="1" s="1"/>
  <c r="I385" i="1"/>
  <c r="J385" i="1" s="1"/>
  <c r="I384" i="1"/>
  <c r="J384" i="1" s="1"/>
  <c r="I383" i="1"/>
  <c r="J383" i="1" s="1"/>
  <c r="I382" i="1"/>
  <c r="J382" i="1" s="1"/>
  <c r="I381" i="1"/>
  <c r="J381" i="1" s="1"/>
  <c r="I380" i="1"/>
  <c r="J380" i="1" s="1"/>
  <c r="I379" i="1"/>
  <c r="J379" i="1" s="1"/>
  <c r="I378" i="1"/>
  <c r="J378" i="1" s="1"/>
  <c r="I377" i="1"/>
  <c r="J377" i="1" s="1"/>
  <c r="I376" i="1"/>
  <c r="J376" i="1" s="1"/>
  <c r="I375" i="1"/>
  <c r="J375" i="1" s="1"/>
  <c r="I374" i="1"/>
  <c r="J374" i="1" s="1"/>
  <c r="I373" i="1"/>
  <c r="J373" i="1" s="1"/>
  <c r="I372" i="1"/>
  <c r="J372" i="1" s="1"/>
  <c r="I371" i="1"/>
  <c r="J371" i="1" s="1"/>
  <c r="I370" i="1"/>
  <c r="J370" i="1" s="1"/>
  <c r="I369" i="1"/>
  <c r="J369" i="1" s="1"/>
  <c r="I368" i="1"/>
  <c r="J368" i="1" s="1"/>
  <c r="I367" i="1"/>
  <c r="J367" i="1" s="1"/>
  <c r="I366" i="1"/>
  <c r="J366" i="1" s="1"/>
  <c r="I365" i="1"/>
  <c r="J365" i="1" s="1"/>
  <c r="I364" i="1"/>
  <c r="J364" i="1" s="1"/>
  <c r="I363" i="1"/>
  <c r="J363" i="1" s="1"/>
  <c r="I362" i="1"/>
  <c r="J362" i="1" s="1"/>
  <c r="I361" i="1"/>
  <c r="J361" i="1" s="1"/>
  <c r="I360" i="1"/>
  <c r="J360" i="1" s="1"/>
  <c r="I359" i="1"/>
  <c r="J359" i="1" s="1"/>
  <c r="I358" i="1"/>
  <c r="J358" i="1" s="1"/>
  <c r="I357" i="1"/>
  <c r="J357" i="1" s="1"/>
  <c r="I356" i="1"/>
  <c r="J356" i="1" s="1"/>
  <c r="I355" i="1"/>
  <c r="J355" i="1" s="1"/>
  <c r="I354" i="1"/>
  <c r="J354" i="1" s="1"/>
  <c r="I353" i="1"/>
  <c r="J353" i="1" s="1"/>
  <c r="I352" i="1"/>
  <c r="J352" i="1" s="1"/>
  <c r="I351" i="1"/>
  <c r="J351" i="1" s="1"/>
  <c r="I350" i="1"/>
  <c r="J350" i="1" s="1"/>
  <c r="I349" i="1"/>
  <c r="J349" i="1" s="1"/>
  <c r="I348" i="1"/>
  <c r="J348" i="1" s="1"/>
  <c r="I347" i="1"/>
  <c r="J347" i="1" s="1"/>
  <c r="I346" i="1"/>
  <c r="J346" i="1" s="1"/>
  <c r="I345" i="1"/>
  <c r="J345" i="1" s="1"/>
  <c r="I344" i="1"/>
  <c r="J344" i="1" s="1"/>
  <c r="I343" i="1"/>
  <c r="J343" i="1" s="1"/>
  <c r="I342" i="1"/>
  <c r="J342" i="1" s="1"/>
  <c r="I341" i="1"/>
  <c r="J341" i="1" s="1"/>
  <c r="I340" i="1"/>
  <c r="J340" i="1" s="1"/>
  <c r="I339" i="1"/>
  <c r="J339" i="1" s="1"/>
  <c r="I338" i="1"/>
  <c r="J338" i="1" s="1"/>
  <c r="I337" i="1"/>
  <c r="J337" i="1" s="1"/>
  <c r="I336" i="1"/>
  <c r="J336" i="1" s="1"/>
  <c r="I335" i="1"/>
  <c r="J335" i="1" s="1"/>
  <c r="I334" i="1"/>
  <c r="J334" i="1" s="1"/>
  <c r="I333" i="1"/>
  <c r="J333" i="1" s="1"/>
  <c r="I332" i="1"/>
  <c r="J332" i="1" s="1"/>
  <c r="I331" i="1"/>
  <c r="J331" i="1" s="1"/>
  <c r="I330" i="1"/>
  <c r="J330" i="1" s="1"/>
  <c r="I329" i="1"/>
  <c r="J329" i="1" s="1"/>
  <c r="I328" i="1"/>
  <c r="J328" i="1" s="1"/>
  <c r="I327" i="1"/>
  <c r="J327" i="1" s="1"/>
  <c r="I326" i="1"/>
  <c r="J326" i="1" s="1"/>
  <c r="I325" i="1"/>
  <c r="J325" i="1" s="1"/>
  <c r="I324" i="1"/>
  <c r="J324" i="1" s="1"/>
  <c r="I323" i="1"/>
  <c r="J323" i="1" s="1"/>
  <c r="I322" i="1"/>
  <c r="J322" i="1" s="1"/>
  <c r="I321" i="1"/>
  <c r="J321" i="1" s="1"/>
  <c r="I320" i="1"/>
  <c r="J320" i="1" s="1"/>
  <c r="I319" i="1"/>
  <c r="J319" i="1" s="1"/>
  <c r="I318" i="1"/>
  <c r="J318" i="1" s="1"/>
  <c r="I317" i="1"/>
  <c r="J317" i="1" s="1"/>
  <c r="I316" i="1"/>
  <c r="J316" i="1" s="1"/>
  <c r="I315" i="1"/>
  <c r="J315" i="1" s="1"/>
  <c r="I314" i="1"/>
  <c r="J314" i="1" s="1"/>
  <c r="I313" i="1"/>
  <c r="J313" i="1" s="1"/>
  <c r="I312" i="1"/>
  <c r="J312" i="1" s="1"/>
  <c r="I311" i="1"/>
  <c r="J311" i="1" s="1"/>
  <c r="I310" i="1"/>
  <c r="J310" i="1" s="1"/>
  <c r="I309" i="1"/>
  <c r="J309" i="1" s="1"/>
  <c r="I308" i="1"/>
  <c r="J308" i="1" s="1"/>
  <c r="I307" i="1"/>
  <c r="J307" i="1" s="1"/>
  <c r="I306" i="1"/>
  <c r="J306" i="1" s="1"/>
  <c r="I305" i="1"/>
  <c r="J305" i="1" s="1"/>
  <c r="I304" i="1"/>
  <c r="J304" i="1" s="1"/>
  <c r="I303" i="1"/>
  <c r="J303" i="1" s="1"/>
  <c r="I302" i="1"/>
  <c r="J302" i="1" s="1"/>
  <c r="I301" i="1"/>
  <c r="J301" i="1" s="1"/>
  <c r="I300" i="1"/>
  <c r="J300" i="1" s="1"/>
  <c r="I299" i="1"/>
  <c r="J299" i="1" s="1"/>
  <c r="I298" i="1"/>
  <c r="J298" i="1" s="1"/>
  <c r="I297" i="1"/>
  <c r="J297" i="1" s="1"/>
  <c r="I296" i="1"/>
  <c r="J296" i="1" s="1"/>
  <c r="I295" i="1"/>
  <c r="J295" i="1" s="1"/>
  <c r="I294" i="1"/>
  <c r="J294" i="1" s="1"/>
  <c r="I293" i="1"/>
  <c r="J293" i="1" s="1"/>
  <c r="I292" i="1"/>
  <c r="J292" i="1" s="1"/>
  <c r="I291" i="1"/>
  <c r="J291" i="1" s="1"/>
  <c r="I290" i="1"/>
  <c r="J290" i="1" s="1"/>
  <c r="I289" i="1"/>
  <c r="J289" i="1" s="1"/>
  <c r="I288" i="1"/>
  <c r="J288" i="1" s="1"/>
  <c r="I287" i="1"/>
  <c r="J287" i="1" s="1"/>
  <c r="I286" i="1"/>
  <c r="J286" i="1" s="1"/>
  <c r="I285" i="1"/>
  <c r="J285" i="1" s="1"/>
  <c r="I284" i="1"/>
  <c r="J284" i="1" s="1"/>
  <c r="I283" i="1"/>
  <c r="J283" i="1" s="1"/>
  <c r="I282" i="1"/>
  <c r="J282" i="1" s="1"/>
  <c r="I281" i="1"/>
  <c r="J281" i="1" s="1"/>
  <c r="I280" i="1"/>
  <c r="J280" i="1" s="1"/>
  <c r="I279" i="1"/>
  <c r="J279" i="1" s="1"/>
  <c r="I278" i="1"/>
  <c r="J278" i="1" s="1"/>
  <c r="I277" i="1"/>
  <c r="J277" i="1" s="1"/>
  <c r="I276" i="1"/>
  <c r="J276" i="1" s="1"/>
  <c r="I275" i="1"/>
  <c r="J275" i="1" s="1"/>
  <c r="I274" i="1"/>
  <c r="J274" i="1" s="1"/>
  <c r="I273" i="1"/>
  <c r="J273" i="1" s="1"/>
  <c r="I272" i="1"/>
  <c r="J272" i="1" s="1"/>
  <c r="I271" i="1"/>
  <c r="J271" i="1" s="1"/>
  <c r="I270" i="1"/>
  <c r="J270" i="1" s="1"/>
  <c r="I269" i="1"/>
  <c r="J269" i="1" s="1"/>
  <c r="I268" i="1"/>
  <c r="J268" i="1" s="1"/>
  <c r="I267" i="1"/>
  <c r="J267" i="1" s="1"/>
  <c r="I266" i="1"/>
  <c r="J266" i="1" s="1"/>
  <c r="I265" i="1"/>
  <c r="J265" i="1" s="1"/>
  <c r="I264" i="1"/>
  <c r="J264" i="1" s="1"/>
  <c r="I263" i="1"/>
  <c r="J263" i="1" s="1"/>
  <c r="I262" i="1"/>
  <c r="J262" i="1" s="1"/>
  <c r="I261" i="1"/>
  <c r="J261" i="1" s="1"/>
  <c r="I260" i="1"/>
  <c r="J260" i="1" s="1"/>
  <c r="I259" i="1"/>
  <c r="J259" i="1" s="1"/>
  <c r="I258" i="1"/>
  <c r="J258" i="1" s="1"/>
  <c r="I257" i="1"/>
  <c r="J257" i="1" s="1"/>
  <c r="I256" i="1"/>
  <c r="J256" i="1" s="1"/>
  <c r="I255" i="1"/>
  <c r="J255" i="1" s="1"/>
  <c r="I254" i="1"/>
  <c r="J254" i="1" s="1"/>
  <c r="I253" i="1"/>
  <c r="J253" i="1" s="1"/>
  <c r="I252" i="1"/>
  <c r="J252" i="1" s="1"/>
  <c r="I251" i="1"/>
  <c r="J251" i="1" s="1"/>
  <c r="I250" i="1"/>
  <c r="J250" i="1" s="1"/>
  <c r="I249" i="1"/>
  <c r="J249" i="1" s="1"/>
  <c r="I248" i="1"/>
  <c r="J248" i="1" s="1"/>
  <c r="I247" i="1"/>
  <c r="J247" i="1" s="1"/>
  <c r="I246" i="1"/>
  <c r="J246" i="1" s="1"/>
  <c r="I245" i="1"/>
  <c r="J245" i="1" s="1"/>
  <c r="I244" i="1"/>
  <c r="J244" i="1" s="1"/>
  <c r="I243" i="1"/>
  <c r="J243" i="1" s="1"/>
  <c r="I242" i="1"/>
  <c r="J242" i="1" s="1"/>
  <c r="I241" i="1"/>
  <c r="J241" i="1" s="1"/>
  <c r="I240" i="1"/>
  <c r="J240" i="1" s="1"/>
  <c r="I239" i="1"/>
  <c r="J239" i="1" s="1"/>
  <c r="I238" i="1"/>
  <c r="J238" i="1" s="1"/>
  <c r="I237" i="1"/>
  <c r="J237" i="1" s="1"/>
  <c r="I236" i="1"/>
  <c r="J236" i="1" s="1"/>
  <c r="I235" i="1"/>
  <c r="J235" i="1" s="1"/>
  <c r="I234" i="1"/>
  <c r="J234" i="1" s="1"/>
  <c r="I233" i="1"/>
  <c r="J233" i="1" s="1"/>
  <c r="I232" i="1"/>
  <c r="J232" i="1" s="1"/>
  <c r="I231" i="1"/>
  <c r="J231" i="1" s="1"/>
  <c r="I230" i="1"/>
  <c r="J230" i="1" s="1"/>
  <c r="I229" i="1"/>
  <c r="J229" i="1" s="1"/>
  <c r="I228" i="1"/>
  <c r="J228" i="1" s="1"/>
  <c r="I227" i="1"/>
  <c r="J227" i="1" s="1"/>
  <c r="I226" i="1"/>
  <c r="J226" i="1" s="1"/>
  <c r="I225" i="1"/>
  <c r="J225" i="1" s="1"/>
  <c r="I224" i="1"/>
  <c r="J224" i="1" s="1"/>
  <c r="I223" i="1"/>
  <c r="J223" i="1" s="1"/>
  <c r="I222" i="1"/>
  <c r="J222" i="1" s="1"/>
  <c r="I221" i="1"/>
  <c r="J221" i="1" s="1"/>
  <c r="I220" i="1"/>
  <c r="J220" i="1" s="1"/>
  <c r="I219" i="1"/>
  <c r="J219" i="1" s="1"/>
  <c r="I218" i="1"/>
  <c r="J218" i="1" s="1"/>
  <c r="I217" i="1"/>
  <c r="J217" i="1" s="1"/>
  <c r="I216" i="1"/>
  <c r="J216" i="1" s="1"/>
  <c r="I215" i="1"/>
  <c r="J215" i="1" s="1"/>
  <c r="I214" i="1"/>
  <c r="J214" i="1" s="1"/>
  <c r="I213" i="1"/>
  <c r="J213" i="1" s="1"/>
  <c r="I212" i="1"/>
  <c r="J212" i="1" s="1"/>
  <c r="I211" i="1"/>
  <c r="J211" i="1" s="1"/>
  <c r="I210" i="1"/>
  <c r="J210" i="1" s="1"/>
  <c r="I209" i="1"/>
  <c r="J209" i="1" s="1"/>
  <c r="I208" i="1"/>
  <c r="J208" i="1" s="1"/>
  <c r="I207" i="1"/>
  <c r="J207" i="1" s="1"/>
  <c r="I206" i="1"/>
  <c r="J206" i="1" s="1"/>
  <c r="I205" i="1"/>
  <c r="J205" i="1" s="1"/>
  <c r="I204" i="1"/>
  <c r="J204" i="1" s="1"/>
  <c r="I203" i="1"/>
  <c r="J203" i="1" s="1"/>
  <c r="I202" i="1"/>
  <c r="J202" i="1" s="1"/>
  <c r="I201" i="1"/>
  <c r="J201" i="1" s="1"/>
  <c r="I200" i="1"/>
  <c r="J200" i="1" s="1"/>
  <c r="I199" i="1"/>
  <c r="J199" i="1" s="1"/>
  <c r="I198" i="1"/>
  <c r="J198" i="1" s="1"/>
  <c r="I197" i="1"/>
  <c r="J197" i="1" s="1"/>
  <c r="I196" i="1"/>
  <c r="J196" i="1" s="1"/>
  <c r="I195" i="1"/>
  <c r="J195" i="1" s="1"/>
  <c r="I194" i="1"/>
  <c r="J194" i="1" s="1"/>
  <c r="I193" i="1"/>
  <c r="J193" i="1" s="1"/>
  <c r="I192" i="1"/>
  <c r="J192" i="1" s="1"/>
  <c r="I191" i="1"/>
  <c r="J191" i="1" s="1"/>
  <c r="I190" i="1"/>
  <c r="J190" i="1" s="1"/>
  <c r="I189" i="1"/>
  <c r="J189" i="1" s="1"/>
  <c r="I188" i="1"/>
  <c r="J188" i="1" s="1"/>
  <c r="I187" i="1"/>
  <c r="J187" i="1" s="1"/>
  <c r="I186" i="1"/>
  <c r="J186" i="1" s="1"/>
  <c r="I185" i="1"/>
  <c r="J185" i="1" s="1"/>
  <c r="I184" i="1"/>
  <c r="J184" i="1" s="1"/>
  <c r="I183" i="1"/>
  <c r="J183" i="1" s="1"/>
  <c r="I182" i="1"/>
  <c r="J182" i="1" s="1"/>
  <c r="I181" i="1"/>
  <c r="J181" i="1" s="1"/>
  <c r="I180" i="1"/>
  <c r="J180" i="1" s="1"/>
  <c r="I179" i="1"/>
  <c r="J179" i="1" s="1"/>
  <c r="I178" i="1"/>
  <c r="J178" i="1" s="1"/>
  <c r="I177" i="1"/>
  <c r="J177" i="1" s="1"/>
  <c r="I176" i="1"/>
  <c r="J176" i="1" s="1"/>
  <c r="I175" i="1"/>
  <c r="J175" i="1" s="1"/>
  <c r="I174" i="1"/>
  <c r="J174" i="1" s="1"/>
  <c r="I173" i="1"/>
  <c r="J173" i="1" s="1"/>
  <c r="I172" i="1"/>
  <c r="J172" i="1" s="1"/>
  <c r="I171" i="1"/>
  <c r="J171" i="1" s="1"/>
  <c r="I170" i="1"/>
  <c r="J170" i="1" s="1"/>
  <c r="I169" i="1"/>
  <c r="J169" i="1" s="1"/>
  <c r="I168" i="1"/>
  <c r="J168" i="1" s="1"/>
  <c r="I167" i="1"/>
  <c r="J167" i="1" s="1"/>
  <c r="I166" i="1"/>
  <c r="J166" i="1" s="1"/>
  <c r="I165" i="1"/>
  <c r="J165" i="1" s="1"/>
  <c r="I164" i="1"/>
  <c r="J164" i="1" s="1"/>
  <c r="I163" i="1"/>
  <c r="J163" i="1" s="1"/>
  <c r="I162" i="1"/>
  <c r="J162" i="1" s="1"/>
  <c r="I161" i="1"/>
  <c r="J161" i="1" s="1"/>
  <c r="I160" i="1"/>
  <c r="J160" i="1" s="1"/>
  <c r="I159" i="1"/>
  <c r="J159" i="1" s="1"/>
  <c r="I158" i="1"/>
  <c r="J158" i="1" s="1"/>
  <c r="I157" i="1"/>
  <c r="J157" i="1" s="1"/>
  <c r="I156" i="1"/>
  <c r="J156" i="1" s="1"/>
  <c r="I155" i="1"/>
  <c r="J155" i="1" s="1"/>
  <c r="I154" i="1"/>
  <c r="J154" i="1" s="1"/>
  <c r="I153" i="1"/>
  <c r="J153" i="1" s="1"/>
  <c r="I152" i="1"/>
  <c r="J152" i="1" s="1"/>
  <c r="I151" i="1"/>
  <c r="J151" i="1" s="1"/>
  <c r="I150" i="1"/>
  <c r="J150" i="1" s="1"/>
  <c r="I149" i="1"/>
  <c r="J149" i="1" s="1"/>
  <c r="I148" i="1"/>
  <c r="J148" i="1" s="1"/>
  <c r="I147" i="1"/>
  <c r="J147" i="1" s="1"/>
  <c r="I146" i="1"/>
  <c r="J146" i="1" s="1"/>
  <c r="I145" i="1"/>
  <c r="J145" i="1" s="1"/>
  <c r="I144" i="1"/>
  <c r="J144" i="1" s="1"/>
  <c r="I143" i="1"/>
  <c r="J143" i="1" s="1"/>
  <c r="I142" i="1"/>
  <c r="J142" i="1" s="1"/>
  <c r="I141" i="1"/>
  <c r="J141" i="1" s="1"/>
  <c r="I140" i="1"/>
  <c r="J140" i="1" s="1"/>
  <c r="I139" i="1"/>
  <c r="J139" i="1" s="1"/>
  <c r="I138" i="1"/>
  <c r="J138" i="1" s="1"/>
  <c r="I137" i="1"/>
  <c r="J137" i="1" s="1"/>
  <c r="I136" i="1"/>
  <c r="J136" i="1" s="1"/>
  <c r="I135" i="1"/>
  <c r="J135" i="1" s="1"/>
  <c r="I134" i="1"/>
  <c r="J134" i="1" s="1"/>
  <c r="I133" i="1"/>
  <c r="J133" i="1" s="1"/>
  <c r="I132" i="1"/>
  <c r="J132" i="1" s="1"/>
  <c r="I131" i="1"/>
  <c r="J131" i="1" s="1"/>
  <c r="I130" i="1"/>
  <c r="J130" i="1" s="1"/>
  <c r="I129" i="1"/>
  <c r="J129" i="1" s="1"/>
  <c r="I128" i="1"/>
  <c r="J128" i="1" s="1"/>
  <c r="I127" i="1"/>
  <c r="J127" i="1" s="1"/>
  <c r="I126" i="1"/>
  <c r="J126" i="1" s="1"/>
  <c r="I125" i="1"/>
  <c r="J125" i="1" s="1"/>
  <c r="I124" i="1"/>
  <c r="J124" i="1" s="1"/>
  <c r="I123" i="1"/>
  <c r="J123" i="1" s="1"/>
  <c r="I122" i="1"/>
  <c r="J122" i="1" s="1"/>
  <c r="I121" i="1"/>
  <c r="J121" i="1" s="1"/>
  <c r="I120" i="1"/>
  <c r="J120" i="1" s="1"/>
  <c r="I119" i="1"/>
  <c r="J119" i="1" s="1"/>
  <c r="I118" i="1"/>
  <c r="J118" i="1" s="1"/>
  <c r="I117" i="1"/>
  <c r="J117" i="1" s="1"/>
  <c r="I116" i="1"/>
  <c r="J116" i="1" s="1"/>
  <c r="I115" i="1"/>
  <c r="J115" i="1" s="1"/>
  <c r="I114" i="1"/>
  <c r="J114" i="1" s="1"/>
  <c r="I113" i="1"/>
  <c r="J113" i="1" s="1"/>
  <c r="I112" i="1"/>
  <c r="J112" i="1" s="1"/>
  <c r="I111" i="1"/>
  <c r="J111" i="1" s="1"/>
  <c r="I110" i="1"/>
  <c r="J110" i="1" s="1"/>
  <c r="I109" i="1"/>
  <c r="J109" i="1" s="1"/>
  <c r="I108" i="1"/>
  <c r="J108" i="1" s="1"/>
  <c r="I107" i="1"/>
  <c r="J107" i="1" s="1"/>
  <c r="I106" i="1"/>
  <c r="J106" i="1" s="1"/>
  <c r="I105" i="1"/>
  <c r="J105" i="1" s="1"/>
  <c r="I104" i="1"/>
  <c r="J104" i="1" s="1"/>
  <c r="I103" i="1"/>
  <c r="J103" i="1" s="1"/>
  <c r="I102" i="1"/>
  <c r="J102" i="1" s="1"/>
  <c r="I101" i="1"/>
  <c r="J101" i="1" s="1"/>
  <c r="I100" i="1"/>
  <c r="J100" i="1" s="1"/>
  <c r="I99" i="1"/>
  <c r="J99" i="1" s="1"/>
  <c r="I98" i="1"/>
  <c r="J98" i="1" s="1"/>
  <c r="I97" i="1"/>
  <c r="J97" i="1" s="1"/>
  <c r="I96" i="1"/>
  <c r="J96" i="1" s="1"/>
  <c r="I95" i="1"/>
  <c r="J95" i="1" s="1"/>
  <c r="I94" i="1"/>
  <c r="J94" i="1" s="1"/>
  <c r="I93" i="1"/>
  <c r="J93" i="1" s="1"/>
  <c r="I92" i="1"/>
  <c r="J92" i="1" s="1"/>
  <c r="I91" i="1"/>
  <c r="J91" i="1" s="1"/>
  <c r="I90" i="1"/>
  <c r="J90" i="1" s="1"/>
  <c r="I89" i="1"/>
  <c r="J89" i="1" s="1"/>
  <c r="I88" i="1"/>
  <c r="J88" i="1" s="1"/>
  <c r="I87" i="1"/>
  <c r="J87" i="1" s="1"/>
  <c r="I86" i="1"/>
  <c r="J86" i="1" s="1"/>
  <c r="I85" i="1"/>
  <c r="J85" i="1" s="1"/>
  <c r="I84" i="1"/>
  <c r="J84" i="1" s="1"/>
  <c r="I83" i="1"/>
  <c r="J83" i="1" s="1"/>
  <c r="I82" i="1"/>
  <c r="J82" i="1" s="1"/>
  <c r="I81" i="1"/>
  <c r="J81" i="1" s="1"/>
  <c r="I80" i="1"/>
  <c r="J80" i="1" s="1"/>
  <c r="I79" i="1"/>
  <c r="J79" i="1" s="1"/>
  <c r="I78" i="1"/>
  <c r="J78" i="1" s="1"/>
  <c r="I77" i="1"/>
  <c r="J77" i="1" s="1"/>
  <c r="I76" i="1"/>
  <c r="J76" i="1" s="1"/>
  <c r="I75" i="1"/>
  <c r="J75" i="1" s="1"/>
  <c r="I74" i="1"/>
  <c r="J74" i="1" s="1"/>
  <c r="I73" i="1"/>
  <c r="J73" i="1" s="1"/>
  <c r="I72" i="1"/>
  <c r="J72" i="1" s="1"/>
  <c r="I71" i="1"/>
  <c r="J71" i="1" s="1"/>
  <c r="I70" i="1"/>
  <c r="J70" i="1" s="1"/>
  <c r="I69" i="1"/>
  <c r="J69" i="1" s="1"/>
  <c r="I68" i="1"/>
  <c r="J68" i="1" s="1"/>
  <c r="I67" i="1"/>
  <c r="J67" i="1" s="1"/>
  <c r="I66" i="1"/>
  <c r="J66" i="1" s="1"/>
  <c r="I65" i="1"/>
  <c r="J65" i="1" s="1"/>
  <c r="I64" i="1"/>
  <c r="J64" i="1" s="1"/>
  <c r="I63" i="1"/>
  <c r="J63" i="1" s="1"/>
  <c r="I62" i="1"/>
  <c r="J62" i="1" s="1"/>
  <c r="I61" i="1"/>
  <c r="J61" i="1" s="1"/>
  <c r="I60" i="1"/>
  <c r="J60" i="1" s="1"/>
  <c r="I59" i="1"/>
  <c r="J59" i="1" s="1"/>
  <c r="I58" i="1"/>
  <c r="J58" i="1" s="1"/>
  <c r="I57" i="1"/>
  <c r="J57" i="1" s="1"/>
  <c r="I56" i="1"/>
  <c r="J56" i="1" s="1"/>
  <c r="I55" i="1"/>
  <c r="J55" i="1" s="1"/>
  <c r="I54" i="1"/>
  <c r="J54" i="1" s="1"/>
  <c r="I53" i="1"/>
  <c r="J53" i="1" s="1"/>
  <c r="I52" i="1"/>
  <c r="J52" i="1" s="1"/>
  <c r="I51" i="1"/>
  <c r="J51" i="1" s="1"/>
  <c r="I50" i="1"/>
  <c r="J50" i="1" s="1"/>
  <c r="I49" i="1"/>
  <c r="J49" i="1" s="1"/>
  <c r="I48" i="1"/>
  <c r="J48" i="1" s="1"/>
  <c r="I47" i="1"/>
  <c r="J47" i="1" s="1"/>
  <c r="I46" i="1"/>
  <c r="J46" i="1" s="1"/>
  <c r="I45" i="1"/>
  <c r="J45" i="1" s="1"/>
  <c r="I44" i="1"/>
  <c r="J44" i="1" s="1"/>
  <c r="I43" i="1"/>
  <c r="J43" i="1" s="1"/>
  <c r="I42" i="1"/>
  <c r="J42" i="1" s="1"/>
  <c r="I41" i="1"/>
  <c r="J41" i="1" s="1"/>
  <c r="I40" i="1"/>
  <c r="J40" i="1" s="1"/>
  <c r="I39" i="1"/>
  <c r="J39" i="1" s="1"/>
  <c r="I38" i="1"/>
  <c r="J38" i="1" s="1"/>
  <c r="I37" i="1"/>
  <c r="J37" i="1" s="1"/>
  <c r="I36" i="1"/>
  <c r="J36" i="1" s="1"/>
  <c r="I35" i="1"/>
  <c r="J35" i="1" s="1"/>
  <c r="I34" i="1"/>
  <c r="J34" i="1" s="1"/>
  <c r="I33" i="1"/>
  <c r="J33" i="1" s="1"/>
  <c r="I32" i="1"/>
  <c r="J32" i="1" s="1"/>
  <c r="I31" i="1"/>
  <c r="J31" i="1" s="1"/>
  <c r="I30" i="1"/>
  <c r="J30" i="1" s="1"/>
  <c r="I29" i="1"/>
  <c r="J29" i="1" s="1"/>
  <c r="I28" i="1"/>
  <c r="J28" i="1" s="1"/>
  <c r="I27" i="1"/>
  <c r="J27" i="1" s="1"/>
  <c r="I26" i="1"/>
  <c r="J26" i="1" s="1"/>
  <c r="I25" i="1"/>
  <c r="J25" i="1" s="1"/>
  <c r="I24" i="1"/>
  <c r="J24" i="1" s="1"/>
  <c r="I23" i="1"/>
  <c r="J23" i="1" s="1"/>
  <c r="I22" i="1"/>
  <c r="J22" i="1" s="1"/>
  <c r="I21" i="1"/>
  <c r="J21" i="1" s="1"/>
  <c r="I20" i="1"/>
  <c r="J20" i="1" s="1"/>
  <c r="I19" i="1"/>
  <c r="J19" i="1" s="1"/>
  <c r="I18" i="1"/>
  <c r="J18" i="1" s="1"/>
  <c r="I17" i="1"/>
  <c r="J17" i="1" s="1"/>
  <c r="I16" i="1"/>
  <c r="J16" i="1" s="1"/>
  <c r="I15" i="1"/>
  <c r="J15" i="1" s="1"/>
  <c r="I14" i="1"/>
  <c r="J14" i="1" s="1"/>
  <c r="I13" i="1"/>
  <c r="J13" i="1" s="1"/>
  <c r="I12" i="1"/>
  <c r="J12" i="1" s="1"/>
  <c r="I11" i="1"/>
  <c r="J11" i="1" s="1"/>
  <c r="I10" i="1"/>
  <c r="J10" i="1" s="1"/>
  <c r="I9" i="1"/>
  <c r="J9" i="1" s="1"/>
  <c r="I8" i="1"/>
  <c r="J8" i="1" s="1"/>
  <c r="I7" i="1"/>
  <c r="J7" i="1" s="1"/>
  <c r="AD165" i="7" l="1"/>
  <c r="R162" i="7"/>
  <c r="AC166" i="7"/>
  <c r="AD167" i="7"/>
  <c r="R164" i="7"/>
  <c r="R167" i="7"/>
  <c r="AC164" i="7"/>
  <c r="AC167" i="7"/>
  <c r="L18" i="28"/>
  <c r="W407" i="1" l="1"/>
  <c r="W406" i="1"/>
  <c r="W405" i="1"/>
  <c r="W404" i="1"/>
  <c r="W403" i="1"/>
  <c r="W402" i="1"/>
  <c r="W401" i="1"/>
  <c r="W400" i="1"/>
  <c r="W399" i="1"/>
  <c r="W398" i="1"/>
  <c r="W397" i="1"/>
  <c r="W396" i="1"/>
  <c r="W395" i="1"/>
  <c r="W394" i="1"/>
  <c r="W393" i="1"/>
  <c r="W392" i="1"/>
  <c r="W391" i="1"/>
  <c r="W390" i="1"/>
  <c r="W389" i="1"/>
  <c r="W388" i="1"/>
  <c r="W387" i="1"/>
  <c r="W386" i="1"/>
  <c r="W385" i="1"/>
  <c r="W384" i="1"/>
  <c r="W383" i="1"/>
  <c r="W382" i="1"/>
  <c r="W381" i="1"/>
  <c r="W380" i="1"/>
  <c r="W379" i="1"/>
  <c r="W378" i="1"/>
  <c r="W377" i="1"/>
  <c r="W376" i="1"/>
  <c r="W375" i="1"/>
  <c r="W374" i="1"/>
  <c r="W373" i="1"/>
  <c r="W372" i="1"/>
  <c r="W371" i="1"/>
  <c r="W370" i="1"/>
  <c r="W369" i="1"/>
  <c r="W368" i="1"/>
  <c r="W367" i="1"/>
  <c r="W366" i="1"/>
  <c r="W365" i="1"/>
  <c r="W364" i="1"/>
  <c r="W363" i="1"/>
  <c r="W362" i="1"/>
  <c r="W361" i="1"/>
  <c r="W360" i="1"/>
  <c r="W359" i="1"/>
  <c r="W358" i="1"/>
  <c r="W357" i="1"/>
  <c r="W356" i="1"/>
  <c r="W355" i="1"/>
  <c r="W354" i="1"/>
  <c r="W353" i="1"/>
  <c r="W352" i="1"/>
  <c r="W351" i="1"/>
  <c r="W350" i="1"/>
  <c r="W349" i="1"/>
  <c r="W348" i="1"/>
  <c r="W347" i="1"/>
  <c r="W346" i="1"/>
  <c r="W345" i="1"/>
  <c r="W344" i="1"/>
  <c r="W343" i="1"/>
  <c r="W342" i="1"/>
  <c r="W341" i="1"/>
  <c r="W340" i="1"/>
  <c r="W339" i="1"/>
  <c r="W338" i="1"/>
  <c r="W337" i="1"/>
  <c r="W336" i="1"/>
  <c r="W335" i="1"/>
  <c r="W334" i="1"/>
  <c r="W333" i="1"/>
  <c r="W332" i="1"/>
  <c r="W331" i="1"/>
  <c r="W330" i="1"/>
  <c r="W329" i="1"/>
  <c r="W328" i="1"/>
  <c r="W327" i="1"/>
  <c r="W326" i="1"/>
  <c r="W325" i="1"/>
  <c r="W324" i="1"/>
  <c r="W323" i="1"/>
  <c r="W322" i="1"/>
  <c r="W321" i="1"/>
  <c r="W320" i="1"/>
  <c r="W319" i="1"/>
  <c r="W318" i="1"/>
  <c r="W317" i="1"/>
  <c r="W316" i="1"/>
  <c r="W315" i="1"/>
  <c r="W314" i="1"/>
  <c r="W313" i="1"/>
  <c r="W312" i="1"/>
  <c r="W311" i="1"/>
  <c r="W310" i="1"/>
  <c r="W309" i="1"/>
  <c r="W308" i="1"/>
  <c r="W307" i="1"/>
  <c r="W306" i="1"/>
  <c r="W305" i="1"/>
  <c r="W304" i="1"/>
  <c r="W303" i="1"/>
  <c r="W302" i="1"/>
  <c r="W301" i="1"/>
  <c r="W300" i="1"/>
  <c r="W299" i="1"/>
  <c r="W298" i="1"/>
  <c r="W297" i="1"/>
  <c r="W296" i="1"/>
  <c r="W295" i="1"/>
  <c r="W294" i="1"/>
  <c r="W293" i="1"/>
  <c r="W292" i="1"/>
  <c r="W291" i="1"/>
  <c r="W290" i="1"/>
  <c r="W289" i="1"/>
  <c r="W288" i="1"/>
  <c r="W287" i="1"/>
  <c r="W286" i="1"/>
  <c r="W285" i="1"/>
  <c r="W284" i="1"/>
  <c r="W283" i="1"/>
  <c r="W282" i="1"/>
  <c r="W281" i="1"/>
  <c r="W280" i="1"/>
  <c r="W279" i="1"/>
  <c r="W278" i="1"/>
  <c r="W277" i="1"/>
  <c r="W276" i="1"/>
  <c r="W275" i="1"/>
  <c r="W274" i="1"/>
  <c r="W273" i="1"/>
  <c r="W272" i="1"/>
  <c r="W271" i="1"/>
  <c r="W270" i="1"/>
  <c r="W269" i="1"/>
  <c r="W268" i="1"/>
  <c r="W267" i="1"/>
  <c r="W266" i="1"/>
  <c r="W265" i="1"/>
  <c r="W264" i="1"/>
  <c r="W263" i="1"/>
  <c r="W262" i="1"/>
  <c r="W261" i="1"/>
  <c r="W260" i="1"/>
  <c r="W259" i="1"/>
  <c r="W258" i="1"/>
  <c r="W257" i="1"/>
  <c r="W256" i="1"/>
  <c r="W255" i="1"/>
  <c r="W254" i="1"/>
  <c r="W253" i="1"/>
  <c r="W252" i="1"/>
  <c r="W251" i="1"/>
  <c r="W250" i="1"/>
  <c r="W249" i="1"/>
  <c r="W248" i="1"/>
  <c r="W247" i="1"/>
  <c r="W246" i="1"/>
  <c r="W245" i="1"/>
  <c r="W244" i="1"/>
  <c r="W243" i="1"/>
  <c r="W242" i="1"/>
  <c r="W241" i="1"/>
  <c r="W240" i="1"/>
  <c r="W239" i="1"/>
  <c r="W238" i="1"/>
  <c r="W237" i="1"/>
  <c r="W236" i="1"/>
  <c r="W235" i="1"/>
  <c r="W234" i="1"/>
  <c r="W233" i="1"/>
  <c r="W232" i="1"/>
  <c r="W231" i="1"/>
  <c r="W230" i="1"/>
  <c r="W229" i="1"/>
  <c r="W228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7" i="1"/>
  <c r="W206" i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W7" i="1"/>
  <c r="G96" i="26" a="1"/>
  <c r="H96" i="26" a="1"/>
  <c r="I96" i="26" a="1"/>
  <c r="J96" i="26" a="1"/>
  <c r="K96" i="26" a="1"/>
  <c r="L96" i="26" a="1"/>
  <c r="M96" i="26" a="1"/>
  <c r="N96" i="26" a="1"/>
  <c r="G97" i="26" a="1"/>
  <c r="H97" i="26" a="1"/>
  <c r="I97" i="26" a="1"/>
  <c r="J97" i="26" a="1"/>
  <c r="K97" i="26" a="1"/>
  <c r="L97" i="26" a="1"/>
  <c r="M97" i="26" a="1"/>
  <c r="N97" i="26" a="1"/>
  <c r="G98" i="26" a="1"/>
  <c r="H98" i="26" a="1"/>
  <c r="I98" i="26" a="1"/>
  <c r="J98" i="26" a="1"/>
  <c r="K98" i="26" a="1"/>
  <c r="L98" i="26" a="1"/>
  <c r="M98" i="26" a="1"/>
  <c r="N98" i="26" a="1"/>
  <c r="G99" i="26" a="1"/>
  <c r="H99" i="26" a="1"/>
  <c r="I99" i="26" a="1"/>
  <c r="J99" i="26" a="1"/>
  <c r="K99" i="26" a="1"/>
  <c r="L99" i="26" a="1"/>
  <c r="M99" i="26" a="1"/>
  <c r="N99" i="26" a="1"/>
  <c r="G100" i="26" a="1"/>
  <c r="H100" i="26" a="1"/>
  <c r="I100" i="26" a="1"/>
  <c r="J100" i="26" a="1"/>
  <c r="K100" i="26" a="1"/>
  <c r="L100" i="26" a="1"/>
  <c r="M100" i="26" a="1"/>
  <c r="N100" i="26" a="1"/>
  <c r="G101" i="26" a="1"/>
  <c r="H101" i="26" a="1"/>
  <c r="I101" i="26" a="1"/>
  <c r="J101" i="26" a="1"/>
  <c r="K101" i="26" a="1"/>
  <c r="L101" i="26" a="1"/>
  <c r="M101" i="26" a="1"/>
  <c r="N101" i="26" a="1"/>
  <c r="A393" i="1"/>
  <c r="D393" i="1"/>
  <c r="B393" i="1" a="1"/>
  <c r="B393" i="1" s="1"/>
  <c r="E393" i="1" s="1"/>
  <c r="F393" i="1" s="1"/>
  <c r="K393" i="1"/>
  <c r="A394" i="1"/>
  <c r="D394" i="1"/>
  <c r="B394" i="1" a="1"/>
  <c r="B394" i="1" s="1"/>
  <c r="E394" i="1" s="1"/>
  <c r="F394" i="1" s="1"/>
  <c r="K394" i="1"/>
  <c r="A395" i="1"/>
  <c r="D395" i="1"/>
  <c r="B395" i="1" a="1"/>
  <c r="B395" i="1" s="1"/>
  <c r="E395" i="1" s="1"/>
  <c r="F395" i="1" s="1"/>
  <c r="K395" i="1"/>
  <c r="A396" i="1"/>
  <c r="D396" i="1"/>
  <c r="B396" i="1" a="1"/>
  <c r="B396" i="1" s="1"/>
  <c r="E396" i="1" s="1"/>
  <c r="F396" i="1" s="1"/>
  <c r="K396" i="1"/>
  <c r="A397" i="1"/>
  <c r="D397" i="1"/>
  <c r="B397" i="1" a="1"/>
  <c r="B397" i="1" s="1"/>
  <c r="E397" i="1" s="1"/>
  <c r="F397" i="1" s="1"/>
  <c r="K397" i="1"/>
  <c r="A398" i="1"/>
  <c r="D398" i="1"/>
  <c r="K398" i="1"/>
  <c r="A399" i="1"/>
  <c r="D399" i="1"/>
  <c r="K399" i="1"/>
  <c r="A400" i="1"/>
  <c r="D400" i="1"/>
  <c r="B400" i="1" a="1"/>
  <c r="B400" i="1" s="1"/>
  <c r="E400" i="1" s="1"/>
  <c r="F400" i="1" s="1"/>
  <c r="K400" i="1"/>
  <c r="A401" i="1"/>
  <c r="D401" i="1"/>
  <c r="B401" i="1" a="1"/>
  <c r="B401" i="1" s="1"/>
  <c r="E401" i="1" s="1"/>
  <c r="F401" i="1" s="1"/>
  <c r="K401" i="1"/>
  <c r="A402" i="1"/>
  <c r="D402" i="1"/>
  <c r="B402" i="1" a="1"/>
  <c r="B402" i="1" s="1"/>
  <c r="E402" i="1" s="1"/>
  <c r="F402" i="1" s="1"/>
  <c r="K402" i="1"/>
  <c r="A403" i="1"/>
  <c r="D403" i="1"/>
  <c r="B403" i="1" a="1"/>
  <c r="B403" i="1" s="1"/>
  <c r="E403" i="1" s="1"/>
  <c r="F403" i="1" s="1"/>
  <c r="K403" i="1"/>
  <c r="A404" i="1"/>
  <c r="D404" i="1"/>
  <c r="B404" i="1" a="1"/>
  <c r="B404" i="1" s="1"/>
  <c r="E404" i="1" s="1"/>
  <c r="F404" i="1" s="1"/>
  <c r="K404" i="1"/>
  <c r="A405" i="1"/>
  <c r="D405" i="1"/>
  <c r="B405" i="1" a="1"/>
  <c r="B405" i="1" s="1"/>
  <c r="E405" i="1" s="1"/>
  <c r="F405" i="1" s="1"/>
  <c r="K405" i="1"/>
  <c r="A406" i="1"/>
  <c r="D406" i="1"/>
  <c r="B406" i="1" a="1"/>
  <c r="B406" i="1" s="1"/>
  <c r="E406" i="1" s="1"/>
  <c r="F406" i="1" s="1"/>
  <c r="K406" i="1"/>
  <c r="A407" i="1"/>
  <c r="D407" i="1"/>
  <c r="B407" i="1" a="1"/>
  <c r="B407" i="1" s="1"/>
  <c r="E407" i="1" s="1"/>
  <c r="F407" i="1" s="1"/>
  <c r="K407" i="1"/>
  <c r="H400" i="1" l="1" a="1"/>
  <c r="H400" i="1" s="1"/>
  <c r="G400" i="1" a="1"/>
  <c r="G400" i="1" s="1"/>
  <c r="H398" i="1" a="1"/>
  <c r="H398" i="1" s="1"/>
  <c r="G398" i="1" a="1"/>
  <c r="G398" i="1" s="1"/>
  <c r="H395" i="1" a="1"/>
  <c r="H395" i="1" s="1"/>
  <c r="G395" i="1" a="1"/>
  <c r="G395" i="1" s="1"/>
  <c r="G399" i="1" a="1"/>
  <c r="G399" i="1" s="1"/>
  <c r="H399" i="1" a="1"/>
  <c r="H399" i="1" s="1"/>
  <c r="H406" i="1" a="1"/>
  <c r="H406" i="1" s="1"/>
  <c r="G406" i="1" a="1"/>
  <c r="G406" i="1" s="1"/>
  <c r="G396" i="1" a="1"/>
  <c r="G396" i="1" s="1"/>
  <c r="H396" i="1" a="1"/>
  <c r="H396" i="1" s="1"/>
  <c r="H404" i="1" a="1"/>
  <c r="H404" i="1" s="1"/>
  <c r="G404" i="1" a="1"/>
  <c r="G404" i="1" s="1"/>
  <c r="G393" i="1" a="1"/>
  <c r="G393" i="1" s="1"/>
  <c r="H393" i="1" a="1"/>
  <c r="H393" i="1" s="1"/>
  <c r="G402" i="1" a="1"/>
  <c r="G402" i="1" s="1"/>
  <c r="H402" i="1" a="1"/>
  <c r="H402" i="1" s="1"/>
  <c r="H397" i="1" a="1"/>
  <c r="H397" i="1" s="1"/>
  <c r="G397" i="1" a="1"/>
  <c r="G397" i="1" s="1"/>
  <c r="H407" i="1" a="1"/>
  <c r="H407" i="1" s="1"/>
  <c r="G407" i="1" a="1"/>
  <c r="G407" i="1" s="1"/>
  <c r="G405" i="1" a="1"/>
  <c r="G405" i="1" s="1"/>
  <c r="H405" i="1" a="1"/>
  <c r="H405" i="1" s="1"/>
  <c r="H403" i="1" a="1"/>
  <c r="H403" i="1" s="1"/>
  <c r="G403" i="1" a="1"/>
  <c r="G403" i="1" s="1"/>
  <c r="H401" i="1" a="1"/>
  <c r="H401" i="1" s="1"/>
  <c r="G401" i="1" a="1"/>
  <c r="G401" i="1" s="1"/>
  <c r="H394" i="1" a="1"/>
  <c r="H394" i="1" s="1"/>
  <c r="G394" i="1" a="1"/>
  <c r="G394" i="1" s="1"/>
  <c r="B399" i="1" a="1"/>
  <c r="B399" i="1" s="1"/>
  <c r="E399" i="1" s="1"/>
  <c r="F399" i="1" s="1"/>
  <c r="B398" i="1" a="1"/>
  <c r="B398" i="1" s="1"/>
  <c r="E398" i="1" s="1"/>
  <c r="F398" i="1" s="1"/>
  <c r="G159" i="7" a="1"/>
  <c r="H159" i="7" a="1"/>
  <c r="I159" i="7" a="1"/>
  <c r="J159" i="7" a="1"/>
  <c r="K159" i="7" a="1"/>
  <c r="L159" i="7" a="1"/>
  <c r="G160" i="7" a="1"/>
  <c r="H160" i="7" a="1"/>
  <c r="I160" i="7" a="1"/>
  <c r="J160" i="7" a="1"/>
  <c r="K160" i="7" a="1"/>
  <c r="L160" i="7" a="1"/>
  <c r="G161" i="7" a="1"/>
  <c r="H161" i="7" a="1"/>
  <c r="I161" i="7" a="1"/>
  <c r="J161" i="7" a="1"/>
  <c r="K161" i="7" a="1"/>
  <c r="L161" i="7" a="1"/>
  <c r="K392" i="1"/>
  <c r="D392" i="1"/>
  <c r="A392" i="1"/>
  <c r="K391" i="1"/>
  <c r="B391" i="1" a="1"/>
  <c r="B391" i="1" s="1"/>
  <c r="E391" i="1" s="1"/>
  <c r="F391" i="1" s="1"/>
  <c r="D391" i="1"/>
  <c r="A391" i="1"/>
  <c r="K390" i="1"/>
  <c r="D390" i="1"/>
  <c r="A390" i="1"/>
  <c r="K389" i="1"/>
  <c r="D389" i="1"/>
  <c r="A389" i="1"/>
  <c r="K388" i="1"/>
  <c r="B388" i="1" a="1"/>
  <c r="B388" i="1" s="1"/>
  <c r="E388" i="1" s="1"/>
  <c r="F388" i="1" s="1"/>
  <c r="D388" i="1"/>
  <c r="A388" i="1"/>
  <c r="K387" i="1"/>
  <c r="D387" i="1"/>
  <c r="A387" i="1"/>
  <c r="K386" i="1"/>
  <c r="D386" i="1"/>
  <c r="A386" i="1"/>
  <c r="K385" i="1"/>
  <c r="D385" i="1"/>
  <c r="A385" i="1"/>
  <c r="K384" i="1"/>
  <c r="D384" i="1"/>
  <c r="A384" i="1"/>
  <c r="K383" i="1"/>
  <c r="D383" i="1"/>
  <c r="A383" i="1"/>
  <c r="K382" i="1"/>
  <c r="D382" i="1"/>
  <c r="A382" i="1"/>
  <c r="K381" i="1"/>
  <c r="D381" i="1"/>
  <c r="A381" i="1"/>
  <c r="K380" i="1"/>
  <c r="D380" i="1"/>
  <c r="A380" i="1"/>
  <c r="K379" i="1"/>
  <c r="B379" i="1" a="1"/>
  <c r="B379" i="1" s="1"/>
  <c r="E379" i="1" s="1"/>
  <c r="F379" i="1" s="1"/>
  <c r="D379" i="1"/>
  <c r="A379" i="1"/>
  <c r="H82" i="12"/>
  <c r="H385" i="1" l="1" a="1"/>
  <c r="H385" i="1" s="1"/>
  <c r="G385" i="1" a="1"/>
  <c r="G385" i="1" s="1"/>
  <c r="H386" i="1" a="1"/>
  <c r="H386" i="1" s="1"/>
  <c r="G386" i="1" a="1"/>
  <c r="G386" i="1" s="1"/>
  <c r="H383" i="1" a="1"/>
  <c r="H383" i="1" s="1"/>
  <c r="G383" i="1" a="1"/>
  <c r="G383" i="1" s="1"/>
  <c r="H384" i="1" a="1"/>
  <c r="H384" i="1" s="1"/>
  <c r="G384" i="1" a="1"/>
  <c r="G384" i="1" s="1"/>
  <c r="G388" i="1" a="1"/>
  <c r="G388" i="1" s="1"/>
  <c r="H388" i="1" a="1"/>
  <c r="H388" i="1" s="1"/>
  <c r="G390" i="1" a="1"/>
  <c r="G390" i="1" s="1"/>
  <c r="H390" i="1" a="1"/>
  <c r="H390" i="1" s="1"/>
  <c r="H379" i="1" a="1"/>
  <c r="H379" i="1" s="1"/>
  <c r="G379" i="1" a="1"/>
  <c r="G379" i="1" s="1"/>
  <c r="H387" i="1" a="1"/>
  <c r="H387" i="1" s="1"/>
  <c r="G387" i="1" a="1"/>
  <c r="G387" i="1" s="1"/>
  <c r="G392" i="1" a="1"/>
  <c r="G392" i="1" s="1"/>
  <c r="H392" i="1" a="1"/>
  <c r="H392" i="1" s="1"/>
  <c r="G382" i="1" a="1"/>
  <c r="G382" i="1" s="1"/>
  <c r="H382" i="1" a="1"/>
  <c r="H382" i="1" s="1"/>
  <c r="G389" i="1" a="1"/>
  <c r="G389" i="1" s="1"/>
  <c r="H389" i="1" a="1"/>
  <c r="H389" i="1" s="1"/>
  <c r="H391" i="1" a="1"/>
  <c r="H391" i="1" s="1"/>
  <c r="G391" i="1" a="1"/>
  <c r="G391" i="1" s="1"/>
  <c r="H380" i="1" a="1"/>
  <c r="H380" i="1" s="1"/>
  <c r="G380" i="1" a="1"/>
  <c r="G380" i="1" s="1"/>
  <c r="G381" i="1" a="1"/>
  <c r="G381" i="1" s="1"/>
  <c r="H381" i="1" a="1"/>
  <c r="H381" i="1" s="1"/>
  <c r="B392" i="1" a="1"/>
  <c r="B392" i="1" s="1"/>
  <c r="E392" i="1" s="1"/>
  <c r="F392" i="1" s="1"/>
  <c r="B383" i="1" a="1"/>
  <c r="B383" i="1" s="1"/>
  <c r="E383" i="1" s="1"/>
  <c r="F383" i="1" s="1"/>
  <c r="B387" i="1" a="1"/>
  <c r="B387" i="1" s="1"/>
  <c r="E387" i="1" s="1"/>
  <c r="F387" i="1" s="1"/>
  <c r="B384" i="1" a="1"/>
  <c r="B384" i="1" s="1"/>
  <c r="E384" i="1" s="1"/>
  <c r="F384" i="1" s="1"/>
  <c r="B386" i="1" a="1"/>
  <c r="B386" i="1" s="1"/>
  <c r="E386" i="1" s="1"/>
  <c r="F386" i="1" s="1"/>
  <c r="B382" i="1" a="1"/>
  <c r="B382" i="1" s="1"/>
  <c r="E382" i="1" s="1"/>
  <c r="F382" i="1" s="1"/>
  <c r="B381" i="1" a="1"/>
  <c r="B381" i="1" s="1"/>
  <c r="E381" i="1" s="1"/>
  <c r="F381" i="1" s="1"/>
  <c r="B390" i="1" a="1"/>
  <c r="B390" i="1" s="1"/>
  <c r="E390" i="1" s="1"/>
  <c r="F390" i="1" s="1"/>
  <c r="B389" i="1" a="1"/>
  <c r="B389" i="1" s="1"/>
  <c r="E389" i="1" s="1"/>
  <c r="F389" i="1" s="1"/>
  <c r="B385" i="1" a="1"/>
  <c r="B385" i="1" s="1"/>
  <c r="E385" i="1" s="1"/>
  <c r="F385" i="1" s="1"/>
  <c r="B380" i="1" a="1"/>
  <c r="B380" i="1" s="1"/>
  <c r="E380" i="1" s="1"/>
  <c r="F380" i="1" s="1"/>
  <c r="G158" i="7" a="1"/>
  <c r="H158" i="7" a="1"/>
  <c r="I158" i="7" a="1"/>
  <c r="J158" i="7" a="1"/>
  <c r="K158" i="7" a="1"/>
  <c r="L158" i="7" a="1"/>
  <c r="D59" i="1"/>
  <c r="K378" i="1"/>
  <c r="D378" i="1"/>
  <c r="A378" i="1"/>
  <c r="K377" i="1"/>
  <c r="D377" i="1"/>
  <c r="A377" i="1"/>
  <c r="K376" i="1"/>
  <c r="D376" i="1"/>
  <c r="A376" i="1"/>
  <c r="K375" i="1"/>
  <c r="D375" i="1"/>
  <c r="A375" i="1"/>
  <c r="K374" i="1"/>
  <c r="D374" i="1"/>
  <c r="A374" i="1"/>
  <c r="K373" i="1"/>
  <c r="D373" i="1"/>
  <c r="A373" i="1"/>
  <c r="K372" i="1"/>
  <c r="D372" i="1"/>
  <c r="A372" i="1"/>
  <c r="K371" i="1"/>
  <c r="D371" i="1"/>
  <c r="A371" i="1"/>
  <c r="K370" i="1"/>
  <c r="D370" i="1"/>
  <c r="A370" i="1"/>
  <c r="K369" i="1"/>
  <c r="D369" i="1"/>
  <c r="A369" i="1"/>
  <c r="K368" i="1"/>
  <c r="D368" i="1"/>
  <c r="A368" i="1"/>
  <c r="K367" i="1"/>
  <c r="D367" i="1"/>
  <c r="A367" i="1"/>
  <c r="K366" i="1"/>
  <c r="D366" i="1"/>
  <c r="A366" i="1"/>
  <c r="K365" i="1"/>
  <c r="D365" i="1"/>
  <c r="A365" i="1"/>
  <c r="K364" i="1"/>
  <c r="D364" i="1"/>
  <c r="A364" i="1"/>
  <c r="K363" i="1"/>
  <c r="D363" i="1"/>
  <c r="A363" i="1"/>
  <c r="K362" i="1"/>
  <c r="D362" i="1"/>
  <c r="A362" i="1"/>
  <c r="K361" i="1"/>
  <c r="B361" i="1" a="1"/>
  <c r="B361" i="1" s="1"/>
  <c r="E361" i="1" s="1"/>
  <c r="F361" i="1" s="1"/>
  <c r="D361" i="1"/>
  <c r="A361" i="1"/>
  <c r="K360" i="1"/>
  <c r="D360" i="1"/>
  <c r="A360" i="1"/>
  <c r="K359" i="1"/>
  <c r="D359" i="1"/>
  <c r="A359" i="1"/>
  <c r="K358" i="1"/>
  <c r="B358" i="1" a="1"/>
  <c r="B358" i="1" s="1"/>
  <c r="E358" i="1" s="1"/>
  <c r="F358" i="1" s="1"/>
  <c r="D358" i="1"/>
  <c r="A358" i="1"/>
  <c r="K357" i="1"/>
  <c r="D357" i="1"/>
  <c r="A357" i="1"/>
  <c r="K356" i="1"/>
  <c r="D356" i="1"/>
  <c r="A356" i="1"/>
  <c r="K355" i="1"/>
  <c r="B355" i="1" a="1"/>
  <c r="B355" i="1" s="1"/>
  <c r="E355" i="1" s="1"/>
  <c r="F355" i="1" s="1"/>
  <c r="D355" i="1"/>
  <c r="A355" i="1"/>
  <c r="K354" i="1"/>
  <c r="D354" i="1"/>
  <c r="A354" i="1"/>
  <c r="G367" i="1" l="1" a="1"/>
  <c r="G367" i="1" s="1"/>
  <c r="H367" i="1" a="1"/>
  <c r="H367" i="1" s="1"/>
  <c r="H355" i="1" a="1"/>
  <c r="H355" i="1" s="1"/>
  <c r="G355" i="1" a="1"/>
  <c r="G355" i="1" s="1"/>
  <c r="H368" i="1" a="1"/>
  <c r="H368" i="1" s="1"/>
  <c r="G368" i="1" a="1"/>
  <c r="G368" i="1" s="1"/>
  <c r="H371" i="1" a="1"/>
  <c r="H371" i="1" s="1"/>
  <c r="G371" i="1" a="1"/>
  <c r="G371" i="1" s="1"/>
  <c r="H356" i="1" a="1"/>
  <c r="H356" i="1" s="1"/>
  <c r="G356" i="1" a="1"/>
  <c r="G356" i="1" s="1"/>
  <c r="H369" i="1" a="1"/>
  <c r="H369" i="1" s="1"/>
  <c r="G369" i="1" a="1"/>
  <c r="G369" i="1" s="1"/>
  <c r="H359" i="1" a="1"/>
  <c r="H359" i="1" s="1"/>
  <c r="G359" i="1" a="1"/>
  <c r="G359" i="1" s="1"/>
  <c r="H360" i="1" a="1"/>
  <c r="H360" i="1" s="1"/>
  <c r="G360" i="1" a="1"/>
  <c r="G360" i="1" s="1"/>
  <c r="H358" i="1" a="1"/>
  <c r="H358" i="1" s="1"/>
  <c r="G358" i="1" a="1"/>
  <c r="G358" i="1" s="1"/>
  <c r="H372" i="1" a="1"/>
  <c r="H372" i="1" s="1"/>
  <c r="G372" i="1" a="1"/>
  <c r="G372" i="1" s="1"/>
  <c r="G374" i="1" a="1"/>
  <c r="G374" i="1" s="1"/>
  <c r="H374" i="1" a="1"/>
  <c r="H374" i="1" s="1"/>
  <c r="H376" i="1" a="1"/>
  <c r="H376" i="1" s="1"/>
  <c r="G376" i="1" a="1"/>
  <c r="G376" i="1" s="1"/>
  <c r="H373" i="1" a="1"/>
  <c r="H373" i="1" s="1"/>
  <c r="G373" i="1" a="1"/>
  <c r="G373" i="1" s="1"/>
  <c r="H361" i="1" a="1"/>
  <c r="H361" i="1" s="1"/>
  <c r="G361" i="1" a="1"/>
  <c r="G361" i="1" s="1"/>
  <c r="H375" i="1" a="1"/>
  <c r="H375" i="1" s="1"/>
  <c r="G375" i="1" a="1"/>
  <c r="G375" i="1" s="1"/>
  <c r="H363" i="1" a="1"/>
  <c r="H363" i="1" s="1"/>
  <c r="G363" i="1" a="1"/>
  <c r="G363" i="1" s="1"/>
  <c r="H377" i="1" a="1"/>
  <c r="H377" i="1" s="1"/>
  <c r="G377" i="1" a="1"/>
  <c r="G377" i="1" s="1"/>
  <c r="H364" i="1" a="1"/>
  <c r="H364" i="1" s="1"/>
  <c r="G364" i="1" a="1"/>
  <c r="G364" i="1" s="1"/>
  <c r="H365" i="1" a="1"/>
  <c r="H365" i="1" s="1"/>
  <c r="G365" i="1" a="1"/>
  <c r="G365" i="1" s="1"/>
  <c r="H366" i="1" a="1"/>
  <c r="H366" i="1" s="1"/>
  <c r="G366" i="1" a="1"/>
  <c r="G366" i="1" s="1"/>
  <c r="H357" i="1" a="1"/>
  <c r="H357" i="1" s="1"/>
  <c r="G357" i="1" a="1"/>
  <c r="G357" i="1" s="1"/>
  <c r="H370" i="1" a="1"/>
  <c r="H370" i="1" s="1"/>
  <c r="G370" i="1" a="1"/>
  <c r="G370" i="1" s="1"/>
  <c r="H354" i="1" a="1"/>
  <c r="H354" i="1" s="1"/>
  <c r="G354" i="1" a="1"/>
  <c r="G354" i="1" s="1"/>
  <c r="H362" i="1" a="1"/>
  <c r="H362" i="1" s="1"/>
  <c r="G362" i="1" a="1"/>
  <c r="G362" i="1" s="1"/>
  <c r="G378" i="1" a="1"/>
  <c r="G378" i="1" s="1"/>
  <c r="H378" i="1" a="1"/>
  <c r="H378" i="1" s="1"/>
  <c r="B368" i="1" a="1"/>
  <c r="B368" i="1" s="1"/>
  <c r="E368" i="1" s="1"/>
  <c r="F368" i="1" s="1"/>
  <c r="B377" i="1" a="1"/>
  <c r="B377" i="1" s="1"/>
  <c r="E377" i="1" s="1"/>
  <c r="F377" i="1" s="1"/>
  <c r="B369" i="1" a="1"/>
  <c r="B369" i="1" s="1"/>
  <c r="E369" i="1" s="1"/>
  <c r="F369" i="1" s="1"/>
  <c r="B376" i="1" a="1"/>
  <c r="B376" i="1" s="1"/>
  <c r="E376" i="1" s="1"/>
  <c r="F376" i="1" s="1"/>
  <c r="B356" i="1" a="1"/>
  <c r="B356" i="1" s="1"/>
  <c r="E356" i="1" s="1"/>
  <c r="F356" i="1" s="1"/>
  <c r="B374" i="1" a="1"/>
  <c r="B374" i="1" s="1"/>
  <c r="E374" i="1" s="1"/>
  <c r="F374" i="1" s="1"/>
  <c r="B375" i="1" a="1"/>
  <c r="B375" i="1" s="1"/>
  <c r="E375" i="1" s="1"/>
  <c r="F375" i="1" s="1"/>
  <c r="B371" i="1" a="1"/>
  <c r="B371" i="1" s="1"/>
  <c r="E371" i="1" s="1"/>
  <c r="F371" i="1" s="1"/>
  <c r="B362" i="1" a="1"/>
  <c r="B362" i="1" s="1"/>
  <c r="E362" i="1" s="1"/>
  <c r="F362" i="1" s="1"/>
  <c r="B354" i="1" a="1"/>
  <c r="B354" i="1" s="1"/>
  <c r="E354" i="1" s="1"/>
  <c r="F354" i="1" s="1"/>
  <c r="B363" i="1" a="1"/>
  <c r="B363" i="1" s="1"/>
  <c r="E363" i="1" s="1"/>
  <c r="F363" i="1" s="1"/>
  <c r="B357" i="1" a="1"/>
  <c r="B357" i="1" s="1"/>
  <c r="E357" i="1" s="1"/>
  <c r="F357" i="1" s="1"/>
  <c r="B378" i="1" a="1"/>
  <c r="B378" i="1" s="1"/>
  <c r="E378" i="1" s="1"/>
  <c r="F378" i="1" s="1"/>
  <c r="B365" i="1" a="1"/>
  <c r="B365" i="1" s="1"/>
  <c r="E365" i="1" s="1"/>
  <c r="F365" i="1" s="1"/>
  <c r="B372" i="1" a="1"/>
  <c r="B372" i="1" s="1"/>
  <c r="E372" i="1" s="1"/>
  <c r="F372" i="1" s="1"/>
  <c r="B359" i="1" a="1"/>
  <c r="B359" i="1" s="1"/>
  <c r="E359" i="1" s="1"/>
  <c r="F359" i="1" s="1"/>
  <c r="B366" i="1" a="1"/>
  <c r="B366" i="1" s="1"/>
  <c r="E366" i="1" s="1"/>
  <c r="F366" i="1" s="1"/>
  <c r="B373" i="1" a="1"/>
  <c r="B373" i="1" s="1"/>
  <c r="E373" i="1" s="1"/>
  <c r="F373" i="1" s="1"/>
  <c r="B360" i="1" a="1"/>
  <c r="B360" i="1" s="1"/>
  <c r="E360" i="1" s="1"/>
  <c r="F360" i="1" s="1"/>
  <c r="B370" i="1" a="1"/>
  <c r="B370" i="1" s="1"/>
  <c r="E370" i="1" s="1"/>
  <c r="F370" i="1" s="1"/>
  <c r="B367" i="1" a="1"/>
  <c r="B367" i="1" s="1"/>
  <c r="E367" i="1" s="1"/>
  <c r="F367" i="1" s="1"/>
  <c r="B364" i="1" a="1"/>
  <c r="B364" i="1" s="1"/>
  <c r="E364" i="1" s="1"/>
  <c r="F364" i="1" s="1"/>
  <c r="G155" i="7" a="1"/>
  <c r="H155" i="7" a="1"/>
  <c r="I155" i="7" a="1"/>
  <c r="J155" i="7" a="1"/>
  <c r="K155" i="7" a="1"/>
  <c r="L155" i="7" a="1"/>
  <c r="G156" i="7" a="1"/>
  <c r="H156" i="7" a="1"/>
  <c r="I156" i="7" a="1"/>
  <c r="J156" i="7" a="1"/>
  <c r="K156" i="7" a="1"/>
  <c r="L156" i="7" a="1"/>
  <c r="G157" i="7" a="1"/>
  <c r="H157" i="7" a="1"/>
  <c r="I157" i="7" a="1"/>
  <c r="J157" i="7" a="1"/>
  <c r="K157" i="7" a="1"/>
  <c r="L157" i="7" a="1"/>
  <c r="A342" i="1"/>
  <c r="D342" i="1"/>
  <c r="K342" i="1"/>
  <c r="A343" i="1"/>
  <c r="D343" i="1"/>
  <c r="B343" i="1" a="1"/>
  <c r="B343" i="1" s="1"/>
  <c r="E343" i="1" s="1"/>
  <c r="F343" i="1" s="1"/>
  <c r="K343" i="1"/>
  <c r="A344" i="1"/>
  <c r="D344" i="1"/>
  <c r="K344" i="1"/>
  <c r="A345" i="1"/>
  <c r="D345" i="1"/>
  <c r="B345" i="1" a="1"/>
  <c r="B345" i="1" s="1"/>
  <c r="E345" i="1" s="1"/>
  <c r="F345" i="1" s="1"/>
  <c r="K345" i="1"/>
  <c r="A346" i="1"/>
  <c r="D346" i="1"/>
  <c r="B346" i="1" a="1"/>
  <c r="B346" i="1" s="1"/>
  <c r="E346" i="1" s="1"/>
  <c r="F346" i="1" s="1"/>
  <c r="K346" i="1"/>
  <c r="A347" i="1"/>
  <c r="D347" i="1"/>
  <c r="K347" i="1"/>
  <c r="A348" i="1"/>
  <c r="D348" i="1"/>
  <c r="K348" i="1"/>
  <c r="A349" i="1"/>
  <c r="D349" i="1"/>
  <c r="B349" i="1" a="1"/>
  <c r="B349" i="1" s="1"/>
  <c r="E349" i="1" s="1"/>
  <c r="F349" i="1" s="1"/>
  <c r="K349" i="1"/>
  <c r="A350" i="1"/>
  <c r="D350" i="1"/>
  <c r="B350" i="1" a="1"/>
  <c r="B350" i="1" s="1"/>
  <c r="E350" i="1" s="1"/>
  <c r="F350" i="1" s="1"/>
  <c r="K350" i="1"/>
  <c r="A351" i="1"/>
  <c r="D351" i="1"/>
  <c r="K351" i="1"/>
  <c r="A352" i="1"/>
  <c r="D352" i="1"/>
  <c r="B352" i="1" a="1"/>
  <c r="B352" i="1" s="1"/>
  <c r="E352" i="1" s="1"/>
  <c r="F352" i="1" s="1"/>
  <c r="K352" i="1"/>
  <c r="A353" i="1"/>
  <c r="D353" i="1"/>
  <c r="K353" i="1"/>
  <c r="H346" i="1" l="1" a="1"/>
  <c r="H346" i="1" s="1"/>
  <c r="G346" i="1" a="1"/>
  <c r="G346" i="1" s="1"/>
  <c r="G344" i="1" a="1"/>
  <c r="G344" i="1" s="1"/>
  <c r="H344" i="1" a="1"/>
  <c r="H344" i="1" s="1"/>
  <c r="H343" i="1" a="1"/>
  <c r="H343" i="1" s="1"/>
  <c r="G343" i="1" a="1"/>
  <c r="G343" i="1" s="1"/>
  <c r="G342" i="1" a="1"/>
  <c r="G342" i="1" s="1"/>
  <c r="H342" i="1" a="1"/>
  <c r="H342" i="1" s="1"/>
  <c r="H348" i="1" a="1"/>
  <c r="H348" i="1" s="1"/>
  <c r="G348" i="1" a="1"/>
  <c r="G348" i="1" s="1"/>
  <c r="H347" i="1" a="1"/>
  <c r="H347" i="1" s="1"/>
  <c r="G347" i="1" a="1"/>
  <c r="G347" i="1" s="1"/>
  <c r="H345" i="1" a="1"/>
  <c r="H345" i="1" s="1"/>
  <c r="G345" i="1" a="1"/>
  <c r="G345" i="1" s="1"/>
  <c r="G353" i="1" a="1"/>
  <c r="G353" i="1" s="1"/>
  <c r="H353" i="1" a="1"/>
  <c r="H353" i="1" s="1"/>
  <c r="G352" i="1" a="1"/>
  <c r="G352" i="1" s="1"/>
  <c r="H352" i="1" a="1"/>
  <c r="H352" i="1" s="1"/>
  <c r="G351" i="1" a="1"/>
  <c r="G351" i="1" s="1"/>
  <c r="H351" i="1" a="1"/>
  <c r="H351" i="1" s="1"/>
  <c r="H349" i="1" a="1"/>
  <c r="H349" i="1" s="1"/>
  <c r="G349" i="1" a="1"/>
  <c r="G349" i="1" s="1"/>
  <c r="G350" i="1" a="1"/>
  <c r="G350" i="1" s="1"/>
  <c r="H350" i="1" a="1"/>
  <c r="H350" i="1" s="1"/>
  <c r="B351" i="1" a="1"/>
  <c r="B351" i="1" s="1"/>
  <c r="E351" i="1" s="1"/>
  <c r="F351" i="1" s="1"/>
  <c r="B348" i="1" a="1"/>
  <c r="B348" i="1" s="1"/>
  <c r="E348" i="1" s="1"/>
  <c r="F348" i="1" s="1"/>
  <c r="B344" i="1" a="1"/>
  <c r="B344" i="1" s="1"/>
  <c r="E344" i="1" s="1"/>
  <c r="F344" i="1" s="1"/>
  <c r="B347" i="1" a="1"/>
  <c r="B347" i="1" s="1"/>
  <c r="E347" i="1" s="1"/>
  <c r="F347" i="1" s="1"/>
  <c r="B353" i="1" a="1"/>
  <c r="B353" i="1" s="1"/>
  <c r="E353" i="1" s="1"/>
  <c r="F353" i="1" s="1"/>
  <c r="B342" i="1" a="1"/>
  <c r="B342" i="1" s="1"/>
  <c r="E342" i="1" s="1"/>
  <c r="F342" i="1" s="1"/>
  <c r="K341" i="1"/>
  <c r="D341" i="1"/>
  <c r="A341" i="1"/>
  <c r="K340" i="1"/>
  <c r="B340" i="1" a="1"/>
  <c r="B340" i="1" s="1"/>
  <c r="E340" i="1" s="1"/>
  <c r="F340" i="1" s="1"/>
  <c r="D340" i="1"/>
  <c r="A340" i="1"/>
  <c r="K339" i="1"/>
  <c r="D339" i="1"/>
  <c r="A339" i="1"/>
  <c r="H339" i="1" l="1" a="1"/>
  <c r="H339" i="1" s="1"/>
  <c r="G339" i="1" a="1"/>
  <c r="G339" i="1" s="1"/>
  <c r="H340" i="1" a="1"/>
  <c r="H340" i="1" s="1"/>
  <c r="G340" i="1" a="1"/>
  <c r="G340" i="1" s="1"/>
  <c r="H341" i="1" a="1"/>
  <c r="H341" i="1" s="1"/>
  <c r="G341" i="1" a="1"/>
  <c r="G341" i="1" s="1"/>
  <c r="B339" i="1" a="1"/>
  <c r="B339" i="1" s="1"/>
  <c r="E339" i="1" s="1"/>
  <c r="F339" i="1" s="1"/>
  <c r="B341" i="1" a="1"/>
  <c r="B341" i="1" s="1"/>
  <c r="E341" i="1" s="1"/>
  <c r="F341" i="1" s="1"/>
  <c r="D27" i="28" l="1"/>
  <c r="E27" i="28"/>
  <c r="C24" i="28"/>
  <c r="C27" i="28"/>
  <c r="K54" i="1" l="1"/>
  <c r="K53" i="1"/>
  <c r="K52" i="1"/>
  <c r="K51" i="1"/>
  <c r="K50" i="1"/>
  <c r="K49" i="1"/>
  <c r="K47" i="1"/>
  <c r="K46" i="1"/>
  <c r="K45" i="1"/>
  <c r="K44" i="1"/>
  <c r="K43" i="1"/>
  <c r="K42" i="1"/>
  <c r="C20" i="28"/>
  <c r="C6" i="28"/>
  <c r="G42" i="1" l="1" a="1"/>
  <c r="G42" i="1" s="1"/>
  <c r="H42" i="1" a="1"/>
  <c r="H42" i="1" s="1"/>
  <c r="H44" i="1" a="1"/>
  <c r="H44" i="1" s="1"/>
  <c r="G44" i="1" a="1"/>
  <c r="G44" i="1" s="1"/>
  <c r="G45" i="1" a="1"/>
  <c r="G45" i="1" s="1"/>
  <c r="H45" i="1" a="1"/>
  <c r="H45" i="1" s="1"/>
  <c r="G43" i="1" a="1"/>
  <c r="G43" i="1" s="1"/>
  <c r="H43" i="1" a="1"/>
  <c r="H43" i="1" s="1"/>
  <c r="H46" i="1" a="1"/>
  <c r="H46" i="1" s="1"/>
  <c r="G46" i="1" a="1"/>
  <c r="G46" i="1" s="1"/>
  <c r="H49" i="1" a="1"/>
  <c r="H49" i="1" s="1"/>
  <c r="G49" i="1" a="1"/>
  <c r="G49" i="1" s="1"/>
  <c r="K6" i="1"/>
  <c r="I6" i="1"/>
  <c r="K7" i="1"/>
  <c r="B7" i="1" a="1"/>
  <c r="B7" i="1" s="1"/>
  <c r="E7" i="1" s="1"/>
  <c r="F7" i="1" s="1"/>
  <c r="K8" i="1"/>
  <c r="K9" i="1"/>
  <c r="B9" i="1" a="1"/>
  <c r="B9" i="1" s="1"/>
  <c r="E9" i="1" s="1"/>
  <c r="F9" i="1" s="1"/>
  <c r="K10" i="1"/>
  <c r="B10" i="1" a="1"/>
  <c r="B10" i="1" s="1"/>
  <c r="E10" i="1" s="1"/>
  <c r="F10" i="1" s="1"/>
  <c r="K11" i="1"/>
  <c r="B11" i="1" a="1"/>
  <c r="B11" i="1" s="1"/>
  <c r="E11" i="1" s="1"/>
  <c r="F11" i="1" s="1"/>
  <c r="K12" i="1"/>
  <c r="B12" i="1" a="1"/>
  <c r="B12" i="1" s="1"/>
  <c r="E12" i="1" s="1"/>
  <c r="F12" i="1" s="1"/>
  <c r="K13" i="1"/>
  <c r="B13" i="1" a="1"/>
  <c r="B13" i="1" s="1"/>
  <c r="E13" i="1" s="1"/>
  <c r="F13" i="1" s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B29" i="1" a="1"/>
  <c r="B29" i="1" s="1"/>
  <c r="E29" i="1" s="1"/>
  <c r="F29" i="1" s="1"/>
  <c r="K30" i="1"/>
  <c r="K31" i="1"/>
  <c r="K32" i="1"/>
  <c r="B32" i="1" a="1"/>
  <c r="B32" i="1" s="1"/>
  <c r="E32" i="1" s="1"/>
  <c r="F32" i="1" s="1"/>
  <c r="K33" i="1"/>
  <c r="K34" i="1"/>
  <c r="K35" i="1"/>
  <c r="K36" i="1"/>
  <c r="K37" i="1"/>
  <c r="K38" i="1"/>
  <c r="K39" i="1"/>
  <c r="B39" i="1" a="1"/>
  <c r="B39" i="1" s="1"/>
  <c r="E39" i="1" s="1"/>
  <c r="F39" i="1" s="1"/>
  <c r="K40" i="1"/>
  <c r="K41" i="1"/>
  <c r="B41" i="1" a="1"/>
  <c r="B41" i="1" s="1"/>
  <c r="E41" i="1" s="1"/>
  <c r="F41" i="1" s="1"/>
  <c r="B42" i="1" a="1"/>
  <c r="B42" i="1" s="1"/>
  <c r="E42" i="1" s="1"/>
  <c r="F42" i="1" s="1"/>
  <c r="B45" i="1" a="1"/>
  <c r="B45" i="1" s="1"/>
  <c r="E45" i="1" s="1"/>
  <c r="F45" i="1" s="1"/>
  <c r="B46" i="1" a="1"/>
  <c r="B46" i="1" s="1"/>
  <c r="E46" i="1" s="1"/>
  <c r="F46" i="1" s="1"/>
  <c r="K48" i="1"/>
  <c r="B48" i="1" a="1"/>
  <c r="B48" i="1" s="1"/>
  <c r="E48" i="1" s="1"/>
  <c r="F48" i="1" s="1"/>
  <c r="B49" i="1" a="1"/>
  <c r="B49" i="1" s="1"/>
  <c r="E49" i="1" s="1"/>
  <c r="F49" i="1" s="1"/>
  <c r="B50" i="1" a="1"/>
  <c r="B50" i="1" s="1"/>
  <c r="E50" i="1" s="1"/>
  <c r="F50" i="1" s="1"/>
  <c r="G50" i="1" s="1" a="1"/>
  <c r="G50" i="1" s="1"/>
  <c r="B51" i="1" a="1"/>
  <c r="B51" i="1" s="1"/>
  <c r="E51" i="1" s="1"/>
  <c r="F51" i="1" s="1"/>
  <c r="B52" i="1" a="1"/>
  <c r="B52" i="1" s="1"/>
  <c r="E52" i="1" s="1"/>
  <c r="F52" i="1" s="1"/>
  <c r="B53" i="1" a="1"/>
  <c r="B53" i="1" s="1"/>
  <c r="E53" i="1" s="1"/>
  <c r="F53" i="1" s="1"/>
  <c r="B54" i="1" a="1"/>
  <c r="B54" i="1" s="1"/>
  <c r="E54" i="1" s="1"/>
  <c r="F54" i="1" s="1"/>
  <c r="K55" i="1"/>
  <c r="K56" i="1"/>
  <c r="K57" i="1"/>
  <c r="B57" i="1" a="1"/>
  <c r="B57" i="1" s="1"/>
  <c r="E57" i="1" s="1"/>
  <c r="F57" i="1" s="1"/>
  <c r="K58" i="1"/>
  <c r="B58" i="1" a="1"/>
  <c r="B58" i="1" s="1"/>
  <c r="E58" i="1" s="1"/>
  <c r="F58" i="1" s="1"/>
  <c r="K59" i="1"/>
  <c r="B59" i="1" a="1"/>
  <c r="B59" i="1" s="1"/>
  <c r="E59" i="1" s="1"/>
  <c r="F59" i="1" s="1"/>
  <c r="K60" i="1"/>
  <c r="K61" i="1"/>
  <c r="K62" i="1"/>
  <c r="B62" i="1" a="1"/>
  <c r="B62" i="1" s="1"/>
  <c r="E62" i="1" s="1"/>
  <c r="F62" i="1" s="1"/>
  <c r="K63" i="1"/>
  <c r="B63" i="1" a="1"/>
  <c r="B63" i="1" s="1"/>
  <c r="E63" i="1" s="1"/>
  <c r="F63" i="1" s="1"/>
  <c r="K64" i="1"/>
  <c r="B64" i="1" a="1"/>
  <c r="B64" i="1" s="1"/>
  <c r="E64" i="1" s="1"/>
  <c r="F64" i="1" s="1"/>
  <c r="K65" i="1"/>
  <c r="B65" i="1" a="1"/>
  <c r="B65" i="1" s="1"/>
  <c r="E65" i="1" s="1"/>
  <c r="F65" i="1" s="1"/>
  <c r="K66" i="1"/>
  <c r="B66" i="1" a="1"/>
  <c r="B66" i="1" s="1"/>
  <c r="E66" i="1" s="1"/>
  <c r="F66" i="1" s="1"/>
  <c r="K67" i="1"/>
  <c r="B67" i="1" a="1"/>
  <c r="B67" i="1" s="1"/>
  <c r="E67" i="1" s="1"/>
  <c r="F67" i="1" s="1"/>
  <c r="K68" i="1"/>
  <c r="K69" i="1"/>
  <c r="B69" i="1" a="1"/>
  <c r="B69" i="1" s="1"/>
  <c r="E69" i="1" s="1"/>
  <c r="F69" i="1" s="1"/>
  <c r="K70" i="1"/>
  <c r="K71" i="1"/>
  <c r="K72" i="1"/>
  <c r="B72" i="1" a="1"/>
  <c r="B72" i="1" s="1"/>
  <c r="E72" i="1" s="1"/>
  <c r="F72" i="1" s="1"/>
  <c r="K73" i="1"/>
  <c r="B73" i="1" a="1"/>
  <c r="B73" i="1" s="1"/>
  <c r="E73" i="1" s="1"/>
  <c r="F73" i="1" s="1"/>
  <c r="K74" i="1"/>
  <c r="B74" i="1" a="1"/>
  <c r="B74" i="1" s="1"/>
  <c r="E74" i="1" s="1"/>
  <c r="F74" i="1" s="1"/>
  <c r="K75" i="1"/>
  <c r="B75" i="1" a="1"/>
  <c r="B75" i="1" s="1"/>
  <c r="E75" i="1" s="1"/>
  <c r="F75" i="1" s="1"/>
  <c r="K76" i="1"/>
  <c r="B76" i="1" a="1"/>
  <c r="B76" i="1" s="1"/>
  <c r="E76" i="1" s="1"/>
  <c r="F76" i="1" s="1"/>
  <c r="K77" i="1"/>
  <c r="B77" i="1" a="1"/>
  <c r="B77" i="1" s="1"/>
  <c r="E77" i="1" s="1"/>
  <c r="F77" i="1" s="1"/>
  <c r="K78" i="1"/>
  <c r="B78" i="1" a="1"/>
  <c r="B78" i="1" s="1"/>
  <c r="K79" i="1"/>
  <c r="B79" i="1" a="1"/>
  <c r="B79" i="1" s="1"/>
  <c r="E79" i="1" s="1"/>
  <c r="F79" i="1" s="1"/>
  <c r="K80" i="1"/>
  <c r="B80" i="1" a="1"/>
  <c r="B80" i="1" s="1"/>
  <c r="E80" i="1" s="1"/>
  <c r="F80" i="1" s="1"/>
  <c r="K81" i="1"/>
  <c r="B81" i="1" a="1"/>
  <c r="B81" i="1" s="1"/>
  <c r="E81" i="1" s="1"/>
  <c r="F81" i="1" s="1"/>
  <c r="K82" i="1"/>
  <c r="K83" i="1"/>
  <c r="B83" i="1" a="1"/>
  <c r="B83" i="1" s="1"/>
  <c r="E83" i="1" s="1"/>
  <c r="F83" i="1" s="1"/>
  <c r="K84" i="1"/>
  <c r="K85" i="1"/>
  <c r="K86" i="1"/>
  <c r="B86" i="1" a="1"/>
  <c r="B86" i="1" s="1"/>
  <c r="E86" i="1" s="1"/>
  <c r="F86" i="1" s="1"/>
  <c r="K87" i="1"/>
  <c r="K88" i="1"/>
  <c r="B88" i="1" a="1"/>
  <c r="B88" i="1" s="1"/>
  <c r="E88" i="1" s="1"/>
  <c r="F88" i="1" s="1"/>
  <c r="K89" i="1"/>
  <c r="K90" i="1"/>
  <c r="B90" i="1" a="1"/>
  <c r="B90" i="1" s="1"/>
  <c r="E90" i="1" s="1"/>
  <c r="F90" i="1" s="1"/>
  <c r="K91" i="1"/>
  <c r="B91" i="1" a="1"/>
  <c r="B91" i="1" s="1"/>
  <c r="E91" i="1" s="1"/>
  <c r="F91" i="1" s="1"/>
  <c r="K92" i="1"/>
  <c r="K93" i="1"/>
  <c r="B93" i="1" a="1"/>
  <c r="B93" i="1" s="1"/>
  <c r="E93" i="1" s="1"/>
  <c r="F93" i="1" s="1"/>
  <c r="K94" i="1"/>
  <c r="B94" i="1" a="1"/>
  <c r="B94" i="1" s="1"/>
  <c r="E94" i="1" s="1"/>
  <c r="F94" i="1" s="1"/>
  <c r="K95" i="1"/>
  <c r="B95" i="1" a="1"/>
  <c r="B95" i="1" s="1"/>
  <c r="E95" i="1" s="1"/>
  <c r="F95" i="1" s="1"/>
  <c r="K96" i="1"/>
  <c r="B96" i="1" a="1"/>
  <c r="B96" i="1" s="1"/>
  <c r="E96" i="1" s="1"/>
  <c r="F96" i="1" s="1"/>
  <c r="K97" i="1"/>
  <c r="K98" i="1"/>
  <c r="B98" i="1" a="1"/>
  <c r="B98" i="1" s="1"/>
  <c r="E98" i="1" s="1"/>
  <c r="F98" i="1" s="1"/>
  <c r="K99" i="1"/>
  <c r="B99" i="1" a="1"/>
  <c r="B99" i="1" s="1"/>
  <c r="E99" i="1" s="1"/>
  <c r="F99" i="1" s="1"/>
  <c r="K100" i="1"/>
  <c r="B100" i="1" a="1"/>
  <c r="B100" i="1" s="1"/>
  <c r="E100" i="1" s="1"/>
  <c r="F100" i="1" s="1"/>
  <c r="K101" i="1"/>
  <c r="B101" i="1" a="1"/>
  <c r="B101" i="1" s="1"/>
  <c r="E101" i="1" s="1"/>
  <c r="F101" i="1" s="1"/>
  <c r="K102" i="1"/>
  <c r="B102" i="1" a="1"/>
  <c r="B102" i="1" s="1"/>
  <c r="E102" i="1" s="1"/>
  <c r="F102" i="1" s="1"/>
  <c r="K103" i="1"/>
  <c r="B103" i="1" a="1"/>
  <c r="B103" i="1" s="1"/>
  <c r="E103" i="1" s="1"/>
  <c r="F103" i="1" s="1"/>
  <c r="K104" i="1"/>
  <c r="K105" i="1"/>
  <c r="K106" i="1"/>
  <c r="K107" i="1"/>
  <c r="B107" i="1" a="1"/>
  <c r="B107" i="1" s="1"/>
  <c r="E107" i="1" s="1"/>
  <c r="F107" i="1" s="1"/>
  <c r="K108" i="1"/>
  <c r="B108" i="1" a="1"/>
  <c r="B108" i="1" s="1"/>
  <c r="E108" i="1" s="1"/>
  <c r="F108" i="1" s="1"/>
  <c r="K109" i="1"/>
  <c r="B109" i="1" a="1"/>
  <c r="B109" i="1" s="1"/>
  <c r="E109" i="1" s="1"/>
  <c r="F109" i="1" s="1"/>
  <c r="K110" i="1"/>
  <c r="B110" i="1" a="1"/>
  <c r="B110" i="1" s="1"/>
  <c r="E110" i="1" s="1"/>
  <c r="F110" i="1" s="1"/>
  <c r="K111" i="1"/>
  <c r="B111" i="1" a="1"/>
  <c r="B111" i="1" s="1"/>
  <c r="E111" i="1" s="1"/>
  <c r="F111" i="1" s="1"/>
  <c r="K112" i="1"/>
  <c r="B112" i="1" a="1"/>
  <c r="B112" i="1" s="1"/>
  <c r="E112" i="1" s="1"/>
  <c r="F112" i="1" s="1"/>
  <c r="K113" i="1"/>
  <c r="K114" i="1"/>
  <c r="B114" i="1" a="1"/>
  <c r="B114" i="1" s="1"/>
  <c r="E114" i="1" s="1"/>
  <c r="F114" i="1" s="1"/>
  <c r="K115" i="1"/>
  <c r="B115" i="1" a="1"/>
  <c r="B115" i="1" s="1"/>
  <c r="E115" i="1" s="1"/>
  <c r="F115" i="1" s="1"/>
  <c r="K116" i="1"/>
  <c r="B116" i="1" a="1"/>
  <c r="B116" i="1" s="1"/>
  <c r="E116" i="1" s="1"/>
  <c r="F116" i="1" s="1"/>
  <c r="K117" i="1"/>
  <c r="B117" i="1" a="1"/>
  <c r="B117" i="1" s="1"/>
  <c r="E117" i="1" s="1"/>
  <c r="F117" i="1" s="1"/>
  <c r="K118" i="1"/>
  <c r="B118" i="1" a="1"/>
  <c r="B118" i="1" s="1"/>
  <c r="E118" i="1" s="1"/>
  <c r="F118" i="1" s="1"/>
  <c r="K119" i="1"/>
  <c r="B119" i="1" a="1"/>
  <c r="B119" i="1" s="1"/>
  <c r="E119" i="1" s="1"/>
  <c r="F119" i="1" s="1"/>
  <c r="K120" i="1"/>
  <c r="B120" i="1" a="1"/>
  <c r="B120" i="1" s="1"/>
  <c r="E120" i="1" s="1"/>
  <c r="F120" i="1" s="1"/>
  <c r="K121" i="1"/>
  <c r="B121" i="1" a="1"/>
  <c r="B121" i="1" s="1"/>
  <c r="E121" i="1" s="1"/>
  <c r="F121" i="1" s="1"/>
  <c r="K122" i="1"/>
  <c r="K123" i="1"/>
  <c r="B123" i="1" a="1"/>
  <c r="B123" i="1" s="1"/>
  <c r="E123" i="1" s="1"/>
  <c r="F123" i="1" s="1"/>
  <c r="K124" i="1"/>
  <c r="K125" i="1"/>
  <c r="B125" i="1" a="1"/>
  <c r="B125" i="1" s="1"/>
  <c r="E125" i="1" s="1"/>
  <c r="F125" i="1" s="1"/>
  <c r="K126" i="1"/>
  <c r="B126" i="1" a="1"/>
  <c r="B126" i="1" s="1"/>
  <c r="E126" i="1" s="1"/>
  <c r="F126" i="1" s="1"/>
  <c r="K127" i="1"/>
  <c r="B127" i="1" a="1"/>
  <c r="B127" i="1" s="1"/>
  <c r="E127" i="1" s="1"/>
  <c r="F127" i="1" s="1"/>
  <c r="K128" i="1"/>
  <c r="B128" i="1" a="1"/>
  <c r="B128" i="1" s="1"/>
  <c r="E128" i="1" s="1"/>
  <c r="F128" i="1" s="1"/>
  <c r="K129" i="1"/>
  <c r="B129" i="1" a="1"/>
  <c r="B129" i="1" s="1"/>
  <c r="E129" i="1" s="1"/>
  <c r="F129" i="1" s="1"/>
  <c r="K130" i="1"/>
  <c r="B130" i="1" a="1"/>
  <c r="B130" i="1" s="1"/>
  <c r="E130" i="1" s="1"/>
  <c r="F130" i="1" s="1"/>
  <c r="K131" i="1"/>
  <c r="B131" i="1" a="1"/>
  <c r="B131" i="1" s="1"/>
  <c r="E131" i="1" s="1"/>
  <c r="F131" i="1" s="1"/>
  <c r="K132" i="1"/>
  <c r="B132" i="1" a="1"/>
  <c r="B132" i="1" s="1"/>
  <c r="E132" i="1" s="1"/>
  <c r="F132" i="1" s="1"/>
  <c r="K133" i="1"/>
  <c r="B133" i="1" a="1"/>
  <c r="B133" i="1" s="1"/>
  <c r="E133" i="1" s="1"/>
  <c r="F133" i="1" s="1"/>
  <c r="K134" i="1"/>
  <c r="B134" i="1" a="1"/>
  <c r="B134" i="1" s="1"/>
  <c r="E134" i="1" s="1"/>
  <c r="F134" i="1" s="1"/>
  <c r="K135" i="1"/>
  <c r="B135" i="1" a="1"/>
  <c r="B135" i="1" s="1"/>
  <c r="E135" i="1" s="1"/>
  <c r="F135" i="1" s="1"/>
  <c r="K136" i="1"/>
  <c r="B136" i="1" a="1"/>
  <c r="B136" i="1" s="1"/>
  <c r="E136" i="1" s="1"/>
  <c r="F136" i="1" s="1"/>
  <c r="K137" i="1"/>
  <c r="B137" i="1" a="1"/>
  <c r="B137" i="1" s="1"/>
  <c r="E137" i="1" s="1"/>
  <c r="F137" i="1" s="1"/>
  <c r="K138" i="1"/>
  <c r="K139" i="1"/>
  <c r="K140" i="1"/>
  <c r="B140" i="1" a="1"/>
  <c r="B140" i="1" s="1"/>
  <c r="E140" i="1" s="1"/>
  <c r="F140" i="1" s="1"/>
  <c r="K141" i="1"/>
  <c r="K142" i="1"/>
  <c r="B142" i="1" a="1"/>
  <c r="B142" i="1" s="1"/>
  <c r="E142" i="1" s="1"/>
  <c r="F142" i="1" s="1"/>
  <c r="K143" i="1"/>
  <c r="K144" i="1"/>
  <c r="K145" i="1"/>
  <c r="K146" i="1"/>
  <c r="K147" i="1"/>
  <c r="B147" i="1" a="1"/>
  <c r="B147" i="1" s="1"/>
  <c r="E147" i="1" s="1"/>
  <c r="F147" i="1" s="1"/>
  <c r="K148" i="1"/>
  <c r="B148" i="1" a="1"/>
  <c r="B148" i="1" s="1"/>
  <c r="E148" i="1" s="1"/>
  <c r="F148" i="1" s="1"/>
  <c r="K149" i="1"/>
  <c r="B149" i="1" a="1"/>
  <c r="B149" i="1" s="1"/>
  <c r="E149" i="1" s="1"/>
  <c r="F149" i="1" s="1"/>
  <c r="K150" i="1"/>
  <c r="B150" i="1" a="1"/>
  <c r="B150" i="1" s="1"/>
  <c r="E150" i="1" s="1"/>
  <c r="F150" i="1" s="1"/>
  <c r="K151" i="1"/>
  <c r="B151" i="1" a="1"/>
  <c r="B151" i="1" s="1"/>
  <c r="E151" i="1" s="1"/>
  <c r="F151" i="1" s="1"/>
  <c r="K152" i="1"/>
  <c r="K153" i="1"/>
  <c r="B153" i="1" a="1"/>
  <c r="B153" i="1" s="1"/>
  <c r="E153" i="1" s="1"/>
  <c r="F153" i="1" s="1"/>
  <c r="K154" i="1"/>
  <c r="B154" i="1" a="1"/>
  <c r="B154" i="1" s="1"/>
  <c r="E154" i="1" s="1"/>
  <c r="F154" i="1" s="1"/>
  <c r="K155" i="1"/>
  <c r="K156" i="1"/>
  <c r="B156" i="1" a="1"/>
  <c r="B156" i="1" s="1"/>
  <c r="E156" i="1" s="1"/>
  <c r="F156" i="1" s="1"/>
  <c r="K157" i="1"/>
  <c r="B157" i="1" a="1"/>
  <c r="B157" i="1" s="1"/>
  <c r="E157" i="1" s="1"/>
  <c r="F157" i="1" s="1"/>
  <c r="K158" i="1"/>
  <c r="K159" i="1"/>
  <c r="B159" i="1" a="1"/>
  <c r="B159" i="1" s="1"/>
  <c r="E159" i="1" s="1"/>
  <c r="F159" i="1" s="1"/>
  <c r="K160" i="1"/>
  <c r="B160" i="1" a="1"/>
  <c r="B160" i="1" s="1"/>
  <c r="E160" i="1" s="1"/>
  <c r="F160" i="1" s="1"/>
  <c r="K161" i="1"/>
  <c r="B161" i="1" a="1"/>
  <c r="B161" i="1" s="1"/>
  <c r="E161" i="1" s="1"/>
  <c r="F161" i="1" s="1"/>
  <c r="K162" i="1"/>
  <c r="B162" i="1" a="1"/>
  <c r="B162" i="1" s="1"/>
  <c r="E162" i="1" s="1"/>
  <c r="F162" i="1" s="1"/>
  <c r="K163" i="1"/>
  <c r="B163" i="1" a="1"/>
  <c r="B163" i="1" s="1"/>
  <c r="E163" i="1" s="1"/>
  <c r="F163" i="1" s="1"/>
  <c r="K164" i="1"/>
  <c r="K165" i="1"/>
  <c r="B165" i="1" a="1"/>
  <c r="B165" i="1" s="1"/>
  <c r="E165" i="1" s="1"/>
  <c r="F165" i="1" s="1"/>
  <c r="K166" i="1"/>
  <c r="B166" i="1" a="1"/>
  <c r="B166" i="1" s="1"/>
  <c r="E166" i="1" s="1"/>
  <c r="F166" i="1" s="1"/>
  <c r="K167" i="1"/>
  <c r="B167" i="1" a="1"/>
  <c r="B167" i="1" s="1"/>
  <c r="E167" i="1" s="1"/>
  <c r="F167" i="1" s="1"/>
  <c r="K168" i="1"/>
  <c r="K169" i="1"/>
  <c r="B169" i="1" a="1"/>
  <c r="B169" i="1" s="1"/>
  <c r="E169" i="1" s="1"/>
  <c r="F169" i="1" s="1"/>
  <c r="K170" i="1"/>
  <c r="K171" i="1"/>
  <c r="B171" i="1" a="1"/>
  <c r="B171" i="1" s="1"/>
  <c r="E171" i="1" s="1"/>
  <c r="F171" i="1" s="1"/>
  <c r="K172" i="1"/>
  <c r="B172" i="1" a="1"/>
  <c r="B172" i="1" s="1"/>
  <c r="E172" i="1" s="1"/>
  <c r="F172" i="1" s="1"/>
  <c r="K173" i="1"/>
  <c r="B173" i="1" a="1"/>
  <c r="B173" i="1" s="1"/>
  <c r="E173" i="1" s="1"/>
  <c r="F173" i="1" s="1"/>
  <c r="K174" i="1"/>
  <c r="B174" i="1" a="1"/>
  <c r="B174" i="1" s="1"/>
  <c r="E174" i="1" s="1"/>
  <c r="F174" i="1" s="1"/>
  <c r="K175" i="1"/>
  <c r="K176" i="1"/>
  <c r="K177" i="1"/>
  <c r="K178" i="1"/>
  <c r="K179" i="1"/>
  <c r="B179" i="1" a="1"/>
  <c r="B179" i="1" s="1"/>
  <c r="E179" i="1" s="1"/>
  <c r="F179" i="1" s="1"/>
  <c r="K180" i="1"/>
  <c r="B180" i="1" a="1"/>
  <c r="B180" i="1" s="1"/>
  <c r="E180" i="1" s="1"/>
  <c r="F180" i="1" s="1"/>
  <c r="K181" i="1"/>
  <c r="B181" i="1" a="1"/>
  <c r="B181" i="1" s="1"/>
  <c r="E181" i="1" s="1"/>
  <c r="F181" i="1" s="1"/>
  <c r="K182" i="1"/>
  <c r="B182" i="1" a="1"/>
  <c r="B182" i="1" s="1"/>
  <c r="E182" i="1" s="1"/>
  <c r="F182" i="1" s="1"/>
  <c r="K183" i="1"/>
  <c r="B183" i="1" a="1"/>
  <c r="B183" i="1" s="1"/>
  <c r="E183" i="1" s="1"/>
  <c r="F183" i="1" s="1"/>
  <c r="K184" i="1"/>
  <c r="B184" i="1" a="1"/>
  <c r="B184" i="1" s="1"/>
  <c r="E184" i="1" s="1"/>
  <c r="F184" i="1" s="1"/>
  <c r="K185" i="1"/>
  <c r="B185" i="1" a="1"/>
  <c r="B185" i="1" s="1"/>
  <c r="E185" i="1" s="1"/>
  <c r="F185" i="1" s="1"/>
  <c r="K186" i="1"/>
  <c r="B186" i="1" a="1"/>
  <c r="B186" i="1" s="1"/>
  <c r="E186" i="1" s="1"/>
  <c r="F186" i="1" s="1"/>
  <c r="K187" i="1"/>
  <c r="B187" i="1" a="1"/>
  <c r="B187" i="1" s="1"/>
  <c r="E187" i="1" s="1"/>
  <c r="F187" i="1" s="1"/>
  <c r="K188" i="1"/>
  <c r="B188" i="1" a="1"/>
  <c r="B188" i="1" s="1"/>
  <c r="E188" i="1" s="1"/>
  <c r="F188" i="1" s="1"/>
  <c r="K189" i="1"/>
  <c r="B189" i="1" a="1"/>
  <c r="B189" i="1" s="1"/>
  <c r="E189" i="1" s="1"/>
  <c r="F189" i="1" s="1"/>
  <c r="K190" i="1"/>
  <c r="B190" i="1" a="1"/>
  <c r="B190" i="1" s="1"/>
  <c r="E190" i="1" s="1"/>
  <c r="F190" i="1" s="1"/>
  <c r="K191" i="1"/>
  <c r="K192" i="1"/>
  <c r="B192" i="1" a="1"/>
  <c r="B192" i="1" s="1"/>
  <c r="E192" i="1" s="1"/>
  <c r="F192" i="1" s="1"/>
  <c r="K193" i="1"/>
  <c r="B193" i="1" a="1"/>
  <c r="B193" i="1" s="1"/>
  <c r="E193" i="1" s="1"/>
  <c r="F193" i="1" s="1"/>
  <c r="K194" i="1"/>
  <c r="B194" i="1" a="1"/>
  <c r="B194" i="1" s="1"/>
  <c r="E194" i="1" s="1"/>
  <c r="F194" i="1" s="1"/>
  <c r="K195" i="1"/>
  <c r="K196" i="1"/>
  <c r="B196" i="1" a="1"/>
  <c r="B196" i="1" s="1"/>
  <c r="E196" i="1" s="1"/>
  <c r="F196" i="1" s="1"/>
  <c r="K197" i="1"/>
  <c r="B197" i="1" a="1"/>
  <c r="B197" i="1" s="1"/>
  <c r="E197" i="1" s="1"/>
  <c r="F197" i="1" s="1"/>
  <c r="K198" i="1"/>
  <c r="B198" i="1" a="1"/>
  <c r="B198" i="1" s="1"/>
  <c r="E198" i="1" s="1"/>
  <c r="F198" i="1" s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Y1" i="1"/>
  <c r="A335" i="1"/>
  <c r="D335" i="1"/>
  <c r="B335" i="1" a="1"/>
  <c r="B335" i="1" s="1"/>
  <c r="E335" i="1" s="1"/>
  <c r="F335" i="1" s="1"/>
  <c r="A336" i="1"/>
  <c r="D336" i="1"/>
  <c r="A337" i="1"/>
  <c r="D337" i="1"/>
  <c r="A338" i="1"/>
  <c r="D338" i="1"/>
  <c r="B338" i="1" a="1"/>
  <c r="B338" i="1" s="1"/>
  <c r="E338" i="1" s="1"/>
  <c r="F338" i="1" s="1"/>
  <c r="D50" i="10"/>
  <c r="E50" i="10"/>
  <c r="F50" i="10"/>
  <c r="G50" i="10"/>
  <c r="H50" i="10"/>
  <c r="I50" i="10"/>
  <c r="J50" i="10"/>
  <c r="K50" i="10"/>
  <c r="C50" i="10"/>
  <c r="B50" i="10"/>
  <c r="F48" i="4"/>
  <c r="F42" i="4"/>
  <c r="F41" i="4"/>
  <c r="F40" i="4"/>
  <c r="F34" i="4"/>
  <c r="F33" i="4"/>
  <c r="F32" i="4"/>
  <c r="F31" i="4"/>
  <c r="F30" i="4"/>
  <c r="F29" i="4"/>
  <c r="D334" i="1"/>
  <c r="A334" i="1"/>
  <c r="M5" i="25"/>
  <c r="N5" i="25" s="1"/>
  <c r="C5" i="26"/>
  <c r="D5" i="26" s="1"/>
  <c r="T5" i="27"/>
  <c r="T11" i="27"/>
  <c r="K30" i="27"/>
  <c r="E29" i="27"/>
  <c r="T15" i="27"/>
  <c r="D85" i="1"/>
  <c r="K5" i="25"/>
  <c r="C7" i="17" s="1"/>
  <c r="B330" i="1" a="1"/>
  <c r="B330" i="1" s="1"/>
  <c r="E330" i="1" s="1"/>
  <c r="F330" i="1" s="1"/>
  <c r="B327" i="1" a="1"/>
  <c r="B327" i="1" s="1"/>
  <c r="E327" i="1" s="1"/>
  <c r="F327" i="1" s="1"/>
  <c r="B326" i="1" a="1"/>
  <c r="B326" i="1" s="1"/>
  <c r="E326" i="1" s="1"/>
  <c r="F326" i="1" s="1"/>
  <c r="B323" i="1" a="1"/>
  <c r="B323" i="1" s="1"/>
  <c r="E323" i="1" s="1"/>
  <c r="F323" i="1" s="1"/>
  <c r="B312" i="1" a="1"/>
  <c r="B312" i="1" s="1"/>
  <c r="E312" i="1" s="1"/>
  <c r="F312" i="1" s="1"/>
  <c r="B310" i="1" a="1"/>
  <c r="B310" i="1" s="1"/>
  <c r="E310" i="1" s="1"/>
  <c r="F310" i="1" s="1"/>
  <c r="B309" i="1" a="1"/>
  <c r="B309" i="1" s="1"/>
  <c r="E309" i="1" s="1"/>
  <c r="F309" i="1" s="1"/>
  <c r="B308" i="1" a="1"/>
  <c r="B308" i="1" s="1"/>
  <c r="E308" i="1" s="1"/>
  <c r="F308" i="1" s="1"/>
  <c r="B307" i="1" a="1"/>
  <c r="B307" i="1" s="1"/>
  <c r="E307" i="1" s="1"/>
  <c r="F307" i="1" s="1"/>
  <c r="B306" i="1" a="1"/>
  <c r="B306" i="1" s="1"/>
  <c r="E306" i="1" s="1"/>
  <c r="F306" i="1" s="1"/>
  <c r="B305" i="1" a="1"/>
  <c r="B305" i="1" s="1"/>
  <c r="E305" i="1" s="1"/>
  <c r="F305" i="1" s="1"/>
  <c r="B304" i="1" a="1"/>
  <c r="B304" i="1" s="1"/>
  <c r="E304" i="1" s="1"/>
  <c r="F304" i="1" s="1"/>
  <c r="B303" i="1" a="1"/>
  <c r="B303" i="1" s="1"/>
  <c r="E303" i="1" s="1"/>
  <c r="F303" i="1" s="1"/>
  <c r="B299" i="1" a="1"/>
  <c r="B299" i="1" s="1"/>
  <c r="E299" i="1" s="1"/>
  <c r="F299" i="1" s="1"/>
  <c r="B294" i="1" a="1"/>
  <c r="B294" i="1" s="1"/>
  <c r="E294" i="1" s="1"/>
  <c r="F294" i="1" s="1"/>
  <c r="B291" i="1" a="1"/>
  <c r="B291" i="1" s="1"/>
  <c r="E291" i="1" s="1"/>
  <c r="F291" i="1" s="1"/>
  <c r="B288" i="1" a="1"/>
  <c r="B288" i="1" s="1"/>
  <c r="E288" i="1" s="1"/>
  <c r="F288" i="1" s="1"/>
  <c r="B286" i="1" a="1"/>
  <c r="B286" i="1" s="1"/>
  <c r="E286" i="1" s="1"/>
  <c r="F286" i="1" s="1"/>
  <c r="B285" i="1" a="1"/>
  <c r="B285" i="1" s="1"/>
  <c r="E285" i="1" s="1"/>
  <c r="F285" i="1" s="1"/>
  <c r="B283" i="1" a="1"/>
  <c r="B283" i="1" s="1"/>
  <c r="E283" i="1" s="1"/>
  <c r="F283" i="1" s="1"/>
  <c r="B282" i="1" a="1"/>
  <c r="B282" i="1" s="1"/>
  <c r="E282" i="1" s="1"/>
  <c r="F282" i="1" s="1"/>
  <c r="B280" i="1" a="1"/>
  <c r="B280" i="1" s="1"/>
  <c r="E280" i="1" s="1"/>
  <c r="F280" i="1" s="1"/>
  <c r="B278" i="1" a="1"/>
  <c r="B278" i="1" s="1"/>
  <c r="E278" i="1" s="1"/>
  <c r="F278" i="1" s="1"/>
  <c r="B276" i="1" a="1"/>
  <c r="B276" i="1" s="1"/>
  <c r="E276" i="1" s="1"/>
  <c r="F276" i="1" s="1"/>
  <c r="B274" i="1" a="1"/>
  <c r="B274" i="1" s="1"/>
  <c r="E274" i="1" s="1"/>
  <c r="F274" i="1" s="1"/>
  <c r="B272" i="1" a="1"/>
  <c r="B272" i="1" s="1"/>
  <c r="E272" i="1" s="1"/>
  <c r="F272" i="1" s="1"/>
  <c r="B271" i="1" a="1"/>
  <c r="B271" i="1" s="1"/>
  <c r="E271" i="1" s="1"/>
  <c r="F271" i="1" s="1"/>
  <c r="B267" i="1" a="1"/>
  <c r="B267" i="1" s="1"/>
  <c r="E267" i="1" s="1"/>
  <c r="F267" i="1" s="1"/>
  <c r="B264" i="1" a="1"/>
  <c r="B264" i="1" s="1"/>
  <c r="E264" i="1" s="1"/>
  <c r="F264" i="1" s="1"/>
  <c r="B263" i="1" a="1"/>
  <c r="B263" i="1" s="1"/>
  <c r="E263" i="1" s="1"/>
  <c r="F263" i="1" s="1"/>
  <c r="B262" i="1" a="1"/>
  <c r="B262" i="1" s="1"/>
  <c r="E262" i="1" s="1"/>
  <c r="F262" i="1" s="1"/>
  <c r="B258" i="1" a="1"/>
  <c r="B258" i="1" s="1"/>
  <c r="E258" i="1" s="1"/>
  <c r="F258" i="1" s="1"/>
  <c r="B252" i="1" a="1"/>
  <c r="B252" i="1" s="1"/>
  <c r="E252" i="1" s="1"/>
  <c r="F252" i="1" s="1"/>
  <c r="B251" i="1" a="1"/>
  <c r="B251" i="1" s="1"/>
  <c r="E251" i="1" s="1"/>
  <c r="F251" i="1" s="1"/>
  <c r="B250" i="1" a="1"/>
  <c r="B250" i="1" s="1"/>
  <c r="E250" i="1" s="1"/>
  <c r="F250" i="1" s="1"/>
  <c r="B243" i="1" a="1"/>
  <c r="B243" i="1" s="1"/>
  <c r="E243" i="1" s="1"/>
  <c r="F243" i="1" s="1"/>
  <c r="B242" i="1" a="1"/>
  <c r="B242" i="1" s="1"/>
  <c r="E242" i="1" s="1"/>
  <c r="F242" i="1" s="1"/>
  <c r="B239" i="1" a="1"/>
  <c r="B239" i="1" s="1"/>
  <c r="E239" i="1" s="1"/>
  <c r="F239" i="1" s="1"/>
  <c r="B230" i="1" a="1"/>
  <c r="B230" i="1" s="1"/>
  <c r="E230" i="1" s="1"/>
  <c r="F230" i="1" s="1"/>
  <c r="B223" i="1" a="1"/>
  <c r="B223" i="1" s="1"/>
  <c r="E223" i="1" s="1"/>
  <c r="F223" i="1" s="1"/>
  <c r="B212" i="1" a="1"/>
  <c r="B212" i="1" s="1"/>
  <c r="E212" i="1" s="1"/>
  <c r="F212" i="1" s="1"/>
  <c r="B210" i="1" a="1"/>
  <c r="B210" i="1" s="1"/>
  <c r="E210" i="1" s="1"/>
  <c r="F210" i="1" s="1"/>
  <c r="B208" i="1" a="1"/>
  <c r="B208" i="1" s="1"/>
  <c r="E208" i="1" s="1"/>
  <c r="F208" i="1" s="1"/>
  <c r="B202" i="1" a="1"/>
  <c r="B202" i="1" s="1"/>
  <c r="E202" i="1" s="1"/>
  <c r="F202" i="1" s="1"/>
  <c r="B201" i="1" a="1"/>
  <c r="B201" i="1" s="1"/>
  <c r="E201" i="1" s="1"/>
  <c r="F201" i="1" s="1"/>
  <c r="B200" i="1" a="1"/>
  <c r="B200" i="1" s="1"/>
  <c r="E200" i="1" s="1"/>
  <c r="F200" i="1" s="1"/>
  <c r="B199" i="1" a="1"/>
  <c r="B199" i="1" s="1"/>
  <c r="E199" i="1" s="1"/>
  <c r="F199" i="1" s="1"/>
  <c r="B170" i="1" a="1"/>
  <c r="B170" i="1" s="1"/>
  <c r="E170" i="1" s="1"/>
  <c r="F170" i="1" s="1"/>
  <c r="B158" i="1" a="1"/>
  <c r="B158" i="1" s="1"/>
  <c r="E158" i="1" s="1"/>
  <c r="F158" i="1" s="1"/>
  <c r="B84" i="1" a="1"/>
  <c r="B84" i="1" s="1"/>
  <c r="E84" i="1" s="1"/>
  <c r="F84" i="1" s="1"/>
  <c r="B70" i="1" a="1"/>
  <c r="B70" i="1" s="1"/>
  <c r="E70" i="1" s="1"/>
  <c r="F70" i="1" s="1"/>
  <c r="B38" i="1" a="1"/>
  <c r="B38" i="1" s="1"/>
  <c r="E38" i="1" s="1"/>
  <c r="F38" i="1" s="1"/>
  <c r="B36" i="1" a="1"/>
  <c r="B36" i="1" s="1"/>
  <c r="E36" i="1" s="1"/>
  <c r="F36" i="1" s="1"/>
  <c r="B33" i="1" a="1"/>
  <c r="B33" i="1" s="1"/>
  <c r="E33" i="1" s="1"/>
  <c r="F33" i="1" s="1"/>
  <c r="B27" i="1" a="1"/>
  <c r="B27" i="1" s="1"/>
  <c r="E27" i="1" s="1"/>
  <c r="F27" i="1" s="1"/>
  <c r="B26" i="1" a="1"/>
  <c r="B26" i="1" s="1"/>
  <c r="E26" i="1" s="1"/>
  <c r="F26" i="1" s="1"/>
  <c r="B25" i="1" a="1"/>
  <c r="B25" i="1" s="1"/>
  <c r="E25" i="1" s="1"/>
  <c r="F25" i="1" s="1"/>
  <c r="B23" i="1" a="1"/>
  <c r="B23" i="1" s="1"/>
  <c r="E23" i="1" s="1"/>
  <c r="F23" i="1" s="1"/>
  <c r="B22" i="1" a="1"/>
  <c r="B22" i="1" s="1"/>
  <c r="E22" i="1" s="1"/>
  <c r="F22" i="1" s="1"/>
  <c r="B21" i="1" a="1"/>
  <c r="B21" i="1" s="1"/>
  <c r="E21" i="1" s="1"/>
  <c r="F21" i="1" s="1"/>
  <c r="B18" i="1" a="1"/>
  <c r="B18" i="1" s="1"/>
  <c r="E18" i="1" s="1"/>
  <c r="F18" i="1" s="1"/>
  <c r="B17" i="1" a="1"/>
  <c r="B17" i="1" s="1"/>
  <c r="E17" i="1" s="1"/>
  <c r="F17" i="1" s="1"/>
  <c r="B16" i="1" a="1"/>
  <c r="B16" i="1" s="1"/>
  <c r="E16" i="1" s="1"/>
  <c r="F16" i="1" s="1"/>
  <c r="F49" i="4"/>
  <c r="E5" i="25"/>
  <c r="G5" i="25"/>
  <c r="H5" i="25"/>
  <c r="I5" i="25"/>
  <c r="J5" i="25"/>
  <c r="L5" i="25"/>
  <c r="F5" i="25"/>
  <c r="K1" i="26" a="1"/>
  <c r="K1" i="26"/>
  <c r="M31" i="24"/>
  <c r="M43" i="24"/>
  <c r="F170" i="4"/>
  <c r="F169" i="4"/>
  <c r="F168" i="4"/>
  <c r="F167" i="4"/>
  <c r="F166" i="4"/>
  <c r="F165" i="4"/>
  <c r="F164" i="4"/>
  <c r="F163" i="4"/>
  <c r="F162" i="4"/>
  <c r="F161" i="4"/>
  <c r="I160" i="20"/>
  <c r="J160" i="20" a="1"/>
  <c r="I156" i="20"/>
  <c r="J156" i="20" a="1"/>
  <c r="I157" i="20"/>
  <c r="J157" i="20" a="1"/>
  <c r="I158" i="20"/>
  <c r="J158" i="20" a="1"/>
  <c r="I159" i="20"/>
  <c r="J159" i="20" a="1"/>
  <c r="C2" i="17" a="1"/>
  <c r="C2" i="17"/>
  <c r="W6" i="1"/>
  <c r="D5" i="23"/>
  <c r="D5" i="7"/>
  <c r="B42" i="24" a="1"/>
  <c r="B42" i="24" s="1"/>
  <c r="B41" i="24" a="1"/>
  <c r="B41" i="24" s="1"/>
  <c r="B40" i="24" a="1"/>
  <c r="B40" i="24"/>
  <c r="B39" i="24" a="1"/>
  <c r="B39" i="24" s="1"/>
  <c r="B38" i="24" a="1"/>
  <c r="B38" i="24" s="1"/>
  <c r="B37" i="24" a="1"/>
  <c r="B37" i="24" s="1"/>
  <c r="B36" i="24" a="1"/>
  <c r="B36" i="24"/>
  <c r="B35" i="24" a="1"/>
  <c r="B35" i="24" s="1"/>
  <c r="B34" i="24" a="1"/>
  <c r="B34" i="24" s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K1" i="23" a="1"/>
  <c r="K1" i="23"/>
  <c r="J155" i="20" a="1"/>
  <c r="J154" i="20" a="1"/>
  <c r="J153" i="20" a="1"/>
  <c r="J152" i="20" a="1"/>
  <c r="J151" i="20" a="1"/>
  <c r="J150" i="20" a="1"/>
  <c r="J149" i="20" a="1"/>
  <c r="J148" i="20" a="1"/>
  <c r="J147" i="20" a="1"/>
  <c r="J146" i="20" a="1"/>
  <c r="J145" i="20" a="1"/>
  <c r="J144" i="20" a="1"/>
  <c r="J143" i="20" a="1"/>
  <c r="J142" i="20" a="1"/>
  <c r="J141" i="20" a="1"/>
  <c r="J140" i="20" a="1"/>
  <c r="J139" i="20" a="1"/>
  <c r="J138" i="20" a="1"/>
  <c r="J137" i="20" a="1"/>
  <c r="J136" i="20" a="1"/>
  <c r="J135" i="20" a="1"/>
  <c r="J134" i="20" a="1"/>
  <c r="J133" i="20" a="1"/>
  <c r="J132" i="20" a="1"/>
  <c r="J131" i="20" a="1"/>
  <c r="J130" i="20" a="1"/>
  <c r="J129" i="20" a="1"/>
  <c r="J128" i="20" a="1"/>
  <c r="J127" i="20" a="1"/>
  <c r="J126" i="20" a="1"/>
  <c r="J125" i="20" a="1"/>
  <c r="J124" i="20" a="1"/>
  <c r="J123" i="20" a="1"/>
  <c r="J122" i="20" a="1"/>
  <c r="J121" i="20" a="1"/>
  <c r="J120" i="20" a="1"/>
  <c r="J119" i="20" a="1"/>
  <c r="J118" i="20" a="1"/>
  <c r="J117" i="20" a="1"/>
  <c r="J116" i="20" a="1"/>
  <c r="J115" i="20" a="1"/>
  <c r="J114" i="20" a="1"/>
  <c r="J113" i="20" a="1"/>
  <c r="J112" i="20" a="1"/>
  <c r="J112" i="20" s="1"/>
  <c r="K112" i="20" s="1"/>
  <c r="J111" i="20" a="1"/>
  <c r="J110" i="20" a="1"/>
  <c r="J109" i="20" a="1"/>
  <c r="J108" i="20" a="1"/>
  <c r="J107" i="20" a="1"/>
  <c r="J106" i="20" a="1"/>
  <c r="J105" i="20" a="1"/>
  <c r="J104" i="20" a="1"/>
  <c r="J104" i="20" s="1"/>
  <c r="K104" i="20" s="1"/>
  <c r="J103" i="20" a="1"/>
  <c r="J102" i="20" a="1"/>
  <c r="J101" i="20" a="1"/>
  <c r="J100" i="20" a="1"/>
  <c r="J100" i="20" s="1"/>
  <c r="K100" i="20" s="1"/>
  <c r="J99" i="20" a="1"/>
  <c r="J98" i="20" a="1"/>
  <c r="J97" i="20" a="1"/>
  <c r="J96" i="20" a="1"/>
  <c r="J95" i="20" a="1"/>
  <c r="J94" i="20" a="1"/>
  <c r="J93" i="20" a="1"/>
  <c r="J92" i="20" a="1"/>
  <c r="J91" i="20" a="1"/>
  <c r="J90" i="20" a="1"/>
  <c r="J89" i="20" a="1"/>
  <c r="J88" i="20" a="1"/>
  <c r="J87" i="20" a="1"/>
  <c r="J86" i="20" a="1"/>
  <c r="J85" i="20" a="1"/>
  <c r="J84" i="20" a="1"/>
  <c r="J83" i="20" a="1"/>
  <c r="J82" i="20" a="1"/>
  <c r="J81" i="20" a="1"/>
  <c r="J80" i="20" a="1"/>
  <c r="J79" i="20" a="1"/>
  <c r="J78" i="20" a="1"/>
  <c r="J77" i="20" a="1"/>
  <c r="J76" i="20" a="1"/>
  <c r="J75" i="20" a="1"/>
  <c r="J74" i="20" a="1"/>
  <c r="J73" i="20" a="1"/>
  <c r="J72" i="20" a="1"/>
  <c r="J71" i="20" a="1"/>
  <c r="J70" i="20" a="1"/>
  <c r="J69" i="20" a="1"/>
  <c r="J68" i="20" a="1"/>
  <c r="J68" i="20" s="1"/>
  <c r="K68" i="20" s="1"/>
  <c r="J67" i="20" a="1"/>
  <c r="J66" i="20" a="1"/>
  <c r="J65" i="20" a="1"/>
  <c r="J64" i="20" a="1"/>
  <c r="J63" i="20" a="1"/>
  <c r="J63" i="20" s="1"/>
  <c r="K63" i="20" s="1"/>
  <c r="J62" i="20" a="1"/>
  <c r="J61" i="20" a="1"/>
  <c r="J60" i="20" a="1"/>
  <c r="J59" i="20" a="1"/>
  <c r="J58" i="20" a="1"/>
  <c r="J57" i="20" a="1"/>
  <c r="J57" i="20" s="1"/>
  <c r="K57" i="20" s="1"/>
  <c r="J56" i="20" a="1"/>
  <c r="J55" i="20" a="1"/>
  <c r="J54" i="20" a="1"/>
  <c r="J53" i="20" a="1"/>
  <c r="J52" i="20" a="1"/>
  <c r="J52" i="20" s="1"/>
  <c r="K52" i="20" s="1"/>
  <c r="J51" i="20" a="1"/>
  <c r="J50" i="20" a="1"/>
  <c r="J49" i="20" a="1"/>
  <c r="J48" i="20" a="1"/>
  <c r="J48" i="20" s="1"/>
  <c r="K48" i="20" s="1"/>
  <c r="J47" i="20" a="1"/>
  <c r="J47" i="20" s="1"/>
  <c r="K47" i="20" s="1"/>
  <c r="J46" i="20" a="1"/>
  <c r="J45" i="20" a="1"/>
  <c r="J45" i="20" s="1"/>
  <c r="K45" i="20" s="1"/>
  <c r="J44" i="20" a="1"/>
  <c r="J44" i="20" s="1"/>
  <c r="K44" i="20" s="1"/>
  <c r="J43" i="20" a="1"/>
  <c r="J42" i="20" a="1"/>
  <c r="J41" i="20" a="1"/>
  <c r="J41" i="20" s="1"/>
  <c r="K41" i="20" s="1"/>
  <c r="J40" i="20" a="1"/>
  <c r="J39" i="20" a="1"/>
  <c r="J39" i="20" s="1"/>
  <c r="K39" i="20" s="1"/>
  <c r="J38" i="20" a="1"/>
  <c r="J37" i="20" a="1"/>
  <c r="J36" i="20" a="1"/>
  <c r="J36" i="20" s="1"/>
  <c r="K36" i="20" s="1"/>
  <c r="J35" i="20" a="1"/>
  <c r="J34" i="20" a="1"/>
  <c r="J33" i="20" a="1"/>
  <c r="J32" i="20" a="1"/>
  <c r="J32" i="20" s="1"/>
  <c r="K32" i="20" s="1"/>
  <c r="J31" i="20" a="1"/>
  <c r="J30" i="20" a="1"/>
  <c r="J29" i="20" a="1"/>
  <c r="J28" i="20" a="1"/>
  <c r="J28" i="20" s="1"/>
  <c r="K28" i="20" s="1"/>
  <c r="J27" i="20" a="1"/>
  <c r="J26" i="20" a="1"/>
  <c r="J25" i="20" a="1"/>
  <c r="J24" i="20" a="1"/>
  <c r="J24" i="20" s="1"/>
  <c r="K24" i="20" s="1"/>
  <c r="J23" i="20" a="1"/>
  <c r="J23" i="20" s="1"/>
  <c r="K23" i="20" s="1"/>
  <c r="J22" i="20" a="1"/>
  <c r="J21" i="20" a="1"/>
  <c r="J20" i="20" a="1"/>
  <c r="J19" i="20" a="1"/>
  <c r="J19" i="20" s="1"/>
  <c r="K19" i="20" s="1"/>
  <c r="J18" i="20" a="1"/>
  <c r="J17" i="20" a="1"/>
  <c r="J17" i="20" s="1"/>
  <c r="K17" i="20" s="1"/>
  <c r="J16" i="20" a="1"/>
  <c r="J16" i="20" s="1"/>
  <c r="K16" i="20" s="1"/>
  <c r="J15" i="20" a="1"/>
  <c r="J14" i="20" a="1"/>
  <c r="J13" i="20" a="1"/>
  <c r="J13" i="20" s="1"/>
  <c r="K13" i="20" s="1"/>
  <c r="J12" i="20" a="1"/>
  <c r="J11" i="20" a="1"/>
  <c r="J10" i="20" a="1"/>
  <c r="I155" i="20"/>
  <c r="I154" i="20"/>
  <c r="I153" i="20"/>
  <c r="I152" i="20"/>
  <c r="I151" i="20"/>
  <c r="I150" i="20"/>
  <c r="I149" i="20"/>
  <c r="I148" i="20"/>
  <c r="I147" i="20"/>
  <c r="I146" i="20"/>
  <c r="I145" i="20"/>
  <c r="I144" i="20"/>
  <c r="I143" i="20"/>
  <c r="I142" i="20"/>
  <c r="I141" i="20"/>
  <c r="I140" i="20"/>
  <c r="I139" i="20"/>
  <c r="N5" i="20"/>
  <c r="P6" i="20" s="1"/>
  <c r="I138" i="20"/>
  <c r="I137" i="20"/>
  <c r="I136" i="20"/>
  <c r="I135" i="20"/>
  <c r="I134" i="20"/>
  <c r="I133" i="20"/>
  <c r="I132" i="20"/>
  <c r="I131" i="20"/>
  <c r="I130" i="20"/>
  <c r="I129" i="20"/>
  <c r="I128" i="20"/>
  <c r="I127" i="20"/>
  <c r="I126" i="20"/>
  <c r="I125" i="20"/>
  <c r="I124" i="20"/>
  <c r="I123" i="20"/>
  <c r="I122" i="20"/>
  <c r="I121" i="20"/>
  <c r="I120" i="20"/>
  <c r="I119" i="20"/>
  <c r="I118" i="20"/>
  <c r="I117" i="20"/>
  <c r="I116" i="20"/>
  <c r="I115" i="20"/>
  <c r="I114" i="20"/>
  <c r="I113" i="20"/>
  <c r="I112" i="20"/>
  <c r="I111" i="20"/>
  <c r="I110" i="20"/>
  <c r="I109" i="20"/>
  <c r="I108" i="20"/>
  <c r="I107" i="20"/>
  <c r="I106" i="20"/>
  <c r="I105" i="20"/>
  <c r="I104" i="20"/>
  <c r="I103" i="20"/>
  <c r="I102" i="20"/>
  <c r="I101" i="20"/>
  <c r="I100" i="20"/>
  <c r="I99" i="20"/>
  <c r="I98" i="20"/>
  <c r="I97" i="20"/>
  <c r="I96" i="20"/>
  <c r="I95" i="20"/>
  <c r="I94" i="20"/>
  <c r="I93" i="20"/>
  <c r="I92" i="20"/>
  <c r="I91" i="20"/>
  <c r="N1" i="20" s="1"/>
  <c r="I90" i="20"/>
  <c r="I89" i="20"/>
  <c r="I88" i="20"/>
  <c r="I87" i="20"/>
  <c r="I86" i="20"/>
  <c r="I85" i="20"/>
  <c r="I84" i="20"/>
  <c r="I83" i="20"/>
  <c r="I82" i="20"/>
  <c r="I81" i="20"/>
  <c r="I80" i="20"/>
  <c r="I79" i="20"/>
  <c r="I78" i="20"/>
  <c r="I77" i="20"/>
  <c r="I76" i="20"/>
  <c r="I75" i="20"/>
  <c r="I74" i="20"/>
  <c r="I73" i="20"/>
  <c r="I72" i="20"/>
  <c r="I71" i="20"/>
  <c r="I70" i="20"/>
  <c r="I69" i="20"/>
  <c r="I68" i="20"/>
  <c r="I67" i="20"/>
  <c r="I66" i="20"/>
  <c r="I65" i="20"/>
  <c r="I64" i="20"/>
  <c r="I63" i="20"/>
  <c r="I62" i="20"/>
  <c r="I61" i="20"/>
  <c r="I60" i="20"/>
  <c r="I59" i="20"/>
  <c r="I58" i="20"/>
  <c r="I57" i="20"/>
  <c r="I56" i="20"/>
  <c r="I55" i="20"/>
  <c r="I54" i="20"/>
  <c r="I53" i="20"/>
  <c r="I52" i="20"/>
  <c r="I51" i="20"/>
  <c r="I50" i="20"/>
  <c r="I49" i="20"/>
  <c r="I48" i="20"/>
  <c r="I47" i="20"/>
  <c r="I46" i="20"/>
  <c r="I45" i="20"/>
  <c r="I44" i="20"/>
  <c r="I43" i="20"/>
  <c r="I42" i="20"/>
  <c r="I41" i="20"/>
  <c r="I40" i="20"/>
  <c r="I39" i="20"/>
  <c r="I38" i="20"/>
  <c r="I37" i="20"/>
  <c r="I36" i="20"/>
  <c r="I35" i="20"/>
  <c r="I34" i="20"/>
  <c r="I33" i="20"/>
  <c r="I32" i="20"/>
  <c r="I31" i="20"/>
  <c r="I30" i="20"/>
  <c r="I29" i="20"/>
  <c r="I28" i="20"/>
  <c r="I27" i="20"/>
  <c r="I26" i="20"/>
  <c r="I25" i="20"/>
  <c r="I24" i="20"/>
  <c r="I23" i="20"/>
  <c r="I22" i="20"/>
  <c r="I21" i="20"/>
  <c r="I20" i="20"/>
  <c r="I19" i="20"/>
  <c r="I18" i="20"/>
  <c r="I17" i="20"/>
  <c r="I16" i="20"/>
  <c r="I15" i="20"/>
  <c r="I14" i="20"/>
  <c r="I13" i="20"/>
  <c r="I12" i="20"/>
  <c r="I11" i="20"/>
  <c r="I10" i="20"/>
  <c r="J67" i="20"/>
  <c r="K67" i="20" s="1"/>
  <c r="J72" i="20"/>
  <c r="K72" i="20" s="1"/>
  <c r="J152" i="20"/>
  <c r="K152" i="20" s="1"/>
  <c r="J121" i="20"/>
  <c r="K121" i="20" s="1"/>
  <c r="J126" i="20"/>
  <c r="K126" i="20" s="1"/>
  <c r="J58" i="20"/>
  <c r="K58" i="20" s="1"/>
  <c r="J64" i="20"/>
  <c r="K64" i="20" s="1"/>
  <c r="J29" i="20"/>
  <c r="K29" i="20" s="1"/>
  <c r="J117" i="20"/>
  <c r="K117" i="20" s="1"/>
  <c r="J75" i="20"/>
  <c r="K75" i="20" s="1"/>
  <c r="J155" i="20"/>
  <c r="K155" i="20" s="1"/>
  <c r="J37" i="20"/>
  <c r="K37" i="20" s="1"/>
  <c r="J43" i="20"/>
  <c r="K43" i="20" s="1"/>
  <c r="J95" i="20"/>
  <c r="K95" i="20" s="1"/>
  <c r="J18" i="20"/>
  <c r="K18" i="20" s="1"/>
  <c r="J101" i="20"/>
  <c r="K101" i="20" s="1"/>
  <c r="J106" i="20"/>
  <c r="K106" i="20" s="1"/>
  <c r="J35" i="20"/>
  <c r="K35" i="20" s="1"/>
  <c r="J76" i="20"/>
  <c r="K76" i="20" s="1"/>
  <c r="J116" i="20"/>
  <c r="K116" i="20" s="1"/>
  <c r="J115" i="20"/>
  <c r="K115" i="20" s="1"/>
  <c r="J62" i="20"/>
  <c r="K62" i="20" s="1"/>
  <c r="J69" i="20"/>
  <c r="K69" i="20" s="1"/>
  <c r="J110" i="20"/>
  <c r="J109" i="20"/>
  <c r="K109" i="20" s="1"/>
  <c r="J150" i="20"/>
  <c r="J70" i="20"/>
  <c r="K70" i="20" s="1"/>
  <c r="J134" i="20"/>
  <c r="J149" i="20"/>
  <c r="K149" i="20" s="1"/>
  <c r="J107" i="20"/>
  <c r="J27" i="20"/>
  <c r="K27" i="20" s="1"/>
  <c r="J21" i="20"/>
  <c r="K21" i="20" s="1"/>
  <c r="J111" i="20"/>
  <c r="J138" i="20"/>
  <c r="K138" i="20" s="1"/>
  <c r="J128" i="20"/>
  <c r="K128" i="20" s="1"/>
  <c r="J12" i="20"/>
  <c r="K12" i="20" s="1"/>
  <c r="J74" i="20"/>
  <c r="K74" i="20" s="1"/>
  <c r="J34" i="20"/>
  <c r="K34" i="20" s="1"/>
  <c r="J83" i="20"/>
  <c r="J129" i="20"/>
  <c r="K129" i="20" s="1"/>
  <c r="J61" i="20"/>
  <c r="K61" i="20" s="1"/>
  <c r="J108" i="20"/>
  <c r="K108" i="20" s="1"/>
  <c r="J145" i="20"/>
  <c r="J98" i="20"/>
  <c r="K98" i="20" s="1"/>
  <c r="J105" i="20"/>
  <c r="K105" i="20" s="1"/>
  <c r="J79" i="20"/>
  <c r="K79" i="20" s="1"/>
  <c r="J131" i="20"/>
  <c r="J25" i="20"/>
  <c r="K25" i="20" s="1"/>
  <c r="J46" i="20"/>
  <c r="K46" i="20" s="1"/>
  <c r="J26" i="20"/>
  <c r="K26" i="20" s="1"/>
  <c r="J113" i="20"/>
  <c r="K113" i="20" s="1"/>
  <c r="J99" i="20"/>
  <c r="J33" i="20"/>
  <c r="K33" i="20" s="1"/>
  <c r="J87" i="20"/>
  <c r="J73" i="20"/>
  <c r="K73" i="20" s="1"/>
  <c r="J114" i="20"/>
  <c r="K114" i="20" s="1"/>
  <c r="J65" i="20"/>
  <c r="K65" i="20" s="1"/>
  <c r="J66" i="20"/>
  <c r="K66" i="20" s="1"/>
  <c r="J54" i="20"/>
  <c r="K54" i="20" s="1"/>
  <c r="J14" i="20"/>
  <c r="K14" i="20" s="1"/>
  <c r="J154" i="20"/>
  <c r="J88" i="20"/>
  <c r="K88" i="20" s="1"/>
  <c r="J135" i="20"/>
  <c r="J144" i="20"/>
  <c r="K144" i="20" s="1"/>
  <c r="J51" i="20"/>
  <c r="K51" i="20" s="1"/>
  <c r="J122" i="20"/>
  <c r="J120" i="20"/>
  <c r="K120" i="20" s="1"/>
  <c r="J42" i="20"/>
  <c r="K42" i="20" s="1"/>
  <c r="J91" i="20"/>
  <c r="K91" i="20" s="1"/>
  <c r="J86" i="20"/>
  <c r="K86" i="20" s="1"/>
  <c r="J153" i="20"/>
  <c r="K153" i="20" s="1"/>
  <c r="J125" i="20"/>
  <c r="K125" i="20" s="1"/>
  <c r="J31" i="20"/>
  <c r="K31" i="20" s="1"/>
  <c r="J141" i="20"/>
  <c r="K141" i="20" s="1"/>
  <c r="J60" i="20"/>
  <c r="K60" i="20" s="1"/>
  <c r="J123" i="20"/>
  <c r="J137" i="20"/>
  <c r="K137" i="20" s="1"/>
  <c r="J55" i="20"/>
  <c r="K55" i="20" s="1"/>
  <c r="J53" i="20"/>
  <c r="K53" i="20" s="1"/>
  <c r="J143" i="20"/>
  <c r="K143" i="20" s="1"/>
  <c r="J90" i="20"/>
  <c r="K90" i="20" s="1"/>
  <c r="J103" i="20"/>
  <c r="J127" i="20"/>
  <c r="K127" i="20" s="1"/>
  <c r="J124" i="20"/>
  <c r="K124" i="20" s="1"/>
  <c r="J80" i="20"/>
  <c r="K80" i="20" s="1"/>
  <c r="J38" i="20"/>
  <c r="K38" i="20" s="1"/>
  <c r="J85" i="20"/>
  <c r="K85" i="20" s="1"/>
  <c r="J139" i="20"/>
  <c r="K139" i="20" s="1"/>
  <c r="J30" i="20"/>
  <c r="K30" i="20" s="1"/>
  <c r="J89" i="20"/>
  <c r="K89" i="20" s="1"/>
  <c r="J96" i="20"/>
  <c r="K96" i="20" s="1"/>
  <c r="J159" i="20"/>
  <c r="K159" i="20" s="1"/>
  <c r="J158" i="20"/>
  <c r="K158" i="20" s="1"/>
  <c r="J157" i="20"/>
  <c r="K157" i="20" s="1"/>
  <c r="J156" i="20"/>
  <c r="K156" i="20" s="1"/>
  <c r="J160" i="20"/>
  <c r="K160" i="20" s="1"/>
  <c r="J20" i="20"/>
  <c r="K20" i="20" s="1"/>
  <c r="J118" i="20"/>
  <c r="J15" i="20"/>
  <c r="K15" i="20" s="1"/>
  <c r="J97" i="20"/>
  <c r="K97" i="20" s="1"/>
  <c r="J148" i="20"/>
  <c r="K148" i="20" s="1"/>
  <c r="J130" i="20"/>
  <c r="J92" i="20"/>
  <c r="K92" i="20" s="1"/>
  <c r="J40" i="20"/>
  <c r="K40" i="20" s="1"/>
  <c r="J10" i="20"/>
  <c r="K10" i="20" s="1"/>
  <c r="J142" i="20"/>
  <c r="K142" i="20" s="1"/>
  <c r="J147" i="20"/>
  <c r="K147" i="20" s="1"/>
  <c r="J102" i="20"/>
  <c r="J56" i="20"/>
  <c r="K56" i="20" s="1"/>
  <c r="J146" i="20"/>
  <c r="K146" i="20" s="1"/>
  <c r="J140" i="20"/>
  <c r="K140" i="20" s="1"/>
  <c r="J133" i="20"/>
  <c r="K133" i="20" s="1"/>
  <c r="J119" i="20"/>
  <c r="J22" i="20"/>
  <c r="K22" i="20" s="1"/>
  <c r="J136" i="20"/>
  <c r="K136" i="20" s="1"/>
  <c r="J11" i="20"/>
  <c r="K11" i="20" s="1"/>
  <c r="J77" i="20"/>
  <c r="K77" i="20" s="1"/>
  <c r="J59" i="20"/>
  <c r="K59" i="20" s="1"/>
  <c r="J93" i="20"/>
  <c r="K93" i="20" s="1"/>
  <c r="J151" i="20"/>
  <c r="K151" i="20" s="1"/>
  <c r="J49" i="20"/>
  <c r="K49" i="20" s="1"/>
  <c r="J94" i="20"/>
  <c r="J84" i="20"/>
  <c r="K84" i="20" s="1"/>
  <c r="J82" i="20"/>
  <c r="K82" i="20" s="1"/>
  <c r="J71" i="20"/>
  <c r="K71" i="20" s="1"/>
  <c r="J132" i="20"/>
  <c r="K132" i="20" s="1"/>
  <c r="J81" i="20"/>
  <c r="K81" i="20" s="1"/>
  <c r="J50" i="20"/>
  <c r="K50" i="20" s="1"/>
  <c r="J78" i="20"/>
  <c r="K78" i="20" s="1"/>
  <c r="G9" i="9"/>
  <c r="J9" i="9" s="1"/>
  <c r="K1" i="7" a="1"/>
  <c r="K1" i="7"/>
  <c r="M1" i="1" a="1"/>
  <c r="M1" i="1" s="1"/>
  <c r="Q9" i="9"/>
  <c r="P9" i="9" s="1"/>
  <c r="U9" i="9"/>
  <c r="T9" i="9" s="1"/>
  <c r="C10" i="9"/>
  <c r="B11" i="5"/>
  <c r="B10" i="5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D34" i="24" s="1" a="1"/>
  <c r="A7" i="1"/>
  <c r="D38" i="24" s="1" a="1"/>
  <c r="A6" i="1"/>
  <c r="E36" i="24" a="1"/>
  <c r="E42" i="24" a="1"/>
  <c r="D35" i="24" a="1"/>
  <c r="E40" i="24" a="1"/>
  <c r="E39" i="24" a="1"/>
  <c r="O41" i="24" a="1"/>
  <c r="E41" i="24" a="1"/>
  <c r="O35" i="24" a="1"/>
  <c r="D39" i="24" a="1"/>
  <c r="D37" i="24" a="1"/>
  <c r="O40" i="24" a="1"/>
  <c r="E34" i="24" a="1"/>
  <c r="E37" i="24" a="1"/>
  <c r="O39" i="24" a="1"/>
  <c r="D36" i="24" a="1"/>
  <c r="D41" i="24" a="1"/>
  <c r="L1" i="1" a="1"/>
  <c r="Y9" i="9"/>
  <c r="D31" i="18"/>
  <c r="G26" i="10"/>
  <c r="H50" i="1" l="1" a="1"/>
  <c r="H50" i="1" s="1"/>
  <c r="H317" i="1" a="1"/>
  <c r="H317" i="1" s="1"/>
  <c r="G317" i="1" a="1"/>
  <c r="G317" i="1" s="1"/>
  <c r="H277" i="1" a="1"/>
  <c r="H277" i="1" s="1"/>
  <c r="G277" i="1" a="1"/>
  <c r="G277" i="1" s="1"/>
  <c r="G237" i="1" a="1"/>
  <c r="G237" i="1" s="1"/>
  <c r="H237" i="1" a="1"/>
  <c r="H237" i="1" s="1"/>
  <c r="H59" i="1" a="1"/>
  <c r="H59" i="1" s="1"/>
  <c r="G59" i="1" a="1"/>
  <c r="G59" i="1" s="1"/>
  <c r="H23" i="1" a="1"/>
  <c r="H23" i="1" s="1"/>
  <c r="G23" i="1" a="1"/>
  <c r="G23" i="1" s="1"/>
  <c r="G315" i="1" a="1"/>
  <c r="G315" i="1" s="1"/>
  <c r="H315" i="1" a="1"/>
  <c r="H315" i="1" s="1"/>
  <c r="H275" i="1" a="1"/>
  <c r="H275" i="1" s="1"/>
  <c r="G275" i="1" a="1"/>
  <c r="G275" i="1" s="1"/>
  <c r="H235" i="1" a="1"/>
  <c r="H235" i="1" s="1"/>
  <c r="G235" i="1" a="1"/>
  <c r="G235" i="1" s="1"/>
  <c r="G174" i="1" a="1"/>
  <c r="G174" i="1" s="1"/>
  <c r="H174" i="1" a="1"/>
  <c r="H174" i="1" s="1"/>
  <c r="H314" i="1" a="1"/>
  <c r="H314" i="1" s="1"/>
  <c r="G314" i="1" a="1"/>
  <c r="G314" i="1" s="1"/>
  <c r="H274" i="1" a="1"/>
  <c r="H274" i="1" s="1"/>
  <c r="G274" i="1" a="1"/>
  <c r="G274" i="1" s="1"/>
  <c r="H234" i="1" a="1"/>
  <c r="H234" i="1" s="1"/>
  <c r="G234" i="1" a="1"/>
  <c r="G234" i="1" s="1"/>
  <c r="H21" i="1" a="1"/>
  <c r="H21" i="1" s="1"/>
  <c r="G21" i="1" a="1"/>
  <c r="G21" i="1" s="1"/>
  <c r="H313" i="1" a="1"/>
  <c r="H313" i="1" s="1"/>
  <c r="G313" i="1" a="1"/>
  <c r="G313" i="1" s="1"/>
  <c r="H273" i="1" a="1"/>
  <c r="H273" i="1" s="1"/>
  <c r="G273" i="1" a="1"/>
  <c r="G273" i="1" s="1"/>
  <c r="H233" i="1" a="1"/>
  <c r="H233" i="1" s="1"/>
  <c r="G233" i="1" a="1"/>
  <c r="G233" i="1" s="1"/>
  <c r="G20" i="1" a="1"/>
  <c r="G20" i="1" s="1"/>
  <c r="H20" i="1" a="1"/>
  <c r="H20" i="1" s="1"/>
  <c r="G19" i="1" a="1"/>
  <c r="G19" i="1" s="1"/>
  <c r="H19" i="1" a="1"/>
  <c r="H19" i="1" s="1"/>
  <c r="H311" i="1" a="1"/>
  <c r="H311" i="1" s="1"/>
  <c r="G311" i="1" a="1"/>
  <c r="G311" i="1" s="1"/>
  <c r="H271" i="1" a="1"/>
  <c r="H271" i="1" s="1"/>
  <c r="G271" i="1" a="1"/>
  <c r="G271" i="1" s="1"/>
  <c r="G231" i="1" a="1"/>
  <c r="G231" i="1" s="1"/>
  <c r="H231" i="1" a="1"/>
  <c r="H231" i="1" s="1"/>
  <c r="H18" i="1" a="1"/>
  <c r="H18" i="1" s="1"/>
  <c r="G18" i="1" a="1"/>
  <c r="G18" i="1" s="1"/>
  <c r="H310" i="1" a="1"/>
  <c r="H310" i="1" s="1"/>
  <c r="G310" i="1" a="1"/>
  <c r="G310" i="1" s="1"/>
  <c r="G270" i="1" a="1"/>
  <c r="G270" i="1" s="1"/>
  <c r="H270" i="1" a="1"/>
  <c r="H270" i="1" s="1"/>
  <c r="H230" i="1" a="1"/>
  <c r="H230" i="1" s="1"/>
  <c r="G230" i="1" a="1"/>
  <c r="G230" i="1" s="1"/>
  <c r="G17" i="1" a="1"/>
  <c r="G17" i="1" s="1"/>
  <c r="H17" i="1" a="1"/>
  <c r="H17" i="1" s="1"/>
  <c r="G309" i="1" a="1"/>
  <c r="G309" i="1" s="1"/>
  <c r="H309" i="1" a="1"/>
  <c r="H309" i="1" s="1"/>
  <c r="H269" i="1" a="1"/>
  <c r="H269" i="1" s="1"/>
  <c r="G269" i="1" a="1"/>
  <c r="G269" i="1" s="1"/>
  <c r="H229" i="1" a="1"/>
  <c r="H229" i="1" s="1"/>
  <c r="G229" i="1" a="1"/>
  <c r="G229" i="1" s="1"/>
  <c r="H308" i="1" a="1"/>
  <c r="H308" i="1" s="1"/>
  <c r="G308" i="1" a="1"/>
  <c r="G308" i="1" s="1"/>
  <c r="H268" i="1" a="1"/>
  <c r="H268" i="1" s="1"/>
  <c r="G268" i="1" a="1"/>
  <c r="G268" i="1" s="1"/>
  <c r="H228" i="1" a="1"/>
  <c r="H228" i="1" s="1"/>
  <c r="G228" i="1" a="1"/>
  <c r="G228" i="1" s="1"/>
  <c r="H15" i="1" a="1"/>
  <c r="H15" i="1" s="1"/>
  <c r="G15" i="1" a="1"/>
  <c r="G15" i="1" s="1"/>
  <c r="H306" i="1" a="1"/>
  <c r="H306" i="1" s="1"/>
  <c r="G306" i="1" a="1"/>
  <c r="G306" i="1" s="1"/>
  <c r="G266" i="1" a="1"/>
  <c r="G266" i="1" s="1"/>
  <c r="H266" i="1" a="1"/>
  <c r="H266" i="1" s="1"/>
  <c r="G226" i="1" a="1"/>
  <c r="G226" i="1" s="1"/>
  <c r="H226" i="1" a="1"/>
  <c r="H226" i="1" s="1"/>
  <c r="G13" i="1" a="1"/>
  <c r="G13" i="1" s="1"/>
  <c r="H13" i="1" a="1"/>
  <c r="H13" i="1" s="1"/>
  <c r="G304" i="1" a="1"/>
  <c r="G304" i="1" s="1"/>
  <c r="H304" i="1" a="1"/>
  <c r="H304" i="1" s="1"/>
  <c r="H264" i="1" a="1"/>
  <c r="H264" i="1" s="1"/>
  <c r="G264" i="1" a="1"/>
  <c r="G264" i="1" s="1"/>
  <c r="H12" i="1" a="1"/>
  <c r="H12" i="1" s="1"/>
  <c r="G12" i="1" a="1"/>
  <c r="G12" i="1" s="1"/>
  <c r="H301" i="1" a="1"/>
  <c r="H301" i="1" s="1"/>
  <c r="G301" i="1" a="1"/>
  <c r="G301" i="1" s="1"/>
  <c r="H261" i="1" a="1"/>
  <c r="H261" i="1" s="1"/>
  <c r="G261" i="1" a="1"/>
  <c r="G261" i="1" s="1"/>
  <c r="G74" i="1" a="1"/>
  <c r="G74" i="1" s="1"/>
  <c r="H74" i="1" a="1"/>
  <c r="H74" i="1" s="1"/>
  <c r="G11" i="1" a="1"/>
  <c r="G11" i="1" s="1"/>
  <c r="H11" i="1" a="1"/>
  <c r="H11" i="1" s="1"/>
  <c r="H300" i="1" a="1"/>
  <c r="H300" i="1" s="1"/>
  <c r="G300" i="1" a="1"/>
  <c r="G300" i="1" s="1"/>
  <c r="H260" i="1" a="1"/>
  <c r="H260" i="1" s="1"/>
  <c r="G260" i="1" a="1"/>
  <c r="G260" i="1" s="1"/>
  <c r="G299" i="1" a="1"/>
  <c r="G299" i="1" s="1"/>
  <c r="H299" i="1" a="1"/>
  <c r="H299" i="1" s="1"/>
  <c r="G259" i="1" a="1"/>
  <c r="G259" i="1" s="1"/>
  <c r="H259" i="1" a="1"/>
  <c r="H259" i="1" s="1"/>
  <c r="H10" i="1" a="1"/>
  <c r="H10" i="1" s="1"/>
  <c r="G10" i="1" a="1"/>
  <c r="G10" i="1" s="1"/>
  <c r="G338" i="1" a="1"/>
  <c r="G338" i="1" s="1"/>
  <c r="H338" i="1" a="1"/>
  <c r="H338" i="1" s="1"/>
  <c r="G298" i="1" a="1"/>
  <c r="G298" i="1" s="1"/>
  <c r="H298" i="1" a="1"/>
  <c r="H298" i="1" s="1"/>
  <c r="G258" i="1" a="1"/>
  <c r="G258" i="1" s="1"/>
  <c r="H258" i="1" a="1"/>
  <c r="H258" i="1" s="1"/>
  <c r="H118" i="1" a="1"/>
  <c r="H118" i="1" s="1"/>
  <c r="G118" i="1" a="1"/>
  <c r="G118" i="1" s="1"/>
  <c r="G302" i="1" a="1"/>
  <c r="G302" i="1" s="1"/>
  <c r="H302" i="1" a="1"/>
  <c r="H302" i="1" s="1"/>
  <c r="G262" i="1" a="1"/>
  <c r="G262" i="1" s="1"/>
  <c r="H262" i="1" a="1"/>
  <c r="H262" i="1" s="1"/>
  <c r="H222" i="1" a="1"/>
  <c r="H222" i="1" s="1"/>
  <c r="G222" i="1" a="1"/>
  <c r="G222" i="1" s="1"/>
  <c r="H337" i="1" a="1"/>
  <c r="H337" i="1" s="1"/>
  <c r="G337" i="1" a="1"/>
  <c r="G337" i="1" s="1"/>
  <c r="G297" i="1" a="1"/>
  <c r="G297" i="1" s="1"/>
  <c r="H297" i="1" a="1"/>
  <c r="H297" i="1" s="1"/>
  <c r="H257" i="1" a="1"/>
  <c r="H257" i="1" s="1"/>
  <c r="G257" i="1" a="1"/>
  <c r="G257" i="1" s="1"/>
  <c r="G41" i="1" a="1"/>
  <c r="G41" i="1" s="1"/>
  <c r="H41" i="1" a="1"/>
  <c r="H41" i="1" s="1"/>
  <c r="H9" i="1" a="1"/>
  <c r="H9" i="1" s="1"/>
  <c r="G9" i="1" a="1"/>
  <c r="G9" i="1" s="1"/>
  <c r="H336" i="1" a="1"/>
  <c r="H336" i="1" s="1"/>
  <c r="G336" i="1" a="1"/>
  <c r="G336" i="1" s="1"/>
  <c r="G296" i="1" a="1"/>
  <c r="G296" i="1" s="1"/>
  <c r="H296" i="1" a="1"/>
  <c r="H296" i="1" s="1"/>
  <c r="G256" i="1" a="1"/>
  <c r="G256" i="1" s="1"/>
  <c r="H256" i="1" a="1"/>
  <c r="H256" i="1" s="1"/>
  <c r="H40" i="1" a="1"/>
  <c r="H40" i="1" s="1"/>
  <c r="G40" i="1" a="1"/>
  <c r="G40" i="1" s="1"/>
  <c r="G8" i="1" a="1"/>
  <c r="G8" i="1" s="1"/>
  <c r="H8" i="1" a="1"/>
  <c r="H8" i="1" s="1"/>
  <c r="H303" i="1" a="1"/>
  <c r="H303" i="1" s="1"/>
  <c r="G303" i="1" a="1"/>
  <c r="G303" i="1" s="1"/>
  <c r="G263" i="1" a="1"/>
  <c r="G263" i="1" s="1"/>
  <c r="H263" i="1" a="1"/>
  <c r="H263" i="1" s="1"/>
  <c r="H335" i="1" a="1"/>
  <c r="H335" i="1" s="1"/>
  <c r="G335" i="1" a="1"/>
  <c r="G335" i="1" s="1"/>
  <c r="G295" i="1" a="1"/>
  <c r="G295" i="1" s="1"/>
  <c r="H295" i="1" a="1"/>
  <c r="H295" i="1" s="1"/>
  <c r="G255" i="1" a="1"/>
  <c r="G255" i="1" s="1"/>
  <c r="H255" i="1" a="1"/>
  <c r="H255" i="1" s="1"/>
  <c r="H215" i="1" a="1"/>
  <c r="H215" i="1" s="1"/>
  <c r="G215" i="1" a="1"/>
  <c r="G215" i="1" s="1"/>
  <c r="H334" i="1" a="1"/>
  <c r="H334" i="1" s="1"/>
  <c r="G334" i="1" a="1"/>
  <c r="G334" i="1" s="1"/>
  <c r="H294" i="1" a="1"/>
  <c r="H294" i="1" s="1"/>
  <c r="G294" i="1" a="1"/>
  <c r="G294" i="1" s="1"/>
  <c r="H254" i="1" a="1"/>
  <c r="H254" i="1" s="1"/>
  <c r="G254" i="1" a="1"/>
  <c r="G254" i="1" s="1"/>
  <c r="H39" i="1" a="1"/>
  <c r="H39" i="1" s="1"/>
  <c r="G39" i="1" a="1"/>
  <c r="G39" i="1" s="1"/>
  <c r="H7" i="1" a="1"/>
  <c r="H7" i="1" s="1"/>
  <c r="G7" i="1" a="1"/>
  <c r="G7" i="1" s="1"/>
  <c r="G333" i="1" a="1"/>
  <c r="G333" i="1" s="1"/>
  <c r="H333" i="1" a="1"/>
  <c r="H333" i="1" s="1"/>
  <c r="G293" i="1" a="1"/>
  <c r="G293" i="1" s="1"/>
  <c r="H293" i="1" a="1"/>
  <c r="H293" i="1" s="1"/>
  <c r="G253" i="1" a="1"/>
  <c r="G253" i="1" s="1"/>
  <c r="H253" i="1" a="1"/>
  <c r="H253" i="1" s="1"/>
  <c r="G38" i="1" a="1"/>
  <c r="G38" i="1" s="1"/>
  <c r="H38" i="1" a="1"/>
  <c r="H38" i="1" s="1"/>
  <c r="G332" i="1" a="1"/>
  <c r="G332" i="1" s="1"/>
  <c r="H332" i="1" a="1"/>
  <c r="H332" i="1" s="1"/>
  <c r="H292" i="1" a="1"/>
  <c r="H292" i="1" s="1"/>
  <c r="G292" i="1" a="1"/>
  <c r="G292" i="1" s="1"/>
  <c r="H252" i="1" a="1"/>
  <c r="H252" i="1" s="1"/>
  <c r="G252" i="1" a="1"/>
  <c r="G252" i="1" s="1"/>
  <c r="H161" i="1" a="1"/>
  <c r="H161" i="1" s="1"/>
  <c r="G161" i="1" a="1"/>
  <c r="G161" i="1" s="1"/>
  <c r="G37" i="1" a="1"/>
  <c r="G37" i="1" s="1"/>
  <c r="H37" i="1" a="1"/>
  <c r="H37" i="1" s="1"/>
  <c r="H331" i="1" a="1"/>
  <c r="H331" i="1" s="1"/>
  <c r="G331" i="1" a="1"/>
  <c r="G331" i="1" s="1"/>
  <c r="H291" i="1" a="1"/>
  <c r="H291" i="1" s="1"/>
  <c r="G291" i="1" a="1"/>
  <c r="G291" i="1" s="1"/>
  <c r="G251" i="1" a="1"/>
  <c r="G251" i="1" s="1"/>
  <c r="H251" i="1" a="1"/>
  <c r="H251" i="1" s="1"/>
  <c r="H36" i="1" a="1"/>
  <c r="H36" i="1" s="1"/>
  <c r="G36" i="1" a="1"/>
  <c r="G36" i="1" s="1"/>
  <c r="H330" i="1" a="1"/>
  <c r="H330" i="1" s="1"/>
  <c r="G330" i="1" a="1"/>
  <c r="G330" i="1" s="1"/>
  <c r="G290" i="1" a="1"/>
  <c r="G290" i="1" s="1"/>
  <c r="H290" i="1" a="1"/>
  <c r="H290" i="1" s="1"/>
  <c r="G250" i="1" a="1"/>
  <c r="G250" i="1" s="1"/>
  <c r="H250" i="1" a="1"/>
  <c r="H250" i="1" s="1"/>
  <c r="H160" i="1" a="1"/>
  <c r="H160" i="1" s="1"/>
  <c r="G160" i="1" a="1"/>
  <c r="G160" i="1" s="1"/>
  <c r="H329" i="1" a="1"/>
  <c r="H329" i="1" s="1"/>
  <c r="G329" i="1" a="1"/>
  <c r="G329" i="1" s="1"/>
  <c r="G289" i="1" a="1"/>
  <c r="G289" i="1" s="1"/>
  <c r="H289" i="1" a="1"/>
  <c r="H289" i="1" s="1"/>
  <c r="H249" i="1" a="1"/>
  <c r="H249" i="1" s="1"/>
  <c r="G249" i="1" a="1"/>
  <c r="G249" i="1" s="1"/>
  <c r="G183" i="1" a="1"/>
  <c r="G183" i="1" s="1"/>
  <c r="H183" i="1" a="1"/>
  <c r="H183" i="1" s="1"/>
  <c r="G328" i="1" a="1"/>
  <c r="G328" i="1" s="1"/>
  <c r="H328" i="1" a="1"/>
  <c r="H328" i="1" s="1"/>
  <c r="H288" i="1" a="1"/>
  <c r="H288" i="1" s="1"/>
  <c r="G288" i="1" a="1"/>
  <c r="G288" i="1" s="1"/>
  <c r="G248" i="1" a="1"/>
  <c r="G248" i="1" s="1"/>
  <c r="H248" i="1" a="1"/>
  <c r="H248" i="1" s="1"/>
  <c r="H327" i="1" a="1"/>
  <c r="H327" i="1" s="1"/>
  <c r="G327" i="1" a="1"/>
  <c r="G327" i="1" s="1"/>
  <c r="G287" i="1" a="1"/>
  <c r="G287" i="1" s="1"/>
  <c r="H287" i="1" a="1"/>
  <c r="H287" i="1" s="1"/>
  <c r="G247" i="1" a="1"/>
  <c r="G247" i="1" s="1"/>
  <c r="H247" i="1" a="1"/>
  <c r="H247" i="1" s="1"/>
  <c r="H326" i="1" a="1"/>
  <c r="H326" i="1" s="1"/>
  <c r="G326" i="1" a="1"/>
  <c r="G326" i="1" s="1"/>
  <c r="H286" i="1" a="1"/>
  <c r="H286" i="1" s="1"/>
  <c r="G286" i="1" a="1"/>
  <c r="G286" i="1" s="1"/>
  <c r="H246" i="1" a="1"/>
  <c r="H246" i="1" s="1"/>
  <c r="G246" i="1" a="1"/>
  <c r="G246" i="1" s="1"/>
  <c r="G32" i="1" a="1"/>
  <c r="G32" i="1" s="1"/>
  <c r="H32" i="1" a="1"/>
  <c r="H32" i="1" s="1"/>
  <c r="G307" i="1" a="1"/>
  <c r="G307" i="1" s="1"/>
  <c r="H307" i="1" a="1"/>
  <c r="H307" i="1" s="1"/>
  <c r="H267" i="1" a="1"/>
  <c r="H267" i="1" s="1"/>
  <c r="G267" i="1" a="1"/>
  <c r="G267" i="1" s="1"/>
  <c r="H227" i="1" a="1"/>
  <c r="H227" i="1" s="1"/>
  <c r="G227" i="1" a="1"/>
  <c r="G227" i="1" s="1"/>
  <c r="G75" i="1" a="1"/>
  <c r="G75" i="1" s="1"/>
  <c r="H75" i="1" a="1"/>
  <c r="H75" i="1" s="1"/>
  <c r="G325" i="1" a="1"/>
  <c r="G325" i="1" s="1"/>
  <c r="H325" i="1" a="1"/>
  <c r="H325" i="1" s="1"/>
  <c r="H285" i="1" a="1"/>
  <c r="H285" i="1" s="1"/>
  <c r="G285" i="1" a="1"/>
  <c r="G285" i="1" s="1"/>
  <c r="H245" i="1" a="1"/>
  <c r="H245" i="1" s="1"/>
  <c r="G245" i="1" a="1"/>
  <c r="G245" i="1" s="1"/>
  <c r="G88" i="1" a="1"/>
  <c r="G88" i="1" s="1"/>
  <c r="H88" i="1" a="1"/>
  <c r="H88" i="1" s="1"/>
  <c r="H324" i="1" a="1"/>
  <c r="H324" i="1" s="1"/>
  <c r="G324" i="1" a="1"/>
  <c r="G324" i="1" s="1"/>
  <c r="G284" i="1" a="1"/>
  <c r="G284" i="1" s="1"/>
  <c r="H284" i="1" a="1"/>
  <c r="H284" i="1" s="1"/>
  <c r="H244" i="1" a="1"/>
  <c r="H244" i="1" s="1"/>
  <c r="G244" i="1" a="1"/>
  <c r="G244" i="1" s="1"/>
  <c r="H87" i="1" a="1"/>
  <c r="H87" i="1" s="1"/>
  <c r="G87" i="1" a="1"/>
  <c r="G87" i="1" s="1"/>
  <c r="H30" i="1" a="1"/>
  <c r="H30" i="1" s="1"/>
  <c r="G30" i="1" a="1"/>
  <c r="G30" i="1" s="1"/>
  <c r="G323" i="1" a="1"/>
  <c r="G323" i="1" s="1"/>
  <c r="H323" i="1" a="1"/>
  <c r="H323" i="1" s="1"/>
  <c r="H283" i="1" a="1"/>
  <c r="H283" i="1" s="1"/>
  <c r="G283" i="1" a="1"/>
  <c r="G283" i="1" s="1"/>
  <c r="H243" i="1" a="1"/>
  <c r="H243" i="1" s="1"/>
  <c r="G243" i="1" a="1"/>
  <c r="G243" i="1" s="1"/>
  <c r="H110" i="1" a="1"/>
  <c r="H110" i="1" s="1"/>
  <c r="G110" i="1" a="1"/>
  <c r="G110" i="1" s="1"/>
  <c r="H322" i="1" a="1"/>
  <c r="H322" i="1" s="1"/>
  <c r="G322" i="1" a="1"/>
  <c r="G322" i="1" s="1"/>
  <c r="H282" i="1" a="1"/>
  <c r="H282" i="1" s="1"/>
  <c r="G282" i="1" a="1"/>
  <c r="G282" i="1" s="1"/>
  <c r="G242" i="1" a="1"/>
  <c r="G242" i="1" s="1"/>
  <c r="H242" i="1" a="1"/>
  <c r="H242" i="1" s="1"/>
  <c r="H86" i="1" a="1"/>
  <c r="H86" i="1" s="1"/>
  <c r="G86" i="1" a="1"/>
  <c r="G86" i="1" s="1"/>
  <c r="H321" i="1" a="1"/>
  <c r="H321" i="1" s="1"/>
  <c r="G321" i="1" a="1"/>
  <c r="G321" i="1" s="1"/>
  <c r="G281" i="1" a="1"/>
  <c r="G281" i="1" s="1"/>
  <c r="H281" i="1" a="1"/>
  <c r="H281" i="1" s="1"/>
  <c r="G241" i="1" a="1"/>
  <c r="G241" i="1" s="1"/>
  <c r="H241" i="1" a="1"/>
  <c r="H241" i="1" s="1"/>
  <c r="H316" i="1" a="1"/>
  <c r="H316" i="1" s="1"/>
  <c r="G316" i="1" a="1"/>
  <c r="G316" i="1" s="1"/>
  <c r="H276" i="1" a="1"/>
  <c r="H276" i="1" s="1"/>
  <c r="G276" i="1" a="1"/>
  <c r="G276" i="1" s="1"/>
  <c r="H236" i="1" a="1"/>
  <c r="H236" i="1" s="1"/>
  <c r="G236" i="1" a="1"/>
  <c r="G236" i="1" s="1"/>
  <c r="H128" i="1" a="1"/>
  <c r="H128" i="1" s="1"/>
  <c r="G128" i="1" a="1"/>
  <c r="G128" i="1" s="1"/>
  <c r="H312" i="1" a="1"/>
  <c r="H312" i="1" s="1"/>
  <c r="G312" i="1" a="1"/>
  <c r="G312" i="1" s="1"/>
  <c r="G272" i="1" a="1"/>
  <c r="G272" i="1" s="1"/>
  <c r="H272" i="1" a="1"/>
  <c r="H272" i="1" s="1"/>
  <c r="H232" i="1" a="1"/>
  <c r="H232" i="1" s="1"/>
  <c r="G232" i="1" a="1"/>
  <c r="G232" i="1" s="1"/>
  <c r="H320" i="1" a="1"/>
  <c r="H320" i="1" s="1"/>
  <c r="G320" i="1" a="1"/>
  <c r="G320" i="1" s="1"/>
  <c r="H280" i="1" a="1"/>
  <c r="H280" i="1" s="1"/>
  <c r="G280" i="1" a="1"/>
  <c r="G280" i="1" s="1"/>
  <c r="G240" i="1" a="1"/>
  <c r="G240" i="1" s="1"/>
  <c r="H240" i="1" a="1"/>
  <c r="H240" i="1" s="1"/>
  <c r="H62" i="1" a="1"/>
  <c r="H62" i="1" s="1"/>
  <c r="G62" i="1" a="1"/>
  <c r="G62" i="1" s="1"/>
  <c r="G27" i="1" a="1"/>
  <c r="G27" i="1" s="1"/>
  <c r="H27" i="1" a="1"/>
  <c r="H27" i="1" s="1"/>
  <c r="G305" i="1" a="1"/>
  <c r="G305" i="1" s="1"/>
  <c r="H305" i="1" a="1"/>
  <c r="H305" i="1" s="1"/>
  <c r="H265" i="1" a="1"/>
  <c r="H265" i="1" s="1"/>
  <c r="G265" i="1" a="1"/>
  <c r="G265" i="1" s="1"/>
  <c r="G225" i="1" a="1"/>
  <c r="G225" i="1" s="1"/>
  <c r="H225" i="1" a="1"/>
  <c r="H225" i="1" s="1"/>
  <c r="H319" i="1" a="1"/>
  <c r="H319" i="1" s="1"/>
  <c r="G319" i="1" a="1"/>
  <c r="G319" i="1" s="1"/>
  <c r="H279" i="1" a="1"/>
  <c r="H279" i="1" s="1"/>
  <c r="G279" i="1" a="1"/>
  <c r="G279" i="1" s="1"/>
  <c r="H239" i="1" a="1"/>
  <c r="H239" i="1" s="1"/>
  <c r="G239" i="1" a="1"/>
  <c r="G239" i="1" s="1"/>
  <c r="H108" i="1" a="1"/>
  <c r="H108" i="1" s="1"/>
  <c r="G108" i="1" a="1"/>
  <c r="G108" i="1" s="1"/>
  <c r="H26" i="1" a="1"/>
  <c r="H26" i="1" s="1"/>
  <c r="G26" i="1" a="1"/>
  <c r="G26" i="1" s="1"/>
  <c r="H318" i="1" a="1"/>
  <c r="H318" i="1" s="1"/>
  <c r="G318" i="1" a="1"/>
  <c r="G318" i="1" s="1"/>
  <c r="G278" i="1" a="1"/>
  <c r="G278" i="1" s="1"/>
  <c r="H278" i="1" a="1"/>
  <c r="H278" i="1" s="1"/>
  <c r="H238" i="1" a="1"/>
  <c r="H238" i="1" s="1"/>
  <c r="G238" i="1" a="1"/>
  <c r="G238" i="1" s="1"/>
  <c r="G112" i="1" a="1"/>
  <c r="G112" i="1" s="1"/>
  <c r="H112" i="1" a="1"/>
  <c r="H112" i="1" s="1"/>
  <c r="H133" i="1" a="1"/>
  <c r="H133" i="1" s="1"/>
  <c r="G133" i="1" a="1"/>
  <c r="G133" i="1" s="1"/>
  <c r="H65" i="1" a="1"/>
  <c r="H65" i="1" s="1"/>
  <c r="G65" i="1" a="1"/>
  <c r="G65" i="1" s="1"/>
  <c r="G181" i="1" a="1"/>
  <c r="G181" i="1" s="1"/>
  <c r="H181" i="1" a="1"/>
  <c r="H181" i="1" s="1"/>
  <c r="H180" i="1" a="1"/>
  <c r="H180" i="1" s="1"/>
  <c r="G180" i="1" a="1"/>
  <c r="G180" i="1" s="1"/>
  <c r="H156" i="1" a="1"/>
  <c r="H156" i="1" s="1"/>
  <c r="G156" i="1" a="1"/>
  <c r="G156" i="1" s="1"/>
  <c r="G67" i="1" a="1"/>
  <c r="G67" i="1" s="1"/>
  <c r="H67" i="1" a="1"/>
  <c r="H67" i="1" s="1"/>
  <c r="G131" i="1" a="1"/>
  <c r="G131" i="1" s="1"/>
  <c r="H131" i="1" a="1"/>
  <c r="H131" i="1" s="1"/>
  <c r="G63" i="1" a="1"/>
  <c r="G63" i="1" s="1"/>
  <c r="H63" i="1" a="1"/>
  <c r="H63" i="1" s="1"/>
  <c r="G29" i="1" a="1"/>
  <c r="G29" i="1" s="1"/>
  <c r="H29" i="1" a="1"/>
  <c r="H29" i="1" s="1"/>
  <c r="H179" i="1" a="1"/>
  <c r="H179" i="1" s="1"/>
  <c r="G179" i="1" a="1"/>
  <c r="G179" i="1" s="1"/>
  <c r="G109" i="1" a="1"/>
  <c r="G109" i="1" s="1"/>
  <c r="H109" i="1" a="1"/>
  <c r="H109" i="1" s="1"/>
  <c r="H114" i="1" a="1"/>
  <c r="H114" i="1" s="1"/>
  <c r="G114" i="1" a="1"/>
  <c r="G114" i="1" s="1"/>
  <c r="H154" i="1" a="1"/>
  <c r="H154" i="1" s="1"/>
  <c r="G154" i="1" a="1"/>
  <c r="G154" i="1" s="1"/>
  <c r="H130" i="1" a="1"/>
  <c r="H130" i="1" s="1"/>
  <c r="G130" i="1" a="1"/>
  <c r="G130" i="1" s="1"/>
  <c r="H16" i="1" a="1"/>
  <c r="H16" i="1" s="1"/>
  <c r="G16" i="1" a="1"/>
  <c r="G16" i="1" s="1"/>
  <c r="H111" i="1" a="1"/>
  <c r="H111" i="1" s="1"/>
  <c r="G111" i="1" a="1"/>
  <c r="G111" i="1" s="1"/>
  <c r="H153" i="1" a="1"/>
  <c r="H153" i="1" s="1"/>
  <c r="G153" i="1" a="1"/>
  <c r="G153" i="1" s="1"/>
  <c r="H129" i="1" a="1"/>
  <c r="H129" i="1" s="1"/>
  <c r="G129" i="1" a="1"/>
  <c r="G129" i="1" s="1"/>
  <c r="H83" i="1" a="1"/>
  <c r="H83" i="1" s="1"/>
  <c r="G83" i="1" a="1"/>
  <c r="G83" i="1" s="1"/>
  <c r="H157" i="1" a="1"/>
  <c r="H157" i="1" s="1"/>
  <c r="G157" i="1" a="1"/>
  <c r="G157" i="1" s="1"/>
  <c r="H198" i="1" a="1"/>
  <c r="H198" i="1" s="1"/>
  <c r="G198" i="1" a="1"/>
  <c r="G198" i="1" s="1"/>
  <c r="H107" i="1" a="1"/>
  <c r="H107" i="1" s="1"/>
  <c r="G107" i="1" a="1"/>
  <c r="G107" i="1" s="1"/>
  <c r="H25" i="1" a="1"/>
  <c r="H25" i="1" s="1"/>
  <c r="G25" i="1" a="1"/>
  <c r="G25" i="1" s="1"/>
  <c r="G90" i="1" a="1"/>
  <c r="G90" i="1" s="1"/>
  <c r="H90" i="1" a="1"/>
  <c r="H90" i="1" s="1"/>
  <c r="G197" i="1" a="1"/>
  <c r="G197" i="1" s="1"/>
  <c r="H197" i="1" a="1"/>
  <c r="H197" i="1" s="1"/>
  <c r="G151" i="1" a="1"/>
  <c r="G151" i="1" s="1"/>
  <c r="H151" i="1" a="1"/>
  <c r="H151" i="1" s="1"/>
  <c r="G81" i="1" a="1"/>
  <c r="G81" i="1" s="1"/>
  <c r="H81" i="1" a="1"/>
  <c r="H81" i="1" s="1"/>
  <c r="H64" i="1" a="1"/>
  <c r="H64" i="1" s="1"/>
  <c r="G64" i="1" a="1"/>
  <c r="G64" i="1" s="1"/>
  <c r="H127" i="1" a="1"/>
  <c r="H127" i="1" s="1"/>
  <c r="G127" i="1" a="1"/>
  <c r="G127" i="1" s="1"/>
  <c r="H58" i="1" a="1"/>
  <c r="H58" i="1" s="1"/>
  <c r="G58" i="1" a="1"/>
  <c r="G58" i="1" s="1"/>
  <c r="G33" i="1" a="1"/>
  <c r="G33" i="1" s="1"/>
  <c r="H33" i="1" a="1"/>
  <c r="H33" i="1" s="1"/>
  <c r="G196" i="1" a="1"/>
  <c r="G196" i="1" s="1"/>
  <c r="H196" i="1" a="1"/>
  <c r="H196" i="1" s="1"/>
  <c r="H173" i="1" a="1"/>
  <c r="H173" i="1" s="1"/>
  <c r="G173" i="1" a="1"/>
  <c r="G173" i="1" s="1"/>
  <c r="H150" i="1" a="1"/>
  <c r="H150" i="1" s="1"/>
  <c r="G150" i="1" a="1"/>
  <c r="G150" i="1" s="1"/>
  <c r="H80" i="1" a="1"/>
  <c r="H80" i="1" s="1"/>
  <c r="G80" i="1" a="1"/>
  <c r="G80" i="1" s="1"/>
  <c r="H22" i="1" a="1"/>
  <c r="H22" i="1" s="1"/>
  <c r="G22" i="1" a="1"/>
  <c r="G22" i="1" s="1"/>
  <c r="G126" i="1" a="1"/>
  <c r="G126" i="1" s="1"/>
  <c r="H126" i="1" a="1"/>
  <c r="H126" i="1" s="1"/>
  <c r="G103" i="1" a="1"/>
  <c r="G103" i="1" s="1"/>
  <c r="H103" i="1" a="1"/>
  <c r="H103" i="1" s="1"/>
  <c r="G57" i="1" a="1"/>
  <c r="G57" i="1" s="1"/>
  <c r="H57" i="1" a="1"/>
  <c r="H57" i="1" s="1"/>
  <c r="H182" i="1" a="1"/>
  <c r="H182" i="1" s="1"/>
  <c r="G182" i="1" a="1"/>
  <c r="G182" i="1" s="1"/>
  <c r="G172" i="1" a="1"/>
  <c r="G172" i="1" s="1"/>
  <c r="H172" i="1" a="1"/>
  <c r="H172" i="1" s="1"/>
  <c r="H149" i="1" a="1"/>
  <c r="H149" i="1" s="1"/>
  <c r="G149" i="1" a="1"/>
  <c r="G149" i="1" s="1"/>
  <c r="H79" i="1" a="1"/>
  <c r="H79" i="1" s="1"/>
  <c r="G79" i="1" a="1"/>
  <c r="G79" i="1" s="1"/>
  <c r="H70" i="1" a="1"/>
  <c r="H70" i="1" s="1"/>
  <c r="G70" i="1" a="1"/>
  <c r="G70" i="1" s="1"/>
  <c r="H194" i="1" a="1"/>
  <c r="H194" i="1" s="1"/>
  <c r="G194" i="1" a="1"/>
  <c r="G194" i="1" s="1"/>
  <c r="H125" i="1" a="1"/>
  <c r="H125" i="1" s="1"/>
  <c r="G125" i="1" a="1"/>
  <c r="G125" i="1" s="1"/>
  <c r="H102" i="1" a="1"/>
  <c r="H102" i="1" s="1"/>
  <c r="G102" i="1" a="1"/>
  <c r="G102" i="1" s="1"/>
  <c r="G84" i="1" a="1"/>
  <c r="G84" i="1" s="1"/>
  <c r="H84" i="1" a="1"/>
  <c r="H84" i="1" s="1"/>
  <c r="G171" i="1" a="1"/>
  <c r="G171" i="1" s="1"/>
  <c r="H171" i="1" a="1"/>
  <c r="H171" i="1" s="1"/>
  <c r="H148" i="1" a="1"/>
  <c r="H148" i="1" s="1"/>
  <c r="G148" i="1" a="1"/>
  <c r="G148" i="1" s="1"/>
  <c r="H193" i="1" a="1"/>
  <c r="H193" i="1" s="1"/>
  <c r="G193" i="1" a="1"/>
  <c r="G193" i="1" s="1"/>
  <c r="G101" i="1" a="1"/>
  <c r="G101" i="1" s="1"/>
  <c r="H101" i="1" a="1"/>
  <c r="H101" i="1" s="1"/>
  <c r="H54" i="1" a="1"/>
  <c r="H54" i="1" s="1"/>
  <c r="G54" i="1" a="1"/>
  <c r="G54" i="1" s="1"/>
  <c r="H134" i="1" a="1"/>
  <c r="H134" i="1" s="1"/>
  <c r="G134" i="1" a="1"/>
  <c r="G134" i="1" s="1"/>
  <c r="G147" i="1" a="1"/>
  <c r="G147" i="1" s="1"/>
  <c r="H147" i="1" a="1"/>
  <c r="H147" i="1" s="1"/>
  <c r="H123" i="1" a="1"/>
  <c r="H123" i="1" s="1"/>
  <c r="G123" i="1" a="1"/>
  <c r="G123" i="1" s="1"/>
  <c r="H77" i="1" a="1"/>
  <c r="H77" i="1" s="1"/>
  <c r="G77" i="1" a="1"/>
  <c r="G77" i="1" s="1"/>
  <c r="H53" i="1" a="1"/>
  <c r="H53" i="1" s="1"/>
  <c r="G53" i="1" a="1"/>
  <c r="G53" i="1" s="1"/>
  <c r="H159" i="1" a="1"/>
  <c r="H159" i="1" s="1"/>
  <c r="G159" i="1" a="1"/>
  <c r="G159" i="1" s="1"/>
  <c r="G192" i="1" a="1"/>
  <c r="G192" i="1" s="1"/>
  <c r="H192" i="1" a="1"/>
  <c r="H192" i="1" s="1"/>
  <c r="H169" i="1" a="1"/>
  <c r="H169" i="1" s="1"/>
  <c r="G169" i="1" a="1"/>
  <c r="G169" i="1" s="1"/>
  <c r="H100" i="1" a="1"/>
  <c r="H100" i="1" s="1"/>
  <c r="G100" i="1" a="1"/>
  <c r="G100" i="1" s="1"/>
  <c r="G52" i="1" a="1"/>
  <c r="G52" i="1" s="1"/>
  <c r="H52" i="1" a="1"/>
  <c r="H52" i="1" s="1"/>
  <c r="H76" i="1" a="1"/>
  <c r="H76" i="1" s="1"/>
  <c r="G76" i="1" a="1"/>
  <c r="G76" i="1" s="1"/>
  <c r="H51" i="1" a="1"/>
  <c r="H51" i="1" s="1"/>
  <c r="G51" i="1" a="1"/>
  <c r="G51" i="1" s="1"/>
  <c r="G201" i="1" a="1"/>
  <c r="G201" i="1" s="1"/>
  <c r="H201" i="1" a="1"/>
  <c r="H201" i="1" s="1"/>
  <c r="G121" i="1" a="1"/>
  <c r="G121" i="1" s="1"/>
  <c r="H121" i="1" a="1"/>
  <c r="H121" i="1" s="1"/>
  <c r="H99" i="1" a="1"/>
  <c r="H99" i="1" s="1"/>
  <c r="G99" i="1" a="1"/>
  <c r="G99" i="1" s="1"/>
  <c r="H200" i="1" a="1"/>
  <c r="H200" i="1" s="1"/>
  <c r="G200" i="1" a="1"/>
  <c r="G200" i="1" s="1"/>
  <c r="H190" i="1" a="1"/>
  <c r="H190" i="1" s="1"/>
  <c r="G190" i="1" a="1"/>
  <c r="G190" i="1" s="1"/>
  <c r="H167" i="1" a="1"/>
  <c r="H167" i="1" s="1"/>
  <c r="G167" i="1" a="1"/>
  <c r="G167" i="1" s="1"/>
  <c r="H120" i="1" a="1"/>
  <c r="H120" i="1" s="1"/>
  <c r="G120" i="1" a="1"/>
  <c r="G120" i="1" s="1"/>
  <c r="G98" i="1" a="1"/>
  <c r="G98" i="1" s="1"/>
  <c r="H98" i="1" a="1"/>
  <c r="H98" i="1" s="1"/>
  <c r="H48" i="1" a="1"/>
  <c r="H48" i="1" s="1"/>
  <c r="G48" i="1" a="1"/>
  <c r="G48" i="1" s="1"/>
  <c r="H210" i="1" a="1"/>
  <c r="H210" i="1" s="1"/>
  <c r="G210" i="1" a="1"/>
  <c r="G210" i="1" s="1"/>
  <c r="G189" i="1" a="1"/>
  <c r="G189" i="1" s="1"/>
  <c r="H189" i="1" a="1"/>
  <c r="H189" i="1" s="1"/>
  <c r="G166" i="1" a="1"/>
  <c r="G166" i="1" s="1"/>
  <c r="H166" i="1" a="1"/>
  <c r="H166" i="1" s="1"/>
  <c r="H142" i="1" a="1"/>
  <c r="H142" i="1" s="1"/>
  <c r="G142" i="1" a="1"/>
  <c r="G142" i="1" s="1"/>
  <c r="H202" i="1" a="1"/>
  <c r="H202" i="1" s="1"/>
  <c r="G202" i="1" a="1"/>
  <c r="G202" i="1" s="1"/>
  <c r="G212" i="1" a="1"/>
  <c r="G212" i="1" s="1"/>
  <c r="H212" i="1" a="1"/>
  <c r="H212" i="1" s="1"/>
  <c r="H119" i="1" a="1"/>
  <c r="H119" i="1" s="1"/>
  <c r="G119" i="1" a="1"/>
  <c r="G119" i="1" s="1"/>
  <c r="H91" i="1" a="1"/>
  <c r="H91" i="1" s="1"/>
  <c r="G91" i="1" a="1"/>
  <c r="G91" i="1" s="1"/>
  <c r="H170" i="1" a="1"/>
  <c r="H170" i="1" s="1"/>
  <c r="G170" i="1" a="1"/>
  <c r="G170" i="1" s="1"/>
  <c r="G96" i="1" a="1"/>
  <c r="G96" i="1" s="1"/>
  <c r="H96" i="1" a="1"/>
  <c r="H96" i="1" s="1"/>
  <c r="G73" i="1" a="1"/>
  <c r="G73" i="1" s="1"/>
  <c r="H73" i="1" a="1"/>
  <c r="H73" i="1" s="1"/>
  <c r="G132" i="1" a="1"/>
  <c r="G132" i="1" s="1"/>
  <c r="H132" i="1" a="1"/>
  <c r="H132" i="1" s="1"/>
  <c r="H140" i="1" a="1"/>
  <c r="H140" i="1" s="1"/>
  <c r="G140" i="1" a="1"/>
  <c r="G140" i="1" s="1"/>
  <c r="H188" i="1" a="1"/>
  <c r="H188" i="1" s="1"/>
  <c r="G188" i="1" a="1"/>
  <c r="G188" i="1" s="1"/>
  <c r="G72" i="1" a="1"/>
  <c r="G72" i="1" s="1"/>
  <c r="H72" i="1" a="1"/>
  <c r="H72" i="1" s="1"/>
  <c r="H199" i="1" a="1"/>
  <c r="H199" i="1" s="1"/>
  <c r="G199" i="1" a="1"/>
  <c r="G199" i="1" s="1"/>
  <c r="G223" i="1" a="1"/>
  <c r="G223" i="1" s="1"/>
  <c r="H223" i="1" a="1"/>
  <c r="H223" i="1" s="1"/>
  <c r="G95" i="1" a="1"/>
  <c r="G95" i="1" s="1"/>
  <c r="H95" i="1" a="1"/>
  <c r="H95" i="1" s="1"/>
  <c r="G163" i="1" a="1"/>
  <c r="G163" i="1" s="1"/>
  <c r="H163" i="1" a="1"/>
  <c r="H163" i="1" s="1"/>
  <c r="G117" i="1" a="1"/>
  <c r="G117" i="1" s="1"/>
  <c r="H117" i="1" a="1"/>
  <c r="H117" i="1" s="1"/>
  <c r="H165" i="1" a="1"/>
  <c r="H165" i="1" s="1"/>
  <c r="G165" i="1" a="1"/>
  <c r="G165" i="1" s="1"/>
  <c r="H187" i="1" a="1"/>
  <c r="H187" i="1" s="1"/>
  <c r="G187" i="1" a="1"/>
  <c r="G187" i="1" s="1"/>
  <c r="G186" i="1" a="1"/>
  <c r="G186" i="1" s="1"/>
  <c r="H186" i="1" a="1"/>
  <c r="H186" i="1" s="1"/>
  <c r="H94" i="1" a="1"/>
  <c r="H94" i="1" s="1"/>
  <c r="G94" i="1" a="1"/>
  <c r="G94" i="1" s="1"/>
  <c r="G135" i="1" a="1"/>
  <c r="G135" i="1" s="1"/>
  <c r="H135" i="1" a="1"/>
  <c r="H135" i="1" s="1"/>
  <c r="H158" i="1" a="1"/>
  <c r="H158" i="1" s="1"/>
  <c r="G158" i="1" a="1"/>
  <c r="G158" i="1" s="1"/>
  <c r="H208" i="1" a="1"/>
  <c r="H208" i="1" s="1"/>
  <c r="G208" i="1" a="1"/>
  <c r="G208" i="1" s="1"/>
  <c r="H162" i="1" a="1"/>
  <c r="H162" i="1" s="1"/>
  <c r="G162" i="1" a="1"/>
  <c r="G162" i="1" s="1"/>
  <c r="G137" i="1" a="1"/>
  <c r="G137" i="1" s="1"/>
  <c r="H137" i="1" a="1"/>
  <c r="H137" i="1" s="1"/>
  <c r="G116" i="1" a="1"/>
  <c r="G116" i="1" s="1"/>
  <c r="H116" i="1" a="1"/>
  <c r="H116" i="1" s="1"/>
  <c r="H185" i="1" a="1"/>
  <c r="H185" i="1" s="1"/>
  <c r="G185" i="1" a="1"/>
  <c r="G185" i="1" s="1"/>
  <c r="G93" i="1" a="1"/>
  <c r="G93" i="1" s="1"/>
  <c r="H93" i="1" a="1"/>
  <c r="H93" i="1" s="1"/>
  <c r="H69" i="1" a="1"/>
  <c r="H69" i="1" s="1"/>
  <c r="G69" i="1" a="1"/>
  <c r="G69" i="1" s="1"/>
  <c r="G66" i="1" a="1"/>
  <c r="G66" i="1" s="1"/>
  <c r="H66" i="1" a="1"/>
  <c r="H66" i="1" s="1"/>
  <c r="H136" i="1" a="1"/>
  <c r="H136" i="1" s="1"/>
  <c r="G136" i="1" a="1"/>
  <c r="G136" i="1" s="1"/>
  <c r="G115" i="1" a="1"/>
  <c r="G115" i="1" s="1"/>
  <c r="H115" i="1" a="1"/>
  <c r="H115" i="1" s="1"/>
  <c r="H184" i="1" a="1"/>
  <c r="H184" i="1" s="1"/>
  <c r="G184" i="1" a="1"/>
  <c r="G184" i="1" s="1"/>
  <c r="E78" i="1"/>
  <c r="F78" i="1" s="1"/>
  <c r="B226" i="1" a="1"/>
  <c r="B226" i="1" s="1"/>
  <c r="E226" i="1" s="1"/>
  <c r="F226" i="1" s="1"/>
  <c r="G9" i="23"/>
  <c r="B222" i="1" a="1"/>
  <c r="B222" i="1" s="1"/>
  <c r="E222" i="1" s="1"/>
  <c r="F222" i="1" s="1"/>
  <c r="B319" i="1" a="1"/>
  <c r="B319" i="1" s="1"/>
  <c r="E319" i="1" s="1"/>
  <c r="F319" i="1" s="1"/>
  <c r="B231" i="1" a="1"/>
  <c r="B231" i="1" s="1"/>
  <c r="E231" i="1" s="1"/>
  <c r="F231" i="1" s="1"/>
  <c r="C5" i="17"/>
  <c r="B295" i="1" a="1"/>
  <c r="B295" i="1" s="1"/>
  <c r="E295" i="1" s="1"/>
  <c r="F295" i="1" s="1"/>
  <c r="B331" i="1" a="1"/>
  <c r="B331" i="1" s="1"/>
  <c r="E331" i="1" s="1"/>
  <c r="F331" i="1" s="1"/>
  <c r="B315" i="1" a="1"/>
  <c r="B315" i="1" s="1"/>
  <c r="E315" i="1" s="1"/>
  <c r="F315" i="1" s="1"/>
  <c r="B254" i="1" a="1"/>
  <c r="B254" i="1" s="1"/>
  <c r="E254" i="1" s="1"/>
  <c r="F254" i="1" s="1"/>
  <c r="B85" i="1" a="1"/>
  <c r="B85" i="1" s="1"/>
  <c r="E85" i="1" s="1"/>
  <c r="F85" i="1" s="1"/>
  <c r="B219" i="1" a="1"/>
  <c r="B219" i="1" s="1"/>
  <c r="E219" i="1" s="1"/>
  <c r="F219" i="1" s="1"/>
  <c r="B227" i="1" a="1"/>
  <c r="B227" i="1" s="1"/>
  <c r="E227" i="1" s="1"/>
  <c r="F227" i="1" s="1"/>
  <c r="B207" i="1" a="1"/>
  <c r="B207" i="1" s="1"/>
  <c r="E207" i="1" s="1"/>
  <c r="F207" i="1" s="1"/>
  <c r="B275" i="1" a="1"/>
  <c r="B275" i="1" s="1"/>
  <c r="E275" i="1" s="1"/>
  <c r="F275" i="1" s="1"/>
  <c r="B311" i="1" a="1"/>
  <c r="B311" i="1" s="1"/>
  <c r="E311" i="1" s="1"/>
  <c r="F311" i="1" s="1"/>
  <c r="B247" i="1" a="1"/>
  <c r="B247" i="1" s="1"/>
  <c r="E247" i="1" s="1"/>
  <c r="F247" i="1" s="1"/>
  <c r="B255" i="1" a="1"/>
  <c r="B255" i="1" s="1"/>
  <c r="E255" i="1" s="1"/>
  <c r="F255" i="1" s="1"/>
  <c r="B56" i="1" a="1"/>
  <c r="B56" i="1" s="1"/>
  <c r="E56" i="1" s="1"/>
  <c r="F56" i="1" s="1"/>
  <c r="B235" i="1" a="1"/>
  <c r="B235" i="1" s="1"/>
  <c r="E235" i="1" s="1"/>
  <c r="F235" i="1" s="1"/>
  <c r="B279" i="1" a="1"/>
  <c r="B279" i="1" s="1"/>
  <c r="E279" i="1" s="1"/>
  <c r="F279" i="1" s="1"/>
  <c r="B43" i="1" a="1"/>
  <c r="B43" i="1" s="1"/>
  <c r="E43" i="1" s="1"/>
  <c r="F43" i="1" s="1"/>
  <c r="B259" i="1" a="1"/>
  <c r="B259" i="1" s="1"/>
  <c r="E259" i="1" s="1"/>
  <c r="F259" i="1" s="1"/>
  <c r="B211" i="1" a="1"/>
  <c r="B211" i="1" s="1"/>
  <c r="E211" i="1" s="1"/>
  <c r="F211" i="1" s="1"/>
  <c r="B287" i="1" a="1"/>
  <c r="B287" i="1" s="1"/>
  <c r="E287" i="1" s="1"/>
  <c r="F287" i="1" s="1"/>
  <c r="B203" i="1" a="1"/>
  <c r="B203" i="1" s="1"/>
  <c r="E203" i="1" s="1"/>
  <c r="F203" i="1" s="1"/>
  <c r="B215" i="1" a="1"/>
  <c r="B215" i="1" s="1"/>
  <c r="E215" i="1" s="1"/>
  <c r="F215" i="1" s="1"/>
  <c r="B31" i="1" a="1"/>
  <c r="B31" i="1" s="1"/>
  <c r="E31" i="1" s="1"/>
  <c r="F31" i="1" s="1"/>
  <c r="K4" i="1"/>
  <c r="B14" i="1" a="1"/>
  <c r="B14" i="1" s="1"/>
  <c r="E14" i="1" s="1"/>
  <c r="F14" i="1" s="1"/>
  <c r="E37" i="24"/>
  <c r="D39" i="24"/>
  <c r="E39" i="24"/>
  <c r="E36" i="24"/>
  <c r="B317" i="1" a="1"/>
  <c r="B317" i="1" s="1"/>
  <c r="E317" i="1" s="1"/>
  <c r="F317" i="1" s="1"/>
  <c r="B334" i="1" a="1"/>
  <c r="B334" i="1" s="1"/>
  <c r="E334" i="1" s="1"/>
  <c r="F334" i="1" s="1"/>
  <c r="B329" i="1" a="1"/>
  <c r="B329" i="1" s="1"/>
  <c r="E329" i="1" s="1"/>
  <c r="F329" i="1" s="1"/>
  <c r="B28" i="1" a="1"/>
  <c r="B28" i="1" s="1"/>
  <c r="E28" i="1" s="1"/>
  <c r="F28" i="1" s="1"/>
  <c r="B273" i="1" a="1"/>
  <c r="B273" i="1" s="1"/>
  <c r="E273" i="1" s="1"/>
  <c r="F273" i="1" s="1"/>
  <c r="B249" i="1" a="1"/>
  <c r="B249" i="1" s="1"/>
  <c r="E249" i="1" s="1"/>
  <c r="F249" i="1" s="1"/>
  <c r="B144" i="1" a="1"/>
  <c r="B144" i="1" s="1"/>
  <c r="E144" i="1" s="1"/>
  <c r="F144" i="1" s="1"/>
  <c r="B318" i="1" a="1"/>
  <c r="B318" i="1" s="1"/>
  <c r="E318" i="1" s="1"/>
  <c r="F318" i="1" s="1"/>
  <c r="B268" i="1" a="1"/>
  <c r="B268" i="1" s="1"/>
  <c r="E268" i="1" s="1"/>
  <c r="F268" i="1" s="1"/>
  <c r="B35" i="1" a="1"/>
  <c r="B35" i="1" s="1"/>
  <c r="E35" i="1" s="1"/>
  <c r="F35" i="1" s="1"/>
  <c r="B237" i="1" a="1"/>
  <c r="B237" i="1" s="1"/>
  <c r="E237" i="1" s="1"/>
  <c r="F237" i="1" s="1"/>
  <c r="B205" i="1" a="1"/>
  <c r="B205" i="1" s="1"/>
  <c r="E205" i="1" s="1"/>
  <c r="F205" i="1" s="1"/>
  <c r="B168" i="1" a="1"/>
  <c r="B168" i="1" s="1"/>
  <c r="E168" i="1" s="1"/>
  <c r="F168" i="1" s="1"/>
  <c r="B269" i="1" a="1"/>
  <c r="B269" i="1" s="1"/>
  <c r="E269" i="1" s="1"/>
  <c r="F269" i="1" s="1"/>
  <c r="B241" i="1" a="1"/>
  <c r="B241" i="1" s="1"/>
  <c r="E241" i="1" s="1"/>
  <c r="F241" i="1" s="1"/>
  <c r="D36" i="24"/>
  <c r="B146" i="1" a="1"/>
  <c r="B146" i="1" s="1"/>
  <c r="E146" i="1" s="1"/>
  <c r="F146" i="1" s="1"/>
  <c r="B124" i="1" a="1"/>
  <c r="B124" i="1" s="1"/>
  <c r="E124" i="1" s="1"/>
  <c r="F124" i="1" s="1"/>
  <c r="B122" i="1" a="1"/>
  <c r="B122" i="1" s="1"/>
  <c r="E122" i="1" s="1"/>
  <c r="F122" i="1" s="1"/>
  <c r="B92" i="1" a="1"/>
  <c r="B92" i="1" s="1"/>
  <c r="E92" i="1" s="1"/>
  <c r="F92" i="1" s="1"/>
  <c r="B8" i="1" a="1"/>
  <c r="B8" i="1" s="1"/>
  <c r="E8" i="1" s="1"/>
  <c r="F8" i="1" s="1"/>
  <c r="B6" i="1" a="1"/>
  <c r="B6" i="1" s="1"/>
  <c r="E6" i="1" s="1"/>
  <c r="F6" i="1" s="1"/>
  <c r="H6" i="1" s="1" a="1"/>
  <c r="H6" i="1" s="1"/>
  <c r="J6" i="1"/>
  <c r="B216" i="1" a="1"/>
  <c r="B216" i="1" s="1"/>
  <c r="E216" i="1" s="1"/>
  <c r="F216" i="1" s="1"/>
  <c r="G216" i="1" s="1" a="1"/>
  <c r="G216" i="1" s="1"/>
  <c r="L1" i="1"/>
  <c r="I1" i="1" s="1"/>
  <c r="O40" i="24"/>
  <c r="B44" i="1" a="1"/>
  <c r="B44" i="1" s="1"/>
  <c r="E44" i="1" s="1"/>
  <c r="F44" i="1" s="1"/>
  <c r="B224" i="1" a="1"/>
  <c r="B224" i="1" s="1"/>
  <c r="E224" i="1" s="1"/>
  <c r="F224" i="1" s="1"/>
  <c r="B232" i="1" a="1"/>
  <c r="B232" i="1" s="1"/>
  <c r="E232" i="1" s="1"/>
  <c r="F232" i="1" s="1"/>
  <c r="B240" i="1" a="1"/>
  <c r="B240" i="1" s="1"/>
  <c r="E240" i="1" s="1"/>
  <c r="F240" i="1" s="1"/>
  <c r="B195" i="1" a="1"/>
  <c r="B195" i="1" s="1"/>
  <c r="E195" i="1" s="1"/>
  <c r="F195" i="1" s="1"/>
  <c r="B191" i="1" a="1"/>
  <c r="B191" i="1" s="1"/>
  <c r="E191" i="1" s="1"/>
  <c r="F191" i="1" s="1"/>
  <c r="B155" i="1" a="1"/>
  <c r="B155" i="1" s="1"/>
  <c r="E155" i="1" s="1"/>
  <c r="F155" i="1" s="1"/>
  <c r="B141" i="1" a="1"/>
  <c r="B141" i="1" s="1"/>
  <c r="E141" i="1" s="1"/>
  <c r="F141" i="1" s="1"/>
  <c r="B113" i="1" a="1"/>
  <c r="B113" i="1" s="1"/>
  <c r="E113" i="1" s="1"/>
  <c r="F113" i="1" s="1"/>
  <c r="B97" i="1" a="1"/>
  <c r="B97" i="1" s="1"/>
  <c r="E97" i="1" s="1"/>
  <c r="F97" i="1" s="1"/>
  <c r="B89" i="1" a="1"/>
  <c r="B89" i="1" s="1"/>
  <c r="E89" i="1" s="1"/>
  <c r="F89" i="1" s="1"/>
  <c r="H89" i="1" s="1" a="1"/>
  <c r="H89" i="1" s="1"/>
  <c r="B87" i="1" a="1"/>
  <c r="B87" i="1" s="1"/>
  <c r="E87" i="1" s="1"/>
  <c r="F87" i="1" s="1"/>
  <c r="B82" i="1" a="1"/>
  <c r="B82" i="1" s="1"/>
  <c r="E82" i="1" s="1"/>
  <c r="F82" i="1" s="1"/>
  <c r="B206" i="1" a="1"/>
  <c r="B206" i="1" s="1"/>
  <c r="E206" i="1" s="1"/>
  <c r="F206" i="1" s="1"/>
  <c r="B266" i="1" a="1"/>
  <c r="B266" i="1" s="1"/>
  <c r="E266" i="1" s="1"/>
  <c r="F266" i="1" s="1"/>
  <c r="B302" i="1" a="1"/>
  <c r="B302" i="1" s="1"/>
  <c r="E302" i="1" s="1"/>
  <c r="F302" i="1" s="1"/>
  <c r="D41" i="24"/>
  <c r="E34" i="24"/>
  <c r="O35" i="24"/>
  <c r="E40" i="24"/>
  <c r="D38" i="24"/>
  <c r="B143" i="1" a="1"/>
  <c r="B143" i="1" s="1"/>
  <c r="E143" i="1" s="1"/>
  <c r="F143" i="1" s="1"/>
  <c r="B15" i="1" a="1"/>
  <c r="B15" i="1" s="1"/>
  <c r="E15" i="1" s="1"/>
  <c r="F15" i="1" s="1"/>
  <c r="B228" i="1" a="1"/>
  <c r="B228" i="1" s="1"/>
  <c r="E228" i="1" s="1"/>
  <c r="F228" i="1" s="1"/>
  <c r="B236" i="1" a="1"/>
  <c r="B236" i="1" s="1"/>
  <c r="E236" i="1" s="1"/>
  <c r="F236" i="1" s="1"/>
  <c r="E41" i="24"/>
  <c r="B37" i="1" a="1"/>
  <c r="B37" i="1" s="1"/>
  <c r="E37" i="1" s="1"/>
  <c r="F37" i="1" s="1"/>
  <c r="O39" i="24"/>
  <c r="D37" i="24"/>
  <c r="O41" i="24"/>
  <c r="E42" i="24"/>
  <c r="B20" i="1" a="1"/>
  <c r="B20" i="1" s="1"/>
  <c r="E20" i="1" s="1"/>
  <c r="F20" i="1" s="1"/>
  <c r="B145" i="1" a="1"/>
  <c r="B145" i="1" s="1"/>
  <c r="E145" i="1" s="1"/>
  <c r="F145" i="1" s="1"/>
  <c r="B47" i="1" a="1"/>
  <c r="B47" i="1" s="1"/>
  <c r="E47" i="1" s="1"/>
  <c r="F47" i="1" s="1"/>
  <c r="B214" i="1" a="1"/>
  <c r="B214" i="1" s="1"/>
  <c r="E214" i="1" s="1"/>
  <c r="F214" i="1" s="1"/>
  <c r="B40" i="1" a="1"/>
  <c r="B40" i="1" s="1"/>
  <c r="E40" i="1" s="1"/>
  <c r="F40" i="1" s="1"/>
  <c r="K111" i="20"/>
  <c r="K83" i="20"/>
  <c r="D35" i="24"/>
  <c r="D34" i="24"/>
  <c r="B337" i="1" a="1"/>
  <c r="B337" i="1" s="1"/>
  <c r="E337" i="1" s="1"/>
  <c r="F337" i="1" s="1"/>
  <c r="B152" i="1" a="1"/>
  <c r="B152" i="1" s="1"/>
  <c r="E152" i="1" s="1"/>
  <c r="F152" i="1" s="1"/>
  <c r="B322" i="1" a="1"/>
  <c r="B322" i="1" s="1"/>
  <c r="E322" i="1" s="1"/>
  <c r="F322" i="1" s="1"/>
  <c r="B30" i="1" a="1"/>
  <c r="B30" i="1" s="1"/>
  <c r="E30" i="1" s="1"/>
  <c r="F30" i="1" s="1"/>
  <c r="B314" i="1" a="1"/>
  <c r="B314" i="1" s="1"/>
  <c r="E314" i="1" s="1"/>
  <c r="F314" i="1" s="1"/>
  <c r="K94" i="20"/>
  <c r="K102" i="20"/>
  <c r="K110" i="20"/>
  <c r="K118" i="20"/>
  <c r="K122" i="20"/>
  <c r="K130" i="20"/>
  <c r="K134" i="20"/>
  <c r="K145" i="20"/>
  <c r="B234" i="1" a="1"/>
  <c r="B234" i="1" s="1"/>
  <c r="E234" i="1" s="1"/>
  <c r="F234" i="1" s="1"/>
  <c r="B270" i="1" a="1"/>
  <c r="B270" i="1" s="1"/>
  <c r="E270" i="1" s="1"/>
  <c r="F270" i="1" s="1"/>
  <c r="B218" i="1" a="1"/>
  <c r="B218" i="1" s="1"/>
  <c r="E218" i="1" s="1"/>
  <c r="F218" i="1" s="1"/>
  <c r="B298" i="1" a="1"/>
  <c r="B298" i="1" s="1"/>
  <c r="E298" i="1" s="1"/>
  <c r="F298" i="1" s="1"/>
  <c r="B55" i="1" a="1"/>
  <c r="B55" i="1" s="1"/>
  <c r="E55" i="1" s="1"/>
  <c r="F55" i="1" s="1"/>
  <c r="B175" i="1" a="1"/>
  <c r="B175" i="1" s="1"/>
  <c r="E175" i="1" s="1"/>
  <c r="F175" i="1" s="1"/>
  <c r="B336" i="1" a="1"/>
  <c r="B336" i="1" s="1"/>
  <c r="E336" i="1" s="1"/>
  <c r="F336" i="1" s="1"/>
  <c r="B68" i="1" a="1"/>
  <c r="B68" i="1" s="1"/>
  <c r="E68" i="1" s="1"/>
  <c r="F68" i="1" s="1"/>
  <c r="K87" i="20"/>
  <c r="K99" i="20"/>
  <c r="K103" i="20"/>
  <c r="K107" i="20"/>
  <c r="K119" i="20"/>
  <c r="K123" i="20"/>
  <c r="K131" i="20"/>
  <c r="K135" i="20"/>
  <c r="K150" i="20"/>
  <c r="K154" i="20"/>
  <c r="B246" i="1" a="1"/>
  <c r="B246" i="1" s="1"/>
  <c r="E246" i="1" s="1"/>
  <c r="F246" i="1" s="1"/>
  <c r="B290" i="1" a="1"/>
  <c r="B290" i="1" s="1"/>
  <c r="E290" i="1" s="1"/>
  <c r="F290" i="1" s="1"/>
  <c r="B238" i="1" a="1"/>
  <c r="B238" i="1" s="1"/>
  <c r="E238" i="1" s="1"/>
  <c r="F238" i="1" s="1"/>
  <c r="G83" i="12"/>
  <c r="P2" i="20"/>
  <c r="P1" i="20"/>
  <c r="P3" i="20"/>
  <c r="O37" i="24" a="1"/>
  <c r="O37" i="24" s="1"/>
  <c r="D40" i="24" a="1"/>
  <c r="D40" i="24" s="1"/>
  <c r="E35" i="24" a="1"/>
  <c r="E35" i="24" s="1"/>
  <c r="O42" i="24" a="1"/>
  <c r="O42" i="24" s="1"/>
  <c r="O38" i="24" a="1"/>
  <c r="O38" i="24" s="1"/>
  <c r="X9" i="9"/>
  <c r="W9" i="9"/>
  <c r="V9" i="9" s="1"/>
  <c r="S9" i="9"/>
  <c r="R9" i="9" s="1"/>
  <c r="O9" i="9" s="1"/>
  <c r="P5" i="20"/>
  <c r="C10" i="18" a="1"/>
  <c r="C10" i="18" s="1"/>
  <c r="C9" i="17"/>
  <c r="O36" i="24" a="1"/>
  <c r="O36" i="24" s="1"/>
  <c r="D42" i="24" a="1"/>
  <c r="D42" i="24" s="1"/>
  <c r="E38" i="24" a="1"/>
  <c r="E38" i="24" s="1"/>
  <c r="O34" i="24" a="1"/>
  <c r="O34" i="24" s="1"/>
  <c r="B297" i="1" a="1"/>
  <c r="B297" i="1" s="1"/>
  <c r="E297" i="1" s="1"/>
  <c r="F297" i="1" s="1"/>
  <c r="B256" i="1" a="1"/>
  <c r="B256" i="1" s="1"/>
  <c r="E256" i="1" s="1"/>
  <c r="F256" i="1" s="1"/>
  <c r="B209" i="1" a="1"/>
  <c r="B209" i="1" s="1"/>
  <c r="E209" i="1" s="1"/>
  <c r="F209" i="1" s="1"/>
  <c r="B204" i="1" a="1"/>
  <c r="B204" i="1" s="1"/>
  <c r="E204" i="1" s="1"/>
  <c r="F204" i="1" s="1"/>
  <c r="G204" i="1" s="1" a="1"/>
  <c r="G204" i="1" s="1"/>
  <c r="B34" i="1" a="1"/>
  <c r="B34" i="1" s="1"/>
  <c r="E34" i="1" s="1"/>
  <c r="F34" i="1" s="1"/>
  <c r="B332" i="1" a="1"/>
  <c r="B332" i="1" s="1"/>
  <c r="E332" i="1" s="1"/>
  <c r="F332" i="1" s="1"/>
  <c r="B328" i="1" a="1"/>
  <c r="B328" i="1" s="1"/>
  <c r="E328" i="1" s="1"/>
  <c r="F328" i="1" s="1"/>
  <c r="B284" i="1" a="1"/>
  <c r="B284" i="1" s="1"/>
  <c r="E284" i="1" s="1"/>
  <c r="F284" i="1" s="1"/>
  <c r="B71" i="1" a="1"/>
  <c r="B71" i="1" s="1"/>
  <c r="E71" i="1" s="1"/>
  <c r="F71" i="1" s="1"/>
  <c r="B19" i="1" a="1"/>
  <c r="B19" i="1" s="1"/>
  <c r="E19" i="1" s="1"/>
  <c r="F19" i="1" s="1"/>
  <c r="B217" i="1" a="1"/>
  <c r="B217" i="1" s="1"/>
  <c r="E217" i="1" s="1"/>
  <c r="F217" i="1" s="1"/>
  <c r="B248" i="1" a="1"/>
  <c r="B248" i="1" s="1"/>
  <c r="E248" i="1" s="1"/>
  <c r="F248" i="1" s="1"/>
  <c r="B244" i="1" a="1"/>
  <c r="B244" i="1" s="1"/>
  <c r="E244" i="1" s="1"/>
  <c r="F244" i="1" s="1"/>
  <c r="B320" i="1" a="1"/>
  <c r="B320" i="1" s="1"/>
  <c r="E320" i="1" s="1"/>
  <c r="F320" i="1" s="1"/>
  <c r="B233" i="1" a="1"/>
  <c r="B233" i="1" s="1"/>
  <c r="E233" i="1" s="1"/>
  <c r="F233" i="1" s="1"/>
  <c r="B300" i="1" a="1"/>
  <c r="B300" i="1" s="1"/>
  <c r="E300" i="1" s="1"/>
  <c r="F300" i="1" s="1"/>
  <c r="B260" i="1" a="1"/>
  <c r="B260" i="1" s="1"/>
  <c r="E260" i="1" s="1"/>
  <c r="F260" i="1" s="1"/>
  <c r="B220" i="1" a="1"/>
  <c r="B220" i="1" s="1"/>
  <c r="E220" i="1" s="1"/>
  <c r="F220" i="1" s="1"/>
  <c r="B257" i="1" a="1"/>
  <c r="B257" i="1" s="1"/>
  <c r="E257" i="1" s="1"/>
  <c r="F257" i="1" s="1"/>
  <c r="B296" i="1" a="1"/>
  <c r="B296" i="1" s="1"/>
  <c r="E296" i="1" s="1"/>
  <c r="F296" i="1" s="1"/>
  <c r="B324" i="1" a="1"/>
  <c r="B324" i="1" s="1"/>
  <c r="E324" i="1" s="1"/>
  <c r="F324" i="1" s="1"/>
  <c r="B292" i="1" a="1"/>
  <c r="B292" i="1" s="1"/>
  <c r="E292" i="1" s="1"/>
  <c r="F292" i="1" s="1"/>
  <c r="B164" i="1" a="1"/>
  <c r="B164" i="1" s="1"/>
  <c r="E164" i="1" s="1"/>
  <c r="F164" i="1" s="1"/>
  <c r="B321" i="1" a="1"/>
  <c r="B321" i="1" s="1"/>
  <c r="E321" i="1" s="1"/>
  <c r="F321" i="1" s="1"/>
  <c r="B277" i="1" a="1"/>
  <c r="B277" i="1" s="1"/>
  <c r="E277" i="1" s="1"/>
  <c r="F277" i="1" s="1"/>
  <c r="B313" i="1" a="1"/>
  <c r="B313" i="1" s="1"/>
  <c r="E313" i="1" s="1"/>
  <c r="F313" i="1" s="1"/>
  <c r="B316" i="1" a="1"/>
  <c r="B316" i="1" s="1"/>
  <c r="E316" i="1" s="1"/>
  <c r="F316" i="1" s="1"/>
  <c r="B225" i="1" a="1"/>
  <c r="B225" i="1" s="1"/>
  <c r="E225" i="1" s="1"/>
  <c r="F225" i="1" s="1"/>
  <c r="B24" i="1" a="1"/>
  <c r="B24" i="1" s="1"/>
  <c r="E24" i="1" s="1"/>
  <c r="F24" i="1" s="1"/>
  <c r="B229" i="1" a="1"/>
  <c r="B229" i="1" s="1"/>
  <c r="E229" i="1" s="1"/>
  <c r="F229" i="1" s="1"/>
  <c r="B325" i="1" a="1"/>
  <c r="B325" i="1" s="1"/>
  <c r="E325" i="1" s="1"/>
  <c r="F325" i="1" s="1"/>
  <c r="B265" i="1" a="1"/>
  <c r="B265" i="1" s="1"/>
  <c r="E265" i="1" s="1"/>
  <c r="F265" i="1" s="1"/>
  <c r="B301" i="1" a="1"/>
  <c r="B301" i="1" s="1"/>
  <c r="E301" i="1" s="1"/>
  <c r="F301" i="1" s="1"/>
  <c r="B261" i="1" a="1"/>
  <c r="B261" i="1" s="1"/>
  <c r="E261" i="1" s="1"/>
  <c r="F261" i="1" s="1"/>
  <c r="B221" i="1" a="1"/>
  <c r="B221" i="1" s="1"/>
  <c r="E221" i="1" s="1"/>
  <c r="F221" i="1" s="1"/>
  <c r="B289" i="1" a="1"/>
  <c r="B289" i="1" s="1"/>
  <c r="E289" i="1" s="1"/>
  <c r="F289" i="1" s="1"/>
  <c r="B213" i="1" a="1"/>
  <c r="B213" i="1" s="1"/>
  <c r="E213" i="1" s="1"/>
  <c r="F213" i="1" s="1"/>
  <c r="B281" i="1" a="1"/>
  <c r="B281" i="1" s="1"/>
  <c r="E281" i="1" s="1"/>
  <c r="F281" i="1" s="1"/>
  <c r="B333" i="1" a="1"/>
  <c r="B333" i="1" s="1"/>
  <c r="E333" i="1" s="1"/>
  <c r="F333" i="1" s="1"/>
  <c r="B293" i="1" a="1"/>
  <c r="B293" i="1" s="1"/>
  <c r="E293" i="1" s="1"/>
  <c r="F293" i="1" s="1"/>
  <c r="B253" i="1" a="1"/>
  <c r="B253" i="1" s="1"/>
  <c r="E253" i="1" s="1"/>
  <c r="F253" i="1" s="1"/>
  <c r="B245" i="1" a="1"/>
  <c r="B245" i="1" s="1"/>
  <c r="E245" i="1" s="1"/>
  <c r="F245" i="1" s="1"/>
  <c r="B176" i="1" a="1"/>
  <c r="B176" i="1" s="1"/>
  <c r="E176" i="1" s="1"/>
  <c r="F176" i="1" s="1"/>
  <c r="B139" i="1" a="1"/>
  <c r="B139" i="1" s="1"/>
  <c r="E139" i="1" s="1"/>
  <c r="F139" i="1" s="1"/>
  <c r="B104" i="1" a="1"/>
  <c r="B104" i="1" s="1"/>
  <c r="E104" i="1" s="1"/>
  <c r="F104" i="1" s="1"/>
  <c r="B60" i="1" a="1"/>
  <c r="B60" i="1" s="1"/>
  <c r="E60" i="1" s="1"/>
  <c r="F60" i="1" s="1"/>
  <c r="B177" i="1" a="1"/>
  <c r="B177" i="1" s="1"/>
  <c r="E177" i="1" s="1"/>
  <c r="F177" i="1" s="1"/>
  <c r="B178" i="1" a="1"/>
  <c r="B178" i="1" s="1"/>
  <c r="E178" i="1" s="1"/>
  <c r="F178" i="1" s="1"/>
  <c r="B106" i="1" a="1"/>
  <c r="B106" i="1" s="1"/>
  <c r="E106" i="1" s="1"/>
  <c r="F106" i="1" s="1"/>
  <c r="B138" i="1" a="1"/>
  <c r="B138" i="1" s="1"/>
  <c r="E138" i="1" s="1"/>
  <c r="F138" i="1" s="1"/>
  <c r="B105" i="1" a="1"/>
  <c r="B105" i="1" s="1"/>
  <c r="E105" i="1" s="1"/>
  <c r="F105" i="1" s="1"/>
  <c r="B61" i="1" a="1"/>
  <c r="B61" i="1" s="1"/>
  <c r="E61" i="1" s="1"/>
  <c r="F61" i="1" s="1"/>
  <c r="E26" i="10"/>
  <c r="B26" i="10"/>
  <c r="D26" i="10"/>
  <c r="C26" i="10"/>
  <c r="F26" i="10"/>
  <c r="G89" i="1" l="1" a="1"/>
  <c r="G89" i="1" s="1"/>
  <c r="H216" i="1" a="1"/>
  <c r="H216" i="1" s="1"/>
  <c r="H204" i="1" a="1"/>
  <c r="H204" i="1" s="1"/>
  <c r="H220" i="1" a="1"/>
  <c r="H220" i="1" s="1"/>
  <c r="G220" i="1" a="1"/>
  <c r="G220" i="1" s="1"/>
  <c r="G146" i="1" a="1"/>
  <c r="G146" i="1" s="1"/>
  <c r="H146" i="1" a="1"/>
  <c r="H146" i="1" s="1"/>
  <c r="H85" i="1" a="1"/>
  <c r="H85" i="1" s="1"/>
  <c r="G85" i="1" a="1"/>
  <c r="G85" i="1" s="1"/>
  <c r="H145" i="1" a="1"/>
  <c r="H145" i="1" s="1"/>
  <c r="G145" i="1" a="1"/>
  <c r="G145" i="1" s="1"/>
  <c r="H168" i="1" a="1"/>
  <c r="H168" i="1" s="1"/>
  <c r="G168" i="1" a="1"/>
  <c r="G168" i="1" s="1"/>
  <c r="H205" i="1" a="1"/>
  <c r="H205" i="1" s="1"/>
  <c r="G205" i="1" a="1"/>
  <c r="G205" i="1" s="1"/>
  <c r="G35" i="1" a="1"/>
  <c r="G35" i="1" s="1"/>
  <c r="H35" i="1" a="1"/>
  <c r="H35" i="1" s="1"/>
  <c r="G61" i="1" a="1"/>
  <c r="G61" i="1" s="1"/>
  <c r="H61" i="1" a="1"/>
  <c r="H61" i="1" s="1"/>
  <c r="H143" i="1" a="1"/>
  <c r="H143" i="1" s="1"/>
  <c r="G143" i="1" a="1"/>
  <c r="G143" i="1" s="1"/>
  <c r="G144" i="1" a="1"/>
  <c r="G144" i="1" s="1"/>
  <c r="H144" i="1" a="1"/>
  <c r="H144" i="1" s="1"/>
  <c r="G177" i="1" a="1"/>
  <c r="G177" i="1" s="1"/>
  <c r="H177" i="1" a="1"/>
  <c r="H177" i="1" s="1"/>
  <c r="G78" i="1" a="1"/>
  <c r="G78" i="1" s="1"/>
  <c r="H78" i="1" a="1"/>
  <c r="H78" i="1" s="1"/>
  <c r="G175" i="1" a="1"/>
  <c r="G175" i="1" s="1"/>
  <c r="H175" i="1" a="1"/>
  <c r="H175" i="1" s="1"/>
  <c r="H138" i="1" a="1"/>
  <c r="H138" i="1" s="1"/>
  <c r="G138" i="1" a="1"/>
  <c r="G138" i="1" s="1"/>
  <c r="H104" i="1" a="1"/>
  <c r="H104" i="1" s="1"/>
  <c r="G104" i="1" a="1"/>
  <c r="G104" i="1" s="1"/>
  <c r="H34" i="1" a="1"/>
  <c r="H34" i="1" s="1"/>
  <c r="G34" i="1" a="1"/>
  <c r="G34" i="1" s="1"/>
  <c r="G55" i="1" a="1"/>
  <c r="G55" i="1" s="1"/>
  <c r="H55" i="1" a="1"/>
  <c r="H55" i="1" s="1"/>
  <c r="H28" i="1" a="1"/>
  <c r="H28" i="1" s="1"/>
  <c r="G28" i="1" a="1"/>
  <c r="G28" i="1" s="1"/>
  <c r="G47" i="1" a="1"/>
  <c r="G47" i="1" s="1"/>
  <c r="H47" i="1" a="1"/>
  <c r="H47" i="1" s="1"/>
  <c r="H217" i="1" a="1"/>
  <c r="H217" i="1" s="1"/>
  <c r="G217" i="1" a="1"/>
  <c r="G217" i="1" s="1"/>
  <c r="H139" i="1" a="1"/>
  <c r="H139" i="1" s="1"/>
  <c r="G139" i="1" a="1"/>
  <c r="G139" i="1" s="1"/>
  <c r="H71" i="1" a="1"/>
  <c r="H71" i="1" s="1"/>
  <c r="G71" i="1" a="1"/>
  <c r="G71" i="1" s="1"/>
  <c r="H218" i="1" a="1"/>
  <c r="H218" i="1" s="1"/>
  <c r="G218" i="1" a="1"/>
  <c r="G218" i="1" s="1"/>
  <c r="G124" i="1" a="1"/>
  <c r="G124" i="1" s="1"/>
  <c r="H124" i="1" a="1"/>
  <c r="H124" i="1" s="1"/>
  <c r="H105" i="1" a="1"/>
  <c r="H105" i="1" s="1"/>
  <c r="G105" i="1" a="1"/>
  <c r="G105" i="1" s="1"/>
  <c r="G206" i="1" a="1"/>
  <c r="G206" i="1" s="1"/>
  <c r="H206" i="1" a="1"/>
  <c r="H206" i="1" s="1"/>
  <c r="H82" i="1" a="1"/>
  <c r="H82" i="1" s="1"/>
  <c r="G82" i="1" a="1"/>
  <c r="G82" i="1" s="1"/>
  <c r="H214" i="1" a="1"/>
  <c r="H214" i="1" s="1"/>
  <c r="G214" i="1" a="1"/>
  <c r="G214" i="1" s="1"/>
  <c r="H68" i="1" a="1"/>
  <c r="H68" i="1" s="1"/>
  <c r="G68" i="1" a="1"/>
  <c r="G68" i="1" s="1"/>
  <c r="H207" i="1" a="1"/>
  <c r="H207" i="1" s="1"/>
  <c r="G207" i="1" a="1"/>
  <c r="G207" i="1" s="1"/>
  <c r="G97" i="1" a="1"/>
  <c r="G97" i="1" s="1"/>
  <c r="H97" i="1" a="1"/>
  <c r="H97" i="1" s="1"/>
  <c r="H14" i="1" a="1"/>
  <c r="H14" i="1" s="1"/>
  <c r="G14" i="1" a="1"/>
  <c r="G14" i="1" s="1"/>
  <c r="H113" i="1" a="1"/>
  <c r="H113" i="1" s="1"/>
  <c r="G113" i="1" a="1"/>
  <c r="G113" i="1" s="1"/>
  <c r="H219" i="1" a="1"/>
  <c r="H219" i="1" s="1"/>
  <c r="G219" i="1" a="1"/>
  <c r="G219" i="1" s="1"/>
  <c r="H213" i="1" a="1"/>
  <c r="H213" i="1" s="1"/>
  <c r="G213" i="1" a="1"/>
  <c r="G213" i="1" s="1"/>
  <c r="G221" i="1" a="1"/>
  <c r="G221" i="1" s="1"/>
  <c r="H221" i="1" a="1"/>
  <c r="H221" i="1" s="1"/>
  <c r="G141" i="1" a="1"/>
  <c r="G141" i="1" s="1"/>
  <c r="H141" i="1" a="1"/>
  <c r="H141" i="1" s="1"/>
  <c r="H31" i="1" a="1"/>
  <c r="H31" i="1" s="1"/>
  <c r="G31" i="1" a="1"/>
  <c r="G31" i="1" s="1"/>
  <c r="G92" i="1" a="1"/>
  <c r="G92" i="1" s="1"/>
  <c r="H92" i="1" a="1"/>
  <c r="H92" i="1" s="1"/>
  <c r="H60" i="1" a="1"/>
  <c r="H60" i="1" s="1"/>
  <c r="G60" i="1" a="1"/>
  <c r="G60" i="1" s="1"/>
  <c r="G155" i="1" a="1"/>
  <c r="G155" i="1" s="1"/>
  <c r="H155" i="1" a="1"/>
  <c r="H155" i="1" s="1"/>
  <c r="G191" i="1" a="1"/>
  <c r="G191" i="1" s="1"/>
  <c r="H191" i="1" a="1"/>
  <c r="H191" i="1" s="1"/>
  <c r="H203" i="1" a="1"/>
  <c r="H203" i="1" s="1"/>
  <c r="G203" i="1" a="1"/>
  <c r="G203" i="1" s="1"/>
  <c r="G195" i="1" a="1"/>
  <c r="G195" i="1" s="1"/>
  <c r="H195" i="1" a="1"/>
  <c r="H195" i="1" s="1"/>
  <c r="H178" i="1" a="1"/>
  <c r="H178" i="1" s="1"/>
  <c r="G178" i="1" a="1"/>
  <c r="G178" i="1" s="1"/>
  <c r="H211" i="1" a="1"/>
  <c r="H211" i="1" s="1"/>
  <c r="G211" i="1" a="1"/>
  <c r="G211" i="1" s="1"/>
  <c r="G106" i="1" a="1"/>
  <c r="G106" i="1" s="1"/>
  <c r="H106" i="1" a="1"/>
  <c r="H106" i="1" s="1"/>
  <c r="H224" i="1" a="1"/>
  <c r="H224" i="1" s="1"/>
  <c r="G224" i="1" a="1"/>
  <c r="G224" i="1" s="1"/>
  <c r="H176" i="1" a="1"/>
  <c r="H176" i="1" s="1"/>
  <c r="G176" i="1" a="1"/>
  <c r="G176" i="1" s="1"/>
  <c r="H24" i="1" a="1"/>
  <c r="H24" i="1" s="1"/>
  <c r="G24" i="1" a="1"/>
  <c r="G24" i="1" s="1"/>
  <c r="H209" i="1" a="1"/>
  <c r="H209" i="1" s="1"/>
  <c r="G209" i="1" a="1"/>
  <c r="G209" i="1" s="1"/>
  <c r="G152" i="1" a="1"/>
  <c r="G152" i="1" s="1"/>
  <c r="H152" i="1" a="1"/>
  <c r="H152" i="1" s="1"/>
  <c r="G56" i="1" a="1"/>
  <c r="G56" i="1" s="1"/>
  <c r="H56" i="1" a="1"/>
  <c r="H56" i="1" s="1"/>
  <c r="H122" i="1" a="1"/>
  <c r="H122" i="1" s="1"/>
  <c r="G122" i="1" a="1"/>
  <c r="G122" i="1" s="1"/>
  <c r="H164" i="1" a="1"/>
  <c r="H164" i="1" s="1"/>
  <c r="G164" i="1" a="1"/>
  <c r="G164" i="1" s="1"/>
  <c r="G6" i="1" a="1"/>
  <c r="G6" i="1" s="1"/>
  <c r="C6" i="17"/>
  <c r="E10" i="18"/>
  <c r="I10" i="18" s="1"/>
  <c r="F10" i="18"/>
  <c r="I153" i="7" a="1"/>
  <c r="L32" i="23" a="1"/>
  <c r="G107" i="7" a="1"/>
  <c r="I125" i="7" a="1"/>
  <c r="K86" i="7" a="1"/>
  <c r="H103" i="7" a="1"/>
  <c r="K129" i="7" a="1"/>
  <c r="K44" i="7" a="1"/>
  <c r="J74" i="7" a="1"/>
  <c r="H79" i="23" a="1"/>
  <c r="G81" i="7" a="1"/>
  <c r="H104" i="7" a="1"/>
  <c r="J74" i="23" a="1"/>
  <c r="J126" i="7" a="1"/>
  <c r="H91" i="23" a="1"/>
  <c r="L133" i="7" a="1"/>
  <c r="L39" i="23" a="1"/>
  <c r="I42" i="23" a="1"/>
  <c r="I88" i="7" a="1"/>
  <c r="J42" i="7" a="1"/>
  <c r="J34" i="7" a="1"/>
  <c r="L82" i="7" a="1"/>
  <c r="L70" i="7" a="1"/>
  <c r="J139" i="7" a="1"/>
  <c r="K130" i="7" a="1"/>
  <c r="K101" i="7" a="1"/>
  <c r="K66" i="7" a="1"/>
  <c r="I22" i="7" a="1"/>
  <c r="H35" i="7" a="1"/>
  <c r="H60" i="23" a="1"/>
  <c r="L127" i="7" a="1"/>
  <c r="G12" i="23" a="1"/>
  <c r="K76" i="23" a="1"/>
  <c r="K138" i="7" a="1"/>
  <c r="L24" i="23" a="1"/>
  <c r="H34" i="7" a="1"/>
  <c r="K29" i="23" a="1"/>
  <c r="J89" i="7" a="1"/>
  <c r="J145" i="7" a="1"/>
  <c r="K88" i="23" a="1"/>
  <c r="H59" i="7" a="1"/>
  <c r="I48" i="7" a="1"/>
  <c r="I70" i="7" a="1"/>
  <c r="G75" i="7" a="1"/>
  <c r="K122" i="7" a="1"/>
  <c r="I123" i="7" a="1"/>
  <c r="I65" i="23" a="1"/>
  <c r="J134" i="7" a="1"/>
  <c r="K27" i="23" a="1"/>
  <c r="H149" i="7" a="1"/>
  <c r="H30" i="23" a="1"/>
  <c r="G111" i="7" a="1"/>
  <c r="L102" i="7" a="1"/>
  <c r="J142" i="7" a="1"/>
  <c r="G94" i="23" a="1"/>
  <c r="G73" i="7" a="1"/>
  <c r="L60" i="7" a="1"/>
  <c r="L80" i="7" a="1"/>
  <c r="H44" i="7" a="1"/>
  <c r="K25" i="7" a="1"/>
  <c r="G33" i="23" a="1"/>
  <c r="J125" i="7" a="1"/>
  <c r="I106" i="7" a="1"/>
  <c r="L105" i="7" a="1"/>
  <c r="L17" i="7" a="1"/>
  <c r="I15" i="23" a="1"/>
  <c r="H52" i="7" a="1"/>
  <c r="J124" i="7" a="1"/>
  <c r="L126" i="7" a="1"/>
  <c r="J138" i="7" a="1"/>
  <c r="K43" i="23" a="1"/>
  <c r="J127" i="7" a="1"/>
  <c r="J22" i="23" a="1"/>
  <c r="G55" i="7" a="1"/>
  <c r="H142" i="7" a="1"/>
  <c r="K13" i="23" a="1"/>
  <c r="I154" i="7" a="1"/>
  <c r="G37" i="23" a="1"/>
  <c r="I104" i="7" a="1"/>
  <c r="K55" i="23" a="1"/>
  <c r="H37" i="7" a="1"/>
  <c r="N42" i="24" a="1"/>
  <c r="K126" i="7" a="1"/>
  <c r="L69" i="23" a="1"/>
  <c r="H112" i="7" a="1"/>
  <c r="L22" i="23" a="1"/>
  <c r="K142" i="7" a="1"/>
  <c r="J53" i="23" a="1"/>
  <c r="H74" i="23" a="1"/>
  <c r="K98" i="7" a="1"/>
  <c r="J57" i="7" a="1"/>
  <c r="K89" i="7" a="1"/>
  <c r="K153" i="7" a="1"/>
  <c r="H11" i="7" a="1"/>
  <c r="J92" i="23" a="1"/>
  <c r="I68" i="7" a="1"/>
  <c r="G52" i="7" a="1"/>
  <c r="J140" i="7" a="1"/>
  <c r="J13" i="23" a="1"/>
  <c r="I148" i="7" a="1"/>
  <c r="I127" i="7" a="1"/>
  <c r="I41" i="23" a="1"/>
  <c r="G145" i="7" a="1"/>
  <c r="G83" i="23" a="1"/>
  <c r="G60" i="7" a="1"/>
  <c r="G36" i="23" a="1"/>
  <c r="K144" i="7" a="1"/>
  <c r="J48" i="23" a="1"/>
  <c r="L142" i="7" a="1"/>
  <c r="H39" i="23" a="1"/>
  <c r="L90" i="7" a="1"/>
  <c r="I13" i="23" a="1"/>
  <c r="J18" i="23" a="1"/>
  <c r="G112" i="7" a="1"/>
  <c r="J67" i="23" a="1"/>
  <c r="G50" i="7" a="1"/>
  <c r="J60" i="23" a="1"/>
  <c r="L78" i="7" a="1"/>
  <c r="H51" i="23" a="1"/>
  <c r="H109" i="7" a="1"/>
  <c r="I9" i="23" a="1"/>
  <c r="I120" i="7" a="1"/>
  <c r="K11" i="23" a="1"/>
  <c r="G116" i="7" a="1"/>
  <c r="I28" i="23" a="1"/>
  <c r="H92" i="7" a="1"/>
  <c r="G86" i="23" a="1"/>
  <c r="L41" i="23" a="1"/>
  <c r="K60" i="23" a="1"/>
  <c r="K64" i="23" a="1"/>
  <c r="I94" i="7" a="1"/>
  <c r="J135" i="7" a="1"/>
  <c r="J16" i="23" a="1"/>
  <c r="J94" i="7" a="1"/>
  <c r="L76" i="7" a="1"/>
  <c r="H91" i="7" a="1"/>
  <c r="K53" i="7" a="1"/>
  <c r="J54" i="7" a="1"/>
  <c r="L134" i="7" a="1"/>
  <c r="L152" i="7" a="1"/>
  <c r="L81" i="7" a="1"/>
  <c r="G43" i="7" a="1"/>
  <c r="J39" i="23" a="1"/>
  <c r="L28" i="7" a="1"/>
  <c r="H96" i="7" a="1"/>
  <c r="L92" i="23" a="1"/>
  <c r="H99" i="7" a="1"/>
  <c r="I84" i="7" a="1"/>
  <c r="J67" i="7" a="1"/>
  <c r="J55" i="7" a="1"/>
  <c r="H102" i="7" a="1"/>
  <c r="K72" i="7" a="1"/>
  <c r="G152" i="7" a="1"/>
  <c r="G103" i="7" a="1"/>
  <c r="G77" i="7" a="1"/>
  <c r="J69" i="23" a="1"/>
  <c r="H24" i="7" a="1"/>
  <c r="K119" i="7" a="1"/>
  <c r="J29" i="23" a="1"/>
  <c r="I112" i="7" a="1"/>
  <c r="G60" i="23" a="1"/>
  <c r="J52" i="7" a="1"/>
  <c r="H86" i="23" a="1"/>
  <c r="H135" i="7" a="1"/>
  <c r="K36" i="23" a="1"/>
  <c r="G113" i="7" a="1"/>
  <c r="N34" i="24" a="1"/>
  <c r="L83" i="23" a="1"/>
  <c r="I45" i="7" a="1"/>
  <c r="H32" i="23" a="1"/>
  <c r="K32" i="23" a="1"/>
  <c r="J71" i="7" a="1"/>
  <c r="G101" i="7" a="1"/>
  <c r="K48" i="23" a="1"/>
  <c r="G146" i="7" a="1"/>
  <c r="I39" i="23" a="1"/>
  <c r="L39" i="7" a="1"/>
  <c r="G50" i="23" a="1"/>
  <c r="J148" i="7" a="1"/>
  <c r="G62" i="23" a="1"/>
  <c r="J131" i="7" a="1"/>
  <c r="H14" i="23" a="1"/>
  <c r="L52" i="23" a="1"/>
  <c r="G151" i="7" a="1"/>
  <c r="H76" i="7" a="1"/>
  <c r="J117" i="7" a="1"/>
  <c r="L119" i="7" a="1"/>
  <c r="H11" i="23" a="1"/>
  <c r="L38" i="7" a="1"/>
  <c r="G44" i="7" a="1"/>
  <c r="L135" i="7" a="1"/>
  <c r="J105" i="7" a="1"/>
  <c r="G24" i="23" a="1"/>
  <c r="L14" i="7" a="1"/>
  <c r="H105" i="7" a="1"/>
  <c r="K17" i="23" a="1"/>
  <c r="G62" i="7" a="1"/>
  <c r="H53" i="23" a="1"/>
  <c r="G124" i="7" a="1"/>
  <c r="I34" i="23" a="1"/>
  <c r="H151" i="7" a="1"/>
  <c r="I132" i="7" a="1"/>
  <c r="I60" i="23" a="1"/>
  <c r="L56" i="7" a="1"/>
  <c r="J106" i="7" a="1"/>
  <c r="G49" i="23" a="1"/>
  <c r="L149" i="7" a="1"/>
  <c r="I46" i="23" a="1"/>
  <c r="L128" i="7" a="1"/>
  <c r="K18" i="23" a="1"/>
  <c r="K28" i="7" a="1"/>
  <c r="G85" i="23" a="1"/>
  <c r="H94" i="7" a="1"/>
  <c r="J112" i="7" a="1"/>
  <c r="I25" i="23" a="1"/>
  <c r="K123" i="7" a="1"/>
  <c r="G139" i="7" a="1"/>
  <c r="K44" i="23" a="1"/>
  <c r="I17" i="7" a="1"/>
  <c r="K30" i="23" a="1"/>
  <c r="J90" i="23" a="1"/>
  <c r="K97" i="7" a="1"/>
  <c r="J43" i="23" a="1"/>
  <c r="J70" i="7" a="1"/>
  <c r="H143" i="7" a="1"/>
  <c r="I72" i="7" a="1"/>
  <c r="I129" i="7" a="1"/>
  <c r="G47" i="23" a="1"/>
  <c r="L145" i="7" a="1"/>
  <c r="K90" i="7" a="1"/>
  <c r="G10" i="7" a="1"/>
  <c r="G40" i="7" a="1"/>
  <c r="I113" i="7" a="1"/>
  <c r="H115" i="7" a="1"/>
  <c r="H30" i="7" a="1"/>
  <c r="J95" i="23" a="1"/>
  <c r="G135" i="7" a="1"/>
  <c r="H46" i="7" a="1"/>
  <c r="G69" i="23" a="1"/>
  <c r="L55" i="7" a="1"/>
  <c r="G72" i="7" a="1"/>
  <c r="G13" i="23" a="1"/>
  <c r="J150" i="7" a="1"/>
  <c r="L90" i="23" a="1"/>
  <c r="K107" i="7" a="1"/>
  <c r="K62" i="23" a="1"/>
  <c r="G82" i="7" a="1"/>
  <c r="K15" i="23" a="1"/>
  <c r="I16" i="23" a="1"/>
  <c r="I62" i="7" a="1"/>
  <c r="L24" i="7" a="1"/>
  <c r="L29" i="23" a="1"/>
  <c r="J37" i="23" a="1"/>
  <c r="L93" i="7" a="1"/>
  <c r="G85" i="7" a="1"/>
  <c r="L95" i="7" a="1"/>
  <c r="H34" i="23" a="1"/>
  <c r="J144" i="7" a="1"/>
  <c r="L98" i="7" a="1"/>
  <c r="K47" i="7" a="1"/>
  <c r="L108" i="7" a="1"/>
  <c r="I95" i="23" a="1"/>
  <c r="L150" i="7" a="1"/>
  <c r="I136" i="7" a="1"/>
  <c r="J86" i="7" a="1"/>
  <c r="J118" i="7" a="1"/>
  <c r="L78" i="23" a="1"/>
  <c r="J75" i="7" a="1"/>
  <c r="L144" i="7" a="1"/>
  <c r="G57" i="23" a="1"/>
  <c r="L140" i="7" a="1"/>
  <c r="I74" i="23" a="1"/>
  <c r="H74" i="7" a="1"/>
  <c r="J55" i="23" a="1"/>
  <c r="J68" i="7" a="1"/>
  <c r="G93" i="23" a="1"/>
  <c r="I11" i="7" a="1"/>
  <c r="L10" i="23" a="1"/>
  <c r="L27" i="23" a="1"/>
  <c r="L21" i="7" a="1"/>
  <c r="I86" i="23" a="1"/>
  <c r="K13" i="7" a="1"/>
  <c r="H139" i="7" a="1"/>
  <c r="I10" i="7" a="1"/>
  <c r="J20" i="23" a="1"/>
  <c r="I101" i="7" a="1"/>
  <c r="N39" i="24" a="1"/>
  <c r="K12" i="7" a="1"/>
  <c r="H84" i="23" a="1"/>
  <c r="L23" i="7" a="1"/>
  <c r="H77" i="23" a="1"/>
  <c r="H81" i="7" a="1"/>
  <c r="L88" i="23" a="1"/>
  <c r="K55" i="7" a="1"/>
  <c r="J72" i="23" a="1"/>
  <c r="G100" i="26" l="1"/>
  <c r="L96" i="26"/>
  <c r="K100" i="26"/>
  <c r="K99" i="26"/>
  <c r="M96" i="26"/>
  <c r="I100" i="26"/>
  <c r="M99" i="26"/>
  <c r="M97" i="26"/>
  <c r="L99" i="26"/>
  <c r="M98" i="26"/>
  <c r="G99" i="26"/>
  <c r="K97" i="26"/>
  <c r="N101" i="26"/>
  <c r="I96" i="26"/>
  <c r="L98" i="26"/>
  <c r="L97" i="26"/>
  <c r="I98" i="26"/>
  <c r="H98" i="26"/>
  <c r="N97" i="26"/>
  <c r="G101" i="26"/>
  <c r="J100" i="26"/>
  <c r="H97" i="26"/>
  <c r="I101" i="26"/>
  <c r="H100" i="26"/>
  <c r="K98" i="26"/>
  <c r="I97" i="26"/>
  <c r="N100" i="26"/>
  <c r="G97" i="26"/>
  <c r="M100" i="26"/>
  <c r="I99" i="26"/>
  <c r="J99" i="26"/>
  <c r="N98" i="26"/>
  <c r="K96" i="26"/>
  <c r="M101" i="26"/>
  <c r="G96" i="26"/>
  <c r="J97" i="26"/>
  <c r="L101" i="26"/>
  <c r="L100" i="26"/>
  <c r="J98" i="26"/>
  <c r="N96" i="26"/>
  <c r="N99" i="26"/>
  <c r="K101" i="26"/>
  <c r="J101" i="26"/>
  <c r="J96" i="26"/>
  <c r="H99" i="26"/>
  <c r="G98" i="26"/>
  <c r="H96" i="26"/>
  <c r="H101" i="26"/>
  <c r="L161" i="7"/>
  <c r="K159" i="7"/>
  <c r="G159" i="7"/>
  <c r="H161" i="7"/>
  <c r="K160" i="7"/>
  <c r="J159" i="7"/>
  <c r="K158" i="7"/>
  <c r="K161" i="7"/>
  <c r="J161" i="7"/>
  <c r="I159" i="7"/>
  <c r="L160" i="7"/>
  <c r="I161" i="7"/>
  <c r="G160" i="7"/>
  <c r="H160" i="7"/>
  <c r="I160" i="7"/>
  <c r="J160" i="7"/>
  <c r="H159" i="7"/>
  <c r="G161" i="7"/>
  <c r="L159" i="7"/>
  <c r="L158" i="7"/>
  <c r="I158" i="7"/>
  <c r="J158" i="7"/>
  <c r="H158" i="7"/>
  <c r="G158" i="7"/>
  <c r="H157" i="7"/>
  <c r="I155" i="7"/>
  <c r="H155" i="7"/>
  <c r="I156" i="7"/>
  <c r="G156" i="7"/>
  <c r="K155" i="7"/>
  <c r="L157" i="7"/>
  <c r="K156" i="7"/>
  <c r="J157" i="7"/>
  <c r="H156" i="7"/>
  <c r="J156" i="7"/>
  <c r="I157" i="7"/>
  <c r="J155" i="7"/>
  <c r="K157" i="7"/>
  <c r="L155" i="7"/>
  <c r="G155" i="7"/>
  <c r="G157" i="7"/>
  <c r="L156" i="7"/>
  <c r="H74" i="7"/>
  <c r="I113" i="7"/>
  <c r="G24" i="23"/>
  <c r="J67" i="23"/>
  <c r="G40" i="7"/>
  <c r="G152" i="7"/>
  <c r="H142" i="7"/>
  <c r="G55" i="7"/>
  <c r="J105" i="7"/>
  <c r="G112" i="7"/>
  <c r="K72" i="7"/>
  <c r="L24" i="23"/>
  <c r="G44" i="7"/>
  <c r="H11" i="23"/>
  <c r="H96" i="7"/>
  <c r="L108" i="7"/>
  <c r="J90" i="23"/>
  <c r="J131" i="7"/>
  <c r="L81" i="7"/>
  <c r="G145" i="7"/>
  <c r="I106" i="7"/>
  <c r="L70" i="7"/>
  <c r="I74" i="23"/>
  <c r="H99" i="7"/>
  <c r="L52" i="23"/>
  <c r="L152" i="7"/>
  <c r="I41" i="23"/>
  <c r="J125" i="7"/>
  <c r="K90" i="7"/>
  <c r="K43" i="23"/>
  <c r="J117" i="7"/>
  <c r="G60" i="7"/>
  <c r="K30" i="23"/>
  <c r="G62" i="23"/>
  <c r="L98" i="7"/>
  <c r="I17" i="7"/>
  <c r="J148" i="7"/>
  <c r="L134" i="7"/>
  <c r="I127" i="7"/>
  <c r="G10" i="7"/>
  <c r="J86" i="7"/>
  <c r="G36" i="23"/>
  <c r="I148" i="7"/>
  <c r="G146" i="7"/>
  <c r="G101" i="7"/>
  <c r="I13" i="23"/>
  <c r="L119" i="7"/>
  <c r="H52" i="7"/>
  <c r="L105" i="7"/>
  <c r="H44" i="7"/>
  <c r="J112" i="7"/>
  <c r="L76" i="7"/>
  <c r="J92" i="23"/>
  <c r="G94" i="23"/>
  <c r="H91" i="23"/>
  <c r="H81" i="7"/>
  <c r="L29" i="23"/>
  <c r="G85" i="23"/>
  <c r="J71" i="7"/>
  <c r="J94" i="7"/>
  <c r="H11" i="7"/>
  <c r="J142" i="7"/>
  <c r="J67" i="7"/>
  <c r="I72" i="7"/>
  <c r="L17" i="7"/>
  <c r="L39" i="7"/>
  <c r="J72" i="23"/>
  <c r="J37" i="23"/>
  <c r="K28" i="7"/>
  <c r="K32" i="23"/>
  <c r="J16" i="23"/>
  <c r="K153" i="7"/>
  <c r="G57" i="23"/>
  <c r="I84" i="7"/>
  <c r="H143" i="7"/>
  <c r="J39" i="23"/>
  <c r="J54" i="7"/>
  <c r="I39" i="23"/>
  <c r="I68" i="7"/>
  <c r="K18" i="23"/>
  <c r="H32" i="23"/>
  <c r="J135" i="7"/>
  <c r="K89" i="7"/>
  <c r="G111" i="7"/>
  <c r="L145" i="7"/>
  <c r="L126" i="7"/>
  <c r="L150" i="7"/>
  <c r="K44" i="23"/>
  <c r="J140" i="7"/>
  <c r="H94" i="7"/>
  <c r="I94" i="7"/>
  <c r="J57" i="7"/>
  <c r="H30" i="23"/>
  <c r="G81" i="7"/>
  <c r="L90" i="7"/>
  <c r="L28" i="7"/>
  <c r="G50" i="23"/>
  <c r="G73" i="7"/>
  <c r="L83" i="23"/>
  <c r="K64" i="23"/>
  <c r="K98" i="7"/>
  <c r="J118" i="7"/>
  <c r="H14" i="23"/>
  <c r="L60" i="7"/>
  <c r="J127" i="7"/>
  <c r="L142" i="7"/>
  <c r="G151" i="7"/>
  <c r="G83" i="23"/>
  <c r="H34" i="23"/>
  <c r="J55" i="7"/>
  <c r="G47" i="23"/>
  <c r="I136" i="7"/>
  <c r="J144" i="7"/>
  <c r="L95" i="7"/>
  <c r="K48" i="23"/>
  <c r="H77" i="23"/>
  <c r="I46" i="23"/>
  <c r="K62" i="23"/>
  <c r="K36" i="23"/>
  <c r="K129" i="7"/>
  <c r="I10" i="7"/>
  <c r="L90" i="23"/>
  <c r="L56" i="7"/>
  <c r="H135" i="7"/>
  <c r="H92" i="7"/>
  <c r="L22" i="23"/>
  <c r="K15" i="23"/>
  <c r="N34" i="24"/>
  <c r="J20" i="23"/>
  <c r="I65" i="23"/>
  <c r="H112" i="7"/>
  <c r="K13" i="7"/>
  <c r="G13" i="23"/>
  <c r="I132" i="7"/>
  <c r="J52" i="7"/>
  <c r="G116" i="7"/>
  <c r="L135" i="7"/>
  <c r="L127" i="7"/>
  <c r="K144" i="7"/>
  <c r="I95" i="23"/>
  <c r="G139" i="7"/>
  <c r="K55" i="7"/>
  <c r="I62" i="7"/>
  <c r="L149" i="7"/>
  <c r="J106" i="7"/>
  <c r="I60" i="23"/>
  <c r="G72" i="7"/>
  <c r="H151" i="7"/>
  <c r="G60" i="23"/>
  <c r="K11" i="23"/>
  <c r="K126" i="7"/>
  <c r="I70" i="7"/>
  <c r="L140" i="7"/>
  <c r="J75" i="7"/>
  <c r="H76" i="7"/>
  <c r="K47" i="7"/>
  <c r="J13" i="23"/>
  <c r="L93" i="7"/>
  <c r="I45" i="7"/>
  <c r="I101" i="7"/>
  <c r="K142" i="7"/>
  <c r="H86" i="23"/>
  <c r="L21" i="7"/>
  <c r="L55" i="7"/>
  <c r="I34" i="23"/>
  <c r="I112" i="7"/>
  <c r="I120" i="7"/>
  <c r="N42" i="24"/>
  <c r="L144" i="7"/>
  <c r="H39" i="23"/>
  <c r="L92" i="23"/>
  <c r="K97" i="7"/>
  <c r="K53" i="7"/>
  <c r="I25" i="23"/>
  <c r="L88" i="23"/>
  <c r="K12" i="7"/>
  <c r="H74" i="23"/>
  <c r="L41" i="23"/>
  <c r="H139" i="7"/>
  <c r="I28" i="23"/>
  <c r="L27" i="23"/>
  <c r="G69" i="23"/>
  <c r="G124" i="7"/>
  <c r="J29" i="23"/>
  <c r="I9" i="23"/>
  <c r="H37" i="7"/>
  <c r="L38" i="7"/>
  <c r="J70" i="7"/>
  <c r="I88" i="7"/>
  <c r="L23" i="7"/>
  <c r="K60" i="23"/>
  <c r="J150" i="7"/>
  <c r="I86" i="23"/>
  <c r="L10" i="23"/>
  <c r="H46" i="7"/>
  <c r="H53" i="23"/>
  <c r="K119" i="7"/>
  <c r="H109" i="7"/>
  <c r="K123" i="7"/>
  <c r="H91" i="7"/>
  <c r="L128" i="7"/>
  <c r="N39" i="24"/>
  <c r="G113" i="7"/>
  <c r="I11" i="7"/>
  <c r="G135" i="7"/>
  <c r="G62" i="7"/>
  <c r="H24" i="7"/>
  <c r="H51" i="23"/>
  <c r="I104" i="7"/>
  <c r="J145" i="7"/>
  <c r="I16" i="23"/>
  <c r="K107" i="7"/>
  <c r="G93" i="23"/>
  <c r="J95" i="23"/>
  <c r="K17" i="23"/>
  <c r="J69" i="23"/>
  <c r="L78" i="7"/>
  <c r="J18" i="23"/>
  <c r="I129" i="7"/>
  <c r="J48" i="23"/>
  <c r="J43" i="23"/>
  <c r="K25" i="7"/>
  <c r="G52" i="7"/>
  <c r="L24" i="7"/>
  <c r="G82" i="7"/>
  <c r="G49" i="23"/>
  <c r="G86" i="23"/>
  <c r="J68" i="7"/>
  <c r="H30" i="7"/>
  <c r="H105" i="7"/>
  <c r="G77" i="7"/>
  <c r="J60" i="23"/>
  <c r="I154" i="7"/>
  <c r="H102" i="7"/>
  <c r="L78" i="23"/>
  <c r="G43" i="7"/>
  <c r="G85" i="7"/>
  <c r="H84" i="23"/>
  <c r="J55" i="23"/>
  <c r="H115" i="7"/>
  <c r="L14" i="7"/>
  <c r="G103" i="7"/>
  <c r="G50" i="7"/>
  <c r="K13" i="23"/>
  <c r="J22" i="23"/>
  <c r="J138" i="7"/>
  <c r="J124" i="7"/>
  <c r="K66" i="7"/>
  <c r="I15" i="23"/>
  <c r="G33" i="23"/>
  <c r="L80" i="7"/>
  <c r="J53" i="23"/>
  <c r="L69" i="23"/>
  <c r="K55" i="23"/>
  <c r="G37" i="23"/>
  <c r="H149" i="7"/>
  <c r="I123" i="7"/>
  <c r="I48" i="7"/>
  <c r="J89" i="7"/>
  <c r="K138" i="7"/>
  <c r="H60" i="23"/>
  <c r="K101" i="7"/>
  <c r="L102" i="7"/>
  <c r="K27" i="23"/>
  <c r="K122" i="7"/>
  <c r="H59" i="7"/>
  <c r="K29" i="23"/>
  <c r="K76" i="23"/>
  <c r="H35" i="7"/>
  <c r="K130" i="7"/>
  <c r="J34" i="7"/>
  <c r="L39" i="23"/>
  <c r="J134" i="7"/>
  <c r="G75" i="7"/>
  <c r="K88" i="23"/>
  <c r="H34" i="7"/>
  <c r="G12" i="23"/>
  <c r="I22" i="7"/>
  <c r="J139" i="7"/>
  <c r="J42" i="7"/>
  <c r="L133" i="7"/>
  <c r="G107" i="7"/>
  <c r="L82" i="7"/>
  <c r="I42" i="23"/>
  <c r="J126" i="7"/>
  <c r="H79" i="23"/>
  <c r="H103" i="7"/>
  <c r="J74" i="23"/>
  <c r="J74" i="7"/>
  <c r="H104" i="7"/>
  <c r="K44" i="7"/>
  <c r="I125" i="7"/>
  <c r="I153" i="7"/>
  <c r="L32" i="23"/>
  <c r="K86" i="7"/>
  <c r="H37" i="24" a="1"/>
  <c r="H37" i="24" s="1"/>
  <c r="K42" i="24" a="1"/>
  <c r="K42" i="24" s="1"/>
  <c r="I34" i="24" a="1"/>
  <c r="I34" i="24" s="1"/>
  <c r="L37" i="24" a="1"/>
  <c r="L37" i="24" s="1"/>
  <c r="J42" i="24" a="1"/>
  <c r="J42" i="24" s="1"/>
  <c r="G35" i="24" a="1"/>
  <c r="G35" i="24" s="1"/>
  <c r="K38" i="24" a="1"/>
  <c r="K38" i="24" s="1"/>
  <c r="L39" i="24" a="1"/>
  <c r="L39" i="24" s="1"/>
  <c r="K36" i="24" a="1"/>
  <c r="K36" i="24" s="1"/>
  <c r="J39" i="24" a="1"/>
  <c r="J39" i="24" s="1"/>
  <c r="G39" i="24" a="1"/>
  <c r="G39" i="24" s="1"/>
  <c r="J41" i="24" a="1"/>
  <c r="J41" i="24" s="1"/>
  <c r="J36" i="24" a="1"/>
  <c r="J36" i="24" s="1"/>
  <c r="I9" i="26" a="1"/>
  <c r="I9" i="26" s="1"/>
  <c r="N77" i="26" a="1"/>
  <c r="N77" i="26" s="1"/>
  <c r="N16" i="26" a="1"/>
  <c r="N16" i="26" s="1"/>
  <c r="N69" i="26" a="1"/>
  <c r="N69" i="26" s="1"/>
  <c r="N20" i="26" a="1"/>
  <c r="N20" i="26" s="1"/>
  <c r="N26" i="26" a="1"/>
  <c r="N26" i="26" s="1"/>
  <c r="N22" i="26" a="1"/>
  <c r="N22" i="26" s="1"/>
  <c r="G17" i="26" a="1"/>
  <c r="G17" i="26" s="1"/>
  <c r="N38" i="26" a="1"/>
  <c r="N38" i="26" s="1"/>
  <c r="N74" i="26" a="1"/>
  <c r="N74" i="26" s="1"/>
  <c r="N25" i="26" a="1"/>
  <c r="N25" i="26" s="1"/>
  <c r="N27" i="26" a="1"/>
  <c r="N27" i="26" s="1"/>
  <c r="J9" i="26" a="1"/>
  <c r="J9" i="26" s="1"/>
  <c r="N21" i="26" a="1"/>
  <c r="N21" i="26" s="1"/>
  <c r="N79" i="26" a="1"/>
  <c r="N79" i="26" s="1"/>
  <c r="N30" i="26" a="1"/>
  <c r="N30" i="26" s="1"/>
  <c r="N51" i="26" a="1"/>
  <c r="N51" i="26" s="1"/>
  <c r="N12" i="26" a="1"/>
  <c r="N12" i="26" s="1"/>
  <c r="N92" i="26" a="1"/>
  <c r="N92" i="26" s="1"/>
  <c r="N93" i="26" a="1"/>
  <c r="N93" i="26" s="1"/>
  <c r="N64" i="26" a="1"/>
  <c r="N64" i="26" s="1"/>
  <c r="N15" i="26" a="1"/>
  <c r="N15" i="26" s="1"/>
  <c r="N95" i="26" a="1"/>
  <c r="N95" i="26" s="1"/>
  <c r="G10" i="26" a="1"/>
  <c r="G10" i="26" s="1"/>
  <c r="G27" i="26" a="1"/>
  <c r="G27" i="26" s="1"/>
  <c r="G43" i="26" a="1"/>
  <c r="G43" i="26" s="1"/>
  <c r="G59" i="26" a="1"/>
  <c r="G59" i="26" s="1"/>
  <c r="G75" i="26" a="1"/>
  <c r="G75" i="26" s="1"/>
  <c r="G91" i="26" a="1"/>
  <c r="G91" i="26" s="1"/>
  <c r="H20" i="26" a="1"/>
  <c r="H20" i="26" s="1"/>
  <c r="H36" i="26" a="1"/>
  <c r="H36" i="26" s="1"/>
  <c r="H52" i="26" a="1"/>
  <c r="H52" i="26" s="1"/>
  <c r="H68" i="26" a="1"/>
  <c r="H68" i="26" s="1"/>
  <c r="H84" i="26" a="1"/>
  <c r="H84" i="26" s="1"/>
  <c r="I14" i="26" a="1"/>
  <c r="I14" i="26" s="1"/>
  <c r="I30" i="26" a="1"/>
  <c r="I30" i="26" s="1"/>
  <c r="I46" i="26" a="1"/>
  <c r="I46" i="26" s="1"/>
  <c r="I62" i="26" a="1"/>
  <c r="I62" i="26" s="1"/>
  <c r="I78" i="26" a="1"/>
  <c r="I78" i="26" s="1"/>
  <c r="I94" i="26" a="1"/>
  <c r="I94" i="26" s="1"/>
  <c r="J23" i="26" a="1"/>
  <c r="J23" i="26" s="1"/>
  <c r="J39" i="26" a="1"/>
  <c r="J39" i="26" s="1"/>
  <c r="J55" i="26" a="1"/>
  <c r="J55" i="26" s="1"/>
  <c r="J71" i="26" a="1"/>
  <c r="J71" i="26" s="1"/>
  <c r="J87" i="26" a="1"/>
  <c r="J87" i="26" s="1"/>
  <c r="K16" i="26" a="1"/>
  <c r="K16" i="26" s="1"/>
  <c r="K32" i="26" a="1"/>
  <c r="K32" i="26" s="1"/>
  <c r="K48" i="26" a="1"/>
  <c r="K48" i="26" s="1"/>
  <c r="K64" i="26" a="1"/>
  <c r="K64" i="26" s="1"/>
  <c r="K80" i="26" a="1"/>
  <c r="K80" i="26" s="1"/>
  <c r="L25" i="26" a="1"/>
  <c r="L25" i="26" s="1"/>
  <c r="L41" i="26" a="1"/>
  <c r="L41" i="26" s="1"/>
  <c r="L57" i="26" a="1"/>
  <c r="L57" i="26" s="1"/>
  <c r="L73" i="26" a="1"/>
  <c r="L73" i="26" s="1"/>
  <c r="L89" i="26" a="1"/>
  <c r="L89" i="26" s="1"/>
  <c r="M18" i="26" a="1"/>
  <c r="M18" i="26" s="1"/>
  <c r="M34" i="26" a="1"/>
  <c r="M34" i="26" s="1"/>
  <c r="M50" i="26" a="1"/>
  <c r="M50" i="26" s="1"/>
  <c r="M73" i="26" a="1"/>
  <c r="M73" i="26" s="1"/>
  <c r="G20" i="26" a="1"/>
  <c r="G20" i="26" s="1"/>
  <c r="G36" i="26" a="1"/>
  <c r="G36" i="26" s="1"/>
  <c r="G52" i="26" a="1"/>
  <c r="G52" i="26" s="1"/>
  <c r="G68" i="26" a="1"/>
  <c r="G68" i="26" s="1"/>
  <c r="G84" i="26" a="1"/>
  <c r="G84" i="26" s="1"/>
  <c r="H13" i="26" a="1"/>
  <c r="H13" i="26" s="1"/>
  <c r="H29" i="26" a="1"/>
  <c r="H29" i="26" s="1"/>
  <c r="H45" i="26" a="1"/>
  <c r="H45" i="26" s="1"/>
  <c r="H61" i="26" a="1"/>
  <c r="H61" i="26" s="1"/>
  <c r="H77" i="26" a="1"/>
  <c r="H77" i="26" s="1"/>
  <c r="H93" i="26" a="1"/>
  <c r="H93" i="26" s="1"/>
  <c r="I23" i="26" a="1"/>
  <c r="I23" i="26" s="1"/>
  <c r="I39" i="26" a="1"/>
  <c r="I39" i="26" s="1"/>
  <c r="I55" i="26" a="1"/>
  <c r="I55" i="26" s="1"/>
  <c r="I71" i="26" a="1"/>
  <c r="I71" i="26" s="1"/>
  <c r="I87" i="26" a="1"/>
  <c r="I87" i="26" s="1"/>
  <c r="J16" i="26" a="1"/>
  <c r="J16" i="26" s="1"/>
  <c r="J32" i="26" a="1"/>
  <c r="J32" i="26" s="1"/>
  <c r="J48" i="26" a="1"/>
  <c r="J48" i="26" s="1"/>
  <c r="J64" i="26" a="1"/>
  <c r="J64" i="26" s="1"/>
  <c r="J80" i="26" a="1"/>
  <c r="J80" i="26" s="1"/>
  <c r="K25" i="26" a="1"/>
  <c r="K25" i="26" s="1"/>
  <c r="K41" i="26" a="1"/>
  <c r="K41" i="26" s="1"/>
  <c r="K57" i="26" a="1"/>
  <c r="K57" i="26" s="1"/>
  <c r="K73" i="26" a="1"/>
  <c r="K73" i="26" s="1"/>
  <c r="K89" i="26" a="1"/>
  <c r="K89" i="26" s="1"/>
  <c r="L18" i="26" a="1"/>
  <c r="L18" i="26" s="1"/>
  <c r="L34" i="26" a="1"/>
  <c r="L34" i="26" s="1"/>
  <c r="L50" i="26" a="1"/>
  <c r="L50" i="26" s="1"/>
  <c r="L66" i="26" a="1"/>
  <c r="L66" i="26" s="1"/>
  <c r="L82" i="26" a="1"/>
  <c r="L82" i="26" s="1"/>
  <c r="M11" i="26" a="1"/>
  <c r="M11" i="26" s="1"/>
  <c r="M27" i="26" a="1"/>
  <c r="M27" i="26" s="1"/>
  <c r="M43" i="26" a="1"/>
  <c r="M43" i="26" s="1"/>
  <c r="M59" i="26" a="1"/>
  <c r="M59" i="26" s="1"/>
  <c r="G12" i="26" a="1"/>
  <c r="G12" i="26" s="1"/>
  <c r="G29" i="26" a="1"/>
  <c r="G29" i="26" s="1"/>
  <c r="G45" i="26" a="1"/>
  <c r="G45" i="26" s="1"/>
  <c r="G61" i="26" a="1"/>
  <c r="G61" i="26" s="1"/>
  <c r="G77" i="26" a="1"/>
  <c r="G77" i="26" s="1"/>
  <c r="G93" i="26" a="1"/>
  <c r="G93" i="26" s="1"/>
  <c r="H22" i="26" a="1"/>
  <c r="H22" i="26" s="1"/>
  <c r="H38" i="26" a="1"/>
  <c r="H38" i="26" s="1"/>
  <c r="H54" i="26" a="1"/>
  <c r="H54" i="26" s="1"/>
  <c r="H70" i="26" a="1"/>
  <c r="H70" i="26" s="1"/>
  <c r="H86" i="26" a="1"/>
  <c r="H86" i="26" s="1"/>
  <c r="I16" i="26" a="1"/>
  <c r="I16" i="26" s="1"/>
  <c r="I32" i="26" a="1"/>
  <c r="I32" i="26" s="1"/>
  <c r="I48" i="26" a="1"/>
  <c r="I48" i="26" s="1"/>
  <c r="I64" i="26" a="1"/>
  <c r="I64" i="26" s="1"/>
  <c r="I80" i="26" a="1"/>
  <c r="I80" i="26" s="1"/>
  <c r="J25" i="26" a="1"/>
  <c r="J25" i="26" s="1"/>
  <c r="J41" i="26" a="1"/>
  <c r="J41" i="26" s="1"/>
  <c r="J57" i="26" a="1"/>
  <c r="J57" i="26" s="1"/>
  <c r="J73" i="26" a="1"/>
  <c r="J73" i="26" s="1"/>
  <c r="J89" i="26" a="1"/>
  <c r="J89" i="26" s="1"/>
  <c r="K18" i="26" a="1"/>
  <c r="K18" i="26" s="1"/>
  <c r="K34" i="26" a="1"/>
  <c r="K34" i="26" s="1"/>
  <c r="K50" i="26" a="1"/>
  <c r="K50" i="26" s="1"/>
  <c r="K66" i="26" a="1"/>
  <c r="K66" i="26" s="1"/>
  <c r="K82" i="26" a="1"/>
  <c r="K82" i="26" s="1"/>
  <c r="L11" i="26" a="1"/>
  <c r="L11" i="26" s="1"/>
  <c r="L27" i="26" a="1"/>
  <c r="L27" i="26" s="1"/>
  <c r="L43" i="26" a="1"/>
  <c r="L43" i="26" s="1"/>
  <c r="L59" i="26" a="1"/>
  <c r="L59" i="26" s="1"/>
  <c r="L75" i="26" a="1"/>
  <c r="L75" i="26" s="1"/>
  <c r="L91" i="26" a="1"/>
  <c r="L91" i="26" s="1"/>
  <c r="M20" i="26" a="1"/>
  <c r="M20" i="26" s="1"/>
  <c r="M36" i="26" a="1"/>
  <c r="M36" i="26" s="1"/>
  <c r="M52" i="26" a="1"/>
  <c r="M52" i="26" s="1"/>
  <c r="M81" i="26" a="1"/>
  <c r="M81" i="26" s="1"/>
  <c r="G22" i="26" a="1"/>
  <c r="G22" i="26" s="1"/>
  <c r="G38" i="26" a="1"/>
  <c r="G38" i="26" s="1"/>
  <c r="G54" i="26" a="1"/>
  <c r="G54" i="26" s="1"/>
  <c r="G70" i="26" a="1"/>
  <c r="G70" i="26" s="1"/>
  <c r="G86" i="26" a="1"/>
  <c r="G86" i="26" s="1"/>
  <c r="H15" i="26" a="1"/>
  <c r="H15" i="26" s="1"/>
  <c r="H31" i="26" a="1"/>
  <c r="H31" i="26" s="1"/>
  <c r="H47" i="26" a="1"/>
  <c r="H47" i="26" s="1"/>
  <c r="H63" i="26" a="1"/>
  <c r="H63" i="26" s="1"/>
  <c r="H79" i="26" a="1"/>
  <c r="H79" i="26" s="1"/>
  <c r="H95" i="26" a="1"/>
  <c r="H95" i="26" s="1"/>
  <c r="I25" i="26" a="1"/>
  <c r="I25" i="26" s="1"/>
  <c r="I41" i="26" a="1"/>
  <c r="I41" i="26" s="1"/>
  <c r="I57" i="26" a="1"/>
  <c r="I57" i="26" s="1"/>
  <c r="I73" i="26" a="1"/>
  <c r="I73" i="26" s="1"/>
  <c r="I89" i="26" a="1"/>
  <c r="I89" i="26" s="1"/>
  <c r="J18" i="26" a="1"/>
  <c r="J18" i="26" s="1"/>
  <c r="J34" i="26" a="1"/>
  <c r="J34" i="26" s="1"/>
  <c r="J50" i="26" a="1"/>
  <c r="J50" i="26" s="1"/>
  <c r="J66" i="26" a="1"/>
  <c r="J66" i="26" s="1"/>
  <c r="J82" i="26" a="1"/>
  <c r="J82" i="26" s="1"/>
  <c r="K11" i="26" a="1"/>
  <c r="K11" i="26" s="1"/>
  <c r="K27" i="26" a="1"/>
  <c r="K27" i="26" s="1"/>
  <c r="K43" i="26" a="1"/>
  <c r="K43" i="26" s="1"/>
  <c r="K59" i="26" a="1"/>
  <c r="K59" i="26" s="1"/>
  <c r="K75" i="26" a="1"/>
  <c r="K75" i="26" s="1"/>
  <c r="K91" i="26" a="1"/>
  <c r="K91" i="26" s="1"/>
  <c r="L20" i="26" a="1"/>
  <c r="L20" i="26" s="1"/>
  <c r="L36" i="26" a="1"/>
  <c r="L36" i="26" s="1"/>
  <c r="L52" i="26" a="1"/>
  <c r="L52" i="26" s="1"/>
  <c r="L68" i="26" a="1"/>
  <c r="L68" i="26" s="1"/>
  <c r="L84" i="26" a="1"/>
  <c r="L84" i="26" s="1"/>
  <c r="M13" i="26" a="1"/>
  <c r="M13" i="26" s="1"/>
  <c r="M29" i="26" a="1"/>
  <c r="M29" i="26" s="1"/>
  <c r="M45" i="26" a="1"/>
  <c r="M45" i="26" s="1"/>
  <c r="M61" i="26" a="1"/>
  <c r="M61" i="26" s="1"/>
  <c r="M70" i="26" a="1"/>
  <c r="M70" i="26" s="1"/>
  <c r="M86" i="26" a="1"/>
  <c r="M86" i="26" s="1"/>
  <c r="M71" i="26" a="1"/>
  <c r="M71" i="26" s="1"/>
  <c r="M87" i="26" a="1"/>
  <c r="M87" i="26" s="1"/>
  <c r="M68" i="26" a="1"/>
  <c r="M68" i="26" s="1"/>
  <c r="M84" i="26" a="1"/>
  <c r="M84" i="26" s="1"/>
  <c r="K81" i="23" a="1"/>
  <c r="K81" i="23" s="1"/>
  <c r="J27" i="23" a="1"/>
  <c r="J27" i="23" s="1"/>
  <c r="H16" i="23" a="1"/>
  <c r="H16" i="23" s="1"/>
  <c r="H121" i="7" a="1"/>
  <c r="H121" i="7" s="1"/>
  <c r="J85" i="7" a="1"/>
  <c r="J85" i="7" s="1"/>
  <c r="G59" i="23" a="1"/>
  <c r="G59" i="23" s="1"/>
  <c r="L12" i="23" a="1"/>
  <c r="L12" i="23" s="1"/>
  <c r="H126" i="7" a="1"/>
  <c r="H126" i="7" s="1"/>
  <c r="I35" i="23" a="1"/>
  <c r="I35" i="23" s="1"/>
  <c r="K50" i="7" a="1"/>
  <c r="K50" i="7" s="1"/>
  <c r="L12" i="7" a="1"/>
  <c r="L12" i="7" s="1"/>
  <c r="I64" i="7" a="1"/>
  <c r="I64" i="7" s="1"/>
  <c r="L55" i="23" a="1"/>
  <c r="L55" i="23" s="1"/>
  <c r="K112" i="7" a="1"/>
  <c r="K112" i="7" s="1"/>
  <c r="H40" i="7" a="1"/>
  <c r="H40" i="7" s="1"/>
  <c r="G47" i="7" a="1"/>
  <c r="G47" i="7" s="1"/>
  <c r="G127" i="7" a="1"/>
  <c r="G127" i="7" s="1"/>
  <c r="J46" i="7" a="1"/>
  <c r="J46" i="7" s="1"/>
  <c r="J128" i="7" a="1"/>
  <c r="J128" i="7" s="1"/>
  <c r="H18" i="7" a="1"/>
  <c r="H18" i="7" s="1"/>
  <c r="I32" i="7" a="1"/>
  <c r="I32" i="7" s="1"/>
  <c r="K69" i="7" a="1"/>
  <c r="K69" i="7" s="1"/>
  <c r="K20" i="7" a="1"/>
  <c r="K20" i="7" s="1"/>
  <c r="H63" i="23" a="1"/>
  <c r="H63" i="23" s="1"/>
  <c r="L31" i="7" a="1"/>
  <c r="L31" i="7" s="1"/>
  <c r="J65" i="23" a="1"/>
  <c r="J65" i="23" s="1"/>
  <c r="H97" i="7" a="1"/>
  <c r="H97" i="7" s="1"/>
  <c r="I149" i="7" a="1"/>
  <c r="I149" i="7" s="1"/>
  <c r="H49" i="23" a="1"/>
  <c r="H49" i="23" s="1"/>
  <c r="J51" i="23" a="1"/>
  <c r="J51" i="23" s="1"/>
  <c r="I36" i="7" a="1"/>
  <c r="I36" i="7" s="1"/>
  <c r="L93" i="23" a="1"/>
  <c r="L93" i="23" s="1"/>
  <c r="K49" i="23" a="1"/>
  <c r="K49" i="23" s="1"/>
  <c r="K111" i="7" a="1"/>
  <c r="K111" i="7" s="1"/>
  <c r="I49" i="23" a="1"/>
  <c r="I49" i="23" s="1"/>
  <c r="J54" i="23" a="1"/>
  <c r="J54" i="23" s="1"/>
  <c r="L56" i="23" a="1"/>
  <c r="L56" i="23" s="1"/>
  <c r="L37" i="7" a="1"/>
  <c r="L37" i="7" s="1"/>
  <c r="I19" i="23" a="1"/>
  <c r="I19" i="23" s="1"/>
  <c r="K99" i="7" a="1"/>
  <c r="K99" i="7" s="1"/>
  <c r="J65" i="7" a="1"/>
  <c r="J65" i="7" s="1"/>
  <c r="H82" i="7" a="1"/>
  <c r="H82" i="7" s="1"/>
  <c r="L114" i="7" a="1"/>
  <c r="L114" i="7" s="1"/>
  <c r="K115" i="7" a="1"/>
  <c r="K115" i="7" s="1"/>
  <c r="H31" i="7" a="1"/>
  <c r="H31" i="7" s="1"/>
  <c r="J82" i="23" a="1"/>
  <c r="J82" i="23" s="1"/>
  <c r="J52" i="23" a="1"/>
  <c r="J52" i="23" s="1"/>
  <c r="I87" i="7" a="1"/>
  <c r="I87" i="7" s="1"/>
  <c r="J85" i="23" a="1"/>
  <c r="J85" i="23" s="1"/>
  <c r="I26" i="7" a="1"/>
  <c r="I26" i="7" s="1"/>
  <c r="G19" i="23" a="1"/>
  <c r="G19" i="23" s="1"/>
  <c r="K56" i="7" a="1"/>
  <c r="K56" i="7" s="1"/>
  <c r="I47" i="7" a="1"/>
  <c r="I47" i="7" s="1"/>
  <c r="K92" i="23" a="1"/>
  <c r="K92" i="23" s="1"/>
  <c r="L129" i="7" a="1"/>
  <c r="L129" i="7" s="1"/>
  <c r="H153" i="7" a="1"/>
  <c r="H153" i="7" s="1"/>
  <c r="J98" i="7" a="1"/>
  <c r="J98" i="7" s="1"/>
  <c r="G58" i="23" a="1"/>
  <c r="G58" i="23" s="1"/>
  <c r="L82" i="23" a="1"/>
  <c r="L82" i="23" s="1"/>
  <c r="J78" i="7" a="1"/>
  <c r="J78" i="7" s="1"/>
  <c r="L89" i="7" a="1"/>
  <c r="L89" i="7" s="1"/>
  <c r="G11" i="23" a="1"/>
  <c r="G11" i="23" s="1"/>
  <c r="G33" i="7" a="1"/>
  <c r="G33" i="7" s="1"/>
  <c r="I62" i="23" a="1"/>
  <c r="I62" i="23" s="1"/>
  <c r="H71" i="7" a="1"/>
  <c r="H71" i="7" s="1"/>
  <c r="G90" i="7" a="1"/>
  <c r="G90" i="7" s="1"/>
  <c r="I58" i="7" a="1"/>
  <c r="I58" i="7" s="1"/>
  <c r="I39" i="7" a="1"/>
  <c r="I39" i="7" s="1"/>
  <c r="L61" i="7" a="1"/>
  <c r="L61" i="7" s="1"/>
  <c r="I84" i="23" a="1"/>
  <c r="I84" i="23" s="1"/>
  <c r="G38" i="7" a="1"/>
  <c r="G38" i="7" s="1"/>
  <c r="H40" i="23" a="1"/>
  <c r="H40" i="23" s="1"/>
  <c r="H60" i="7" a="1"/>
  <c r="H60" i="7" s="1"/>
  <c r="H89" i="23" a="1"/>
  <c r="H89" i="23" s="1"/>
  <c r="L44" i="23" a="1"/>
  <c r="L44" i="23" s="1"/>
  <c r="H42" i="23" a="1"/>
  <c r="H42" i="23" s="1"/>
  <c r="K42" i="23" a="1"/>
  <c r="K42" i="23" s="1"/>
  <c r="J141" i="7" a="1"/>
  <c r="J141" i="7" s="1"/>
  <c r="H75" i="23" a="1"/>
  <c r="H75" i="23" s="1"/>
  <c r="K43" i="7" a="1"/>
  <c r="K43" i="7" s="1"/>
  <c r="J47" i="23" a="1"/>
  <c r="J47" i="23" s="1"/>
  <c r="L122" i="7" a="1"/>
  <c r="L122" i="7" s="1"/>
  <c r="L79" i="23" a="1"/>
  <c r="L79" i="23" s="1"/>
  <c r="I52" i="23" a="1"/>
  <c r="I52" i="23" s="1"/>
  <c r="K21" i="7" a="1"/>
  <c r="K21" i="7" s="1"/>
  <c r="K84" i="23" a="1"/>
  <c r="K84" i="23" s="1"/>
  <c r="J73" i="23" a="1"/>
  <c r="J73" i="23" s="1"/>
  <c r="L58" i="23" a="1"/>
  <c r="L58" i="23" s="1"/>
  <c r="I45" i="23" a="1"/>
  <c r="I45" i="23" s="1"/>
  <c r="L61" i="23" a="1"/>
  <c r="L61" i="23" s="1"/>
  <c r="G14" i="7" a="1"/>
  <c r="G14" i="7" s="1"/>
  <c r="H129" i="7" a="1"/>
  <c r="H129" i="7" s="1"/>
  <c r="L109" i="7" a="1"/>
  <c r="L109" i="7" s="1"/>
  <c r="L21" i="23" a="1"/>
  <c r="L21" i="23" s="1"/>
  <c r="I98" i="7" a="1"/>
  <c r="I98" i="7" s="1"/>
  <c r="L48" i="7" a="1"/>
  <c r="L48" i="7" s="1"/>
  <c r="L70" i="23" a="1"/>
  <c r="L70" i="23" s="1"/>
  <c r="I57" i="23" a="1"/>
  <c r="I57" i="23" s="1"/>
  <c r="L75" i="7" a="1"/>
  <c r="L75" i="7" s="1"/>
  <c r="H85" i="23" a="1"/>
  <c r="H85" i="23" s="1"/>
  <c r="L40" i="23" a="1"/>
  <c r="L40" i="23" s="1"/>
  <c r="H42" i="7" a="1"/>
  <c r="H42" i="7" s="1"/>
  <c r="J64" i="23" a="1"/>
  <c r="J64" i="23" s="1"/>
  <c r="G30" i="7" a="1"/>
  <c r="G30" i="7" s="1"/>
  <c r="G10" i="23" a="1"/>
  <c r="G10" i="23" s="1"/>
  <c r="H26" i="7" a="1"/>
  <c r="H26" i="7" s="1"/>
  <c r="G49" i="7" a="1"/>
  <c r="G49" i="7" s="1"/>
  <c r="I75" i="7" a="1"/>
  <c r="I75" i="7" s="1"/>
  <c r="H88" i="23" a="1"/>
  <c r="H88" i="23" s="1"/>
  <c r="G37" i="7" a="1"/>
  <c r="G37" i="7" s="1"/>
  <c r="G23" i="23" a="1"/>
  <c r="G23" i="23" s="1"/>
  <c r="K57" i="7" a="1"/>
  <c r="K57" i="7" s="1"/>
  <c r="L88" i="7" a="1"/>
  <c r="L88" i="7" s="1"/>
  <c r="I150" i="7" a="1"/>
  <c r="I150" i="7" s="1"/>
  <c r="H10" i="7" a="1"/>
  <c r="H10" i="7" s="1"/>
  <c r="G16" i="7" a="1"/>
  <c r="G16" i="7" s="1"/>
  <c r="L138" i="7" a="1"/>
  <c r="L138" i="7" s="1"/>
  <c r="H122" i="7" a="1"/>
  <c r="H122" i="7" s="1"/>
  <c r="I111" i="7" a="1"/>
  <c r="I111" i="7" s="1"/>
  <c r="J35" i="23" a="1"/>
  <c r="J35" i="23" s="1"/>
  <c r="K46" i="23" a="1"/>
  <c r="K46" i="23" s="1"/>
  <c r="L27" i="7" a="1"/>
  <c r="L27" i="7" s="1"/>
  <c r="K11" i="7" a="1"/>
  <c r="K11" i="7" s="1"/>
  <c r="K39" i="23" a="1"/>
  <c r="K39" i="23" s="1"/>
  <c r="J69" i="7" a="1"/>
  <c r="J69" i="7" s="1"/>
  <c r="I89" i="7" a="1"/>
  <c r="I89" i="7" s="1"/>
  <c r="K72" i="23" a="1"/>
  <c r="K72" i="23" s="1"/>
  <c r="L30" i="23" a="1"/>
  <c r="L30" i="23" s="1"/>
  <c r="H137" i="7" a="1"/>
  <c r="H137" i="7" s="1"/>
  <c r="G17" i="23" a="1"/>
  <c r="G17" i="23" s="1"/>
  <c r="L69" i="7" a="1"/>
  <c r="L69" i="7" s="1"/>
  <c r="H70" i="7" a="1"/>
  <c r="H70" i="7" s="1"/>
  <c r="J110" i="7" a="1"/>
  <c r="J110" i="7" s="1"/>
  <c r="G53" i="23" a="1"/>
  <c r="G53" i="23" s="1"/>
  <c r="L52" i="7" a="1"/>
  <c r="L52" i="7" s="1"/>
  <c r="K27" i="7" a="1"/>
  <c r="K27" i="7" s="1"/>
  <c r="G77" i="23" a="1"/>
  <c r="G77" i="23" s="1"/>
  <c r="H13" i="7" a="1"/>
  <c r="H13" i="7" s="1"/>
  <c r="H17" i="23" a="1"/>
  <c r="H17" i="23" s="1"/>
  <c r="J90" i="7" a="1"/>
  <c r="J90" i="7" s="1"/>
  <c r="L28" i="23" a="1"/>
  <c r="L28" i="23" s="1"/>
  <c r="K37" i="7" a="1"/>
  <c r="K37" i="7" s="1"/>
  <c r="L101" i="7" a="1"/>
  <c r="L101" i="7" s="1"/>
  <c r="H69" i="23" a="1"/>
  <c r="H69" i="23" s="1"/>
  <c r="K68" i="7" a="1"/>
  <c r="K68" i="7" s="1"/>
  <c r="I17" i="23" a="1"/>
  <c r="I17" i="23" s="1"/>
  <c r="J78" i="23" a="1"/>
  <c r="J78" i="23" s="1"/>
  <c r="G23" i="7" a="1"/>
  <c r="G23" i="7" s="1"/>
  <c r="I76" i="23" a="1"/>
  <c r="I76" i="23" s="1"/>
  <c r="L79" i="7" a="1"/>
  <c r="L79" i="7" s="1"/>
  <c r="J24" i="23" a="1"/>
  <c r="J24" i="23" s="1"/>
  <c r="I53" i="7" a="1"/>
  <c r="I53" i="7" s="1"/>
  <c r="K45" i="23" a="1"/>
  <c r="K45" i="23" s="1"/>
  <c r="L42" i="7" a="1"/>
  <c r="L42" i="7" s="1"/>
  <c r="I25" i="7" a="1"/>
  <c r="I25" i="7" s="1"/>
  <c r="G122" i="7" a="1"/>
  <c r="G122" i="7" s="1"/>
  <c r="K38" i="23" a="1"/>
  <c r="K38" i="23" s="1"/>
  <c r="H133" i="7" a="1"/>
  <c r="H133" i="7" s="1"/>
  <c r="K31" i="23" a="1"/>
  <c r="K31" i="23" s="1"/>
  <c r="H89" i="7" a="1"/>
  <c r="H89" i="7" s="1"/>
  <c r="L115" i="7" a="1"/>
  <c r="L115" i="7" s="1"/>
  <c r="J101" i="7" a="1"/>
  <c r="J101" i="7" s="1"/>
  <c r="G13" i="7" a="1"/>
  <c r="G13" i="7" s="1"/>
  <c r="K154" i="7" a="1"/>
  <c r="K154" i="7" s="1"/>
  <c r="G138" i="7" a="1"/>
  <c r="G138" i="7" s="1"/>
  <c r="K16" i="7" a="1"/>
  <c r="K16" i="7" s="1"/>
  <c r="I37" i="23" a="1"/>
  <c r="I37" i="23" s="1"/>
  <c r="G66" i="7" a="1"/>
  <c r="G66" i="7" s="1"/>
  <c r="H119" i="7" a="1"/>
  <c r="H119" i="7" s="1"/>
  <c r="G75" i="23" a="1"/>
  <c r="G75" i="23" s="1"/>
  <c r="J119" i="7" a="1"/>
  <c r="J119" i="7" s="1"/>
  <c r="J28" i="23" a="1"/>
  <c r="J28" i="23" s="1"/>
  <c r="J61" i="23" a="1"/>
  <c r="J61" i="23" s="1"/>
  <c r="I76" i="7" a="1"/>
  <c r="I76" i="7" s="1"/>
  <c r="G121" i="7" a="1"/>
  <c r="G121" i="7" s="1"/>
  <c r="K58" i="23" a="1"/>
  <c r="K58" i="23" s="1"/>
  <c r="J14" i="23" a="1"/>
  <c r="J14" i="23" s="1"/>
  <c r="K68" i="23" a="1"/>
  <c r="K68" i="23" s="1"/>
  <c r="G96" i="7" a="1"/>
  <c r="G96" i="7" s="1"/>
  <c r="H31" i="23" a="1"/>
  <c r="H31" i="23" s="1"/>
  <c r="G109" i="7" a="1"/>
  <c r="G109" i="7" s="1"/>
  <c r="J33" i="23" a="1"/>
  <c r="J33" i="23" s="1"/>
  <c r="I147" i="7" a="1"/>
  <c r="I147" i="7" s="1"/>
  <c r="H24" i="23" a="1"/>
  <c r="H24" i="23" s="1"/>
  <c r="I131" i="7" a="1"/>
  <c r="I131" i="7" s="1"/>
  <c r="G89" i="23" a="1"/>
  <c r="G89" i="23" s="1"/>
  <c r="K31" i="7" a="1"/>
  <c r="K31" i="7" s="1"/>
  <c r="I64" i="23" a="1"/>
  <c r="I64" i="23" s="1"/>
  <c r="G115" i="7" a="1"/>
  <c r="G115" i="7" s="1"/>
  <c r="I31" i="23" a="1"/>
  <c r="I31" i="23" s="1"/>
  <c r="H87" i="7" a="1"/>
  <c r="H87" i="7" s="1"/>
  <c r="L14" i="23" a="1"/>
  <c r="L14" i="23" s="1"/>
  <c r="H140" i="7" a="1"/>
  <c r="H140" i="7" s="1"/>
  <c r="I73" i="23" a="1"/>
  <c r="I73" i="23" s="1"/>
  <c r="L73" i="23" a="1"/>
  <c r="L73" i="23" s="1"/>
  <c r="L26" i="7" a="1"/>
  <c r="L26" i="7" s="1"/>
  <c r="H22" i="23" a="1"/>
  <c r="H22" i="23" s="1"/>
  <c r="I30" i="7" a="1"/>
  <c r="I30" i="7" s="1"/>
  <c r="I43" i="23" a="1"/>
  <c r="I43" i="23" s="1"/>
  <c r="H75" i="7" a="1"/>
  <c r="H75" i="7" s="1"/>
  <c r="H81" i="23" a="1"/>
  <c r="H81" i="23" s="1"/>
  <c r="J58" i="7" a="1"/>
  <c r="J58" i="7" s="1"/>
  <c r="J36" i="7" a="1"/>
  <c r="J36" i="7" s="1"/>
  <c r="G106" i="7" a="1"/>
  <c r="G106" i="7" s="1"/>
  <c r="K94" i="23" a="1"/>
  <c r="K94" i="23" s="1"/>
  <c r="K71" i="23" a="1"/>
  <c r="K71" i="23" s="1"/>
  <c r="K65" i="7" a="1"/>
  <c r="K65" i="7" s="1"/>
  <c r="K92" i="7" a="1"/>
  <c r="K92" i="7" s="1"/>
  <c r="K137" i="7" a="1"/>
  <c r="K137" i="7" s="1"/>
  <c r="N40" i="24" a="1"/>
  <c r="N40" i="24" s="1"/>
  <c r="J81" i="23" a="1"/>
  <c r="J81" i="23" s="1"/>
  <c r="I142" i="7" a="1"/>
  <c r="I142" i="7" s="1"/>
  <c r="I81" i="23" a="1"/>
  <c r="I81" i="23" s="1"/>
  <c r="I55" i="7" a="1"/>
  <c r="I55" i="7" s="1"/>
  <c r="K146" i="7" a="1"/>
  <c r="K146" i="7" s="1"/>
  <c r="L104" i="7" a="1"/>
  <c r="L104" i="7" s="1"/>
  <c r="L62" i="23" a="1"/>
  <c r="L62" i="23" s="1"/>
  <c r="J34" i="23" a="1"/>
  <c r="J34" i="23" s="1"/>
  <c r="I78" i="7" a="1"/>
  <c r="I78" i="7" s="1"/>
  <c r="L151" i="7" a="1"/>
  <c r="L151" i="7" s="1"/>
  <c r="I41" i="7" a="1"/>
  <c r="I41" i="7" s="1"/>
  <c r="K57" i="23" a="1"/>
  <c r="K57" i="23" s="1"/>
  <c r="J104" i="7" a="1"/>
  <c r="J104" i="7" s="1"/>
  <c r="K120" i="7" a="1"/>
  <c r="K120" i="7" s="1"/>
  <c r="G96" i="23" a="1"/>
  <c r="G96" i="23" s="1"/>
  <c r="J44" i="7" a="1"/>
  <c r="J44" i="7" s="1"/>
  <c r="I73" i="7" a="1"/>
  <c r="I73" i="7" s="1"/>
  <c r="K67" i="7" a="1"/>
  <c r="K67" i="7" s="1"/>
  <c r="I135" i="7" a="1"/>
  <c r="I135" i="7" s="1"/>
  <c r="I67" i="23" a="1"/>
  <c r="I67" i="23" s="1"/>
  <c r="K135" i="7" a="1"/>
  <c r="K135" i="7" s="1"/>
  <c r="L94" i="23" a="1"/>
  <c r="L94" i="23" s="1"/>
  <c r="H120" i="7" a="1"/>
  <c r="H120" i="7" s="1"/>
  <c r="L117" i="7" a="1"/>
  <c r="L117" i="7" s="1"/>
  <c r="J39" i="7" a="1"/>
  <c r="J39" i="7" s="1"/>
  <c r="K32" i="7" a="1"/>
  <c r="K32" i="7" s="1"/>
  <c r="I23" i="23" a="1"/>
  <c r="I23" i="23" s="1"/>
  <c r="L13" i="23" a="1"/>
  <c r="L13" i="23" s="1"/>
  <c r="L74" i="7" a="1"/>
  <c r="L74" i="7" s="1"/>
  <c r="H20" i="23" a="1"/>
  <c r="H20" i="23" s="1"/>
  <c r="H101" i="7" a="1"/>
  <c r="H101" i="7" s="1"/>
  <c r="I23" i="7" a="1"/>
  <c r="I23" i="7" s="1"/>
  <c r="I44" i="7" a="1"/>
  <c r="I44" i="7" s="1"/>
  <c r="K143" i="7" a="1"/>
  <c r="K143" i="7" s="1"/>
  <c r="G69" i="7" a="1"/>
  <c r="G69" i="7" s="1"/>
  <c r="G89" i="7" a="1"/>
  <c r="G89" i="7" s="1"/>
  <c r="L15" i="7" a="1"/>
  <c r="L15" i="7" s="1"/>
  <c r="I58" i="23" a="1"/>
  <c r="I58" i="23" s="1"/>
  <c r="J22" i="7" a="1"/>
  <c r="J22" i="7" s="1"/>
  <c r="I28" i="7" a="1"/>
  <c r="I28" i="7" s="1"/>
  <c r="K25" i="23" a="1"/>
  <c r="K25" i="23" s="1"/>
  <c r="K100" i="7" a="1"/>
  <c r="K100" i="7" s="1"/>
  <c r="K10" i="7" a="1"/>
  <c r="K10" i="7" s="1"/>
  <c r="J15" i="23" a="1"/>
  <c r="J15" i="23" s="1"/>
  <c r="I35" i="7" a="1"/>
  <c r="I35" i="7" s="1"/>
  <c r="J108" i="7" a="1"/>
  <c r="J108" i="7" s="1"/>
  <c r="H67" i="23" a="1"/>
  <c r="H67" i="23" s="1"/>
  <c r="G56" i="7" a="1"/>
  <c r="G56" i="7" s="1"/>
  <c r="G29" i="7" a="1"/>
  <c r="G29" i="7" s="1"/>
  <c r="J111" i="7" a="1"/>
  <c r="J111" i="7" s="1"/>
  <c r="K22" i="23" a="1"/>
  <c r="K22" i="23" s="1"/>
  <c r="L57" i="23" a="1"/>
  <c r="L57" i="23" s="1"/>
  <c r="I18" i="23" a="1"/>
  <c r="I18" i="23" s="1"/>
  <c r="H56" i="7" a="1"/>
  <c r="H56" i="7" s="1"/>
  <c r="K106" i="7" a="1"/>
  <c r="K106" i="7" s="1"/>
  <c r="H114" i="7" a="1"/>
  <c r="H114" i="7" s="1"/>
  <c r="J11" i="7" a="1"/>
  <c r="J11" i="7" s="1"/>
  <c r="G74" i="23" a="1"/>
  <c r="G74" i="23" s="1"/>
  <c r="H28" i="23" a="1"/>
  <c r="H28" i="23" s="1"/>
  <c r="I79" i="23" a="1"/>
  <c r="I79" i="23" s="1"/>
  <c r="H65" i="23" a="1"/>
  <c r="H65" i="23" s="1"/>
  <c r="K79" i="7" a="1"/>
  <c r="K79" i="7" s="1"/>
  <c r="H13" i="23" a="1"/>
  <c r="H13" i="23" s="1"/>
  <c r="L77" i="7" a="1"/>
  <c r="L77" i="7" s="1"/>
  <c r="I67" i="7" a="1"/>
  <c r="I67" i="7" s="1"/>
  <c r="G71" i="7" a="1"/>
  <c r="G71" i="7" s="1"/>
  <c r="I128" i="7" a="1"/>
  <c r="I128" i="7" s="1"/>
  <c r="K74" i="23" a="1"/>
  <c r="K74" i="23" s="1"/>
  <c r="N41" i="24" a="1"/>
  <c r="N41" i="24" s="1"/>
  <c r="K117" i="7" a="1"/>
  <c r="K117" i="7" s="1"/>
  <c r="H67" i="7" a="1"/>
  <c r="H67" i="7" s="1"/>
  <c r="L16" i="7" a="1"/>
  <c r="L16" i="7" s="1"/>
  <c r="G148" i="7" a="1"/>
  <c r="G148" i="7" s="1"/>
  <c r="K90" i="23" a="1"/>
  <c r="K90" i="23" s="1"/>
  <c r="H39" i="24" a="1"/>
  <c r="H39" i="24" s="1"/>
  <c r="G37" i="24" a="1"/>
  <c r="G37" i="24" s="1"/>
  <c r="L38" i="24" a="1"/>
  <c r="L38" i="24" s="1"/>
  <c r="J37" i="24" a="1"/>
  <c r="J37" i="24" s="1"/>
  <c r="I35" i="24" a="1"/>
  <c r="I35" i="24" s="1"/>
  <c r="H42" i="24" a="1"/>
  <c r="H42" i="24" s="1"/>
  <c r="K35" i="24" a="1"/>
  <c r="K35" i="24" s="1"/>
  <c r="H41" i="24" a="1"/>
  <c r="H41" i="24" s="1"/>
  <c r="G38" i="24" a="1"/>
  <c r="G38" i="24" s="1"/>
  <c r="J38" i="24" a="1"/>
  <c r="J38" i="24" s="1"/>
  <c r="L35" i="24" a="1"/>
  <c r="L35" i="24" s="1"/>
  <c r="I36" i="24" a="1"/>
  <c r="I36" i="24" s="1"/>
  <c r="G42" i="24" a="1"/>
  <c r="G42" i="24" s="1"/>
  <c r="N17" i="26" a="1"/>
  <c r="N17" i="26" s="1"/>
  <c r="N36" i="26" a="1"/>
  <c r="N36" i="26" s="1"/>
  <c r="N23" i="26" a="1"/>
  <c r="N23" i="26" s="1"/>
  <c r="N89" i="26" a="1"/>
  <c r="N89" i="26" s="1"/>
  <c r="N40" i="26" a="1"/>
  <c r="N40" i="26" s="1"/>
  <c r="N61" i="26" a="1"/>
  <c r="N61" i="26" s="1"/>
  <c r="N42" i="26" a="1"/>
  <c r="N42" i="26" s="1"/>
  <c r="M9" i="26" a="1"/>
  <c r="M9" i="26" s="1"/>
  <c r="N14" i="26" a="1"/>
  <c r="N14" i="26" s="1"/>
  <c r="N94" i="26" a="1"/>
  <c r="N94" i="26" s="1"/>
  <c r="N45" i="26" a="1"/>
  <c r="N45" i="26" s="1"/>
  <c r="N66" i="26" a="1"/>
  <c r="N66" i="26" s="1"/>
  <c r="N47" i="26" a="1"/>
  <c r="N47" i="26" s="1"/>
  <c r="N48" i="26" a="1"/>
  <c r="N48" i="26" s="1"/>
  <c r="N19" i="26" a="1"/>
  <c r="N19" i="26" s="1"/>
  <c r="N11" i="26" a="1"/>
  <c r="N11" i="26" s="1"/>
  <c r="N50" i="26" a="1"/>
  <c r="N50" i="26" s="1"/>
  <c r="N71" i="26" a="1"/>
  <c r="N71" i="26" s="1"/>
  <c r="N32" i="26" a="1"/>
  <c r="N32" i="26" s="1"/>
  <c r="N46" i="26" a="1"/>
  <c r="N46" i="26" s="1"/>
  <c r="N33" i="26" a="1"/>
  <c r="N33" i="26" s="1"/>
  <c r="N84" i="26" a="1"/>
  <c r="N84" i="26" s="1"/>
  <c r="N35" i="26" a="1"/>
  <c r="N35" i="26" s="1"/>
  <c r="N56" i="26" a="1"/>
  <c r="N56" i="26" s="1"/>
  <c r="G14" i="26" a="1"/>
  <c r="G14" i="26" s="1"/>
  <c r="G31" i="26" a="1"/>
  <c r="G31" i="26" s="1"/>
  <c r="G47" i="26" a="1"/>
  <c r="G47" i="26" s="1"/>
  <c r="G63" i="26" a="1"/>
  <c r="G63" i="26" s="1"/>
  <c r="G79" i="26" a="1"/>
  <c r="G79" i="26" s="1"/>
  <c r="G95" i="26" a="1"/>
  <c r="G95" i="26" s="1"/>
  <c r="H24" i="26" a="1"/>
  <c r="H24" i="26" s="1"/>
  <c r="H40" i="26" a="1"/>
  <c r="H40" i="26" s="1"/>
  <c r="H56" i="26" a="1"/>
  <c r="H56" i="26" s="1"/>
  <c r="H72" i="26" a="1"/>
  <c r="H72" i="26" s="1"/>
  <c r="H88" i="26" a="1"/>
  <c r="H88" i="26" s="1"/>
  <c r="I18" i="26" a="1"/>
  <c r="I18" i="26" s="1"/>
  <c r="I34" i="26" a="1"/>
  <c r="I34" i="26" s="1"/>
  <c r="I50" i="26" a="1"/>
  <c r="I50" i="26" s="1"/>
  <c r="I66" i="26" a="1"/>
  <c r="I66" i="26" s="1"/>
  <c r="I82" i="26" a="1"/>
  <c r="I82" i="26" s="1"/>
  <c r="J11" i="26" a="1"/>
  <c r="J11" i="26" s="1"/>
  <c r="J27" i="26" a="1"/>
  <c r="J27" i="26" s="1"/>
  <c r="J43" i="26" a="1"/>
  <c r="J43" i="26" s="1"/>
  <c r="J59" i="26" a="1"/>
  <c r="J59" i="26" s="1"/>
  <c r="J75" i="26" a="1"/>
  <c r="J75" i="26" s="1"/>
  <c r="J91" i="26" a="1"/>
  <c r="J91" i="26" s="1"/>
  <c r="K20" i="26" a="1"/>
  <c r="K20" i="26" s="1"/>
  <c r="K36" i="26" a="1"/>
  <c r="K36" i="26" s="1"/>
  <c r="K52" i="26" a="1"/>
  <c r="K52" i="26" s="1"/>
  <c r="K68" i="26" a="1"/>
  <c r="K68" i="26" s="1"/>
  <c r="K84" i="26" a="1"/>
  <c r="K84" i="26" s="1"/>
  <c r="L13" i="26" a="1"/>
  <c r="L13" i="26" s="1"/>
  <c r="L29" i="26" a="1"/>
  <c r="L29" i="26" s="1"/>
  <c r="L45" i="26" a="1"/>
  <c r="L45" i="26" s="1"/>
  <c r="L61" i="26" a="1"/>
  <c r="L61" i="26" s="1"/>
  <c r="L77" i="26" a="1"/>
  <c r="L77" i="26" s="1"/>
  <c r="L93" i="26" a="1"/>
  <c r="L93" i="26" s="1"/>
  <c r="M22" i="26" a="1"/>
  <c r="M22" i="26" s="1"/>
  <c r="M38" i="26" a="1"/>
  <c r="M38" i="26" s="1"/>
  <c r="M54" i="26" a="1"/>
  <c r="M54" i="26" s="1"/>
  <c r="M89" i="26" a="1"/>
  <c r="M89" i="26" s="1"/>
  <c r="G24" i="26" a="1"/>
  <c r="G24" i="26" s="1"/>
  <c r="G40" i="26" a="1"/>
  <c r="G40" i="26" s="1"/>
  <c r="G56" i="26" a="1"/>
  <c r="G56" i="26" s="1"/>
  <c r="G72" i="26" a="1"/>
  <c r="G72" i="26" s="1"/>
  <c r="G88" i="26" a="1"/>
  <c r="G88" i="26" s="1"/>
  <c r="H17" i="26" a="1"/>
  <c r="H17" i="26" s="1"/>
  <c r="H33" i="26" a="1"/>
  <c r="H33" i="26" s="1"/>
  <c r="H49" i="26" a="1"/>
  <c r="H49" i="26" s="1"/>
  <c r="H65" i="26" a="1"/>
  <c r="H65" i="26" s="1"/>
  <c r="H81" i="26" a="1"/>
  <c r="H81" i="26" s="1"/>
  <c r="I11" i="26" a="1"/>
  <c r="I11" i="26" s="1"/>
  <c r="I27" i="26" a="1"/>
  <c r="I27" i="26" s="1"/>
  <c r="I43" i="26" a="1"/>
  <c r="I43" i="26" s="1"/>
  <c r="I59" i="26" a="1"/>
  <c r="I59" i="26" s="1"/>
  <c r="I75" i="26" a="1"/>
  <c r="I75" i="26" s="1"/>
  <c r="I91" i="26" a="1"/>
  <c r="I91" i="26" s="1"/>
  <c r="J20" i="26" a="1"/>
  <c r="J20" i="26" s="1"/>
  <c r="J36" i="26" a="1"/>
  <c r="J36" i="26" s="1"/>
  <c r="J52" i="26" a="1"/>
  <c r="J52" i="26" s="1"/>
  <c r="J68" i="26" a="1"/>
  <c r="J68" i="26" s="1"/>
  <c r="J84" i="26" a="1"/>
  <c r="J84" i="26" s="1"/>
  <c r="K13" i="26" a="1"/>
  <c r="K13" i="26" s="1"/>
  <c r="K29" i="26" a="1"/>
  <c r="K29" i="26" s="1"/>
  <c r="K45" i="26" a="1"/>
  <c r="K45" i="26" s="1"/>
  <c r="K61" i="26" a="1"/>
  <c r="K61" i="26" s="1"/>
  <c r="K77" i="26" a="1"/>
  <c r="K77" i="26" s="1"/>
  <c r="K93" i="26" a="1"/>
  <c r="K93" i="26" s="1"/>
  <c r="L22" i="26" a="1"/>
  <c r="L22" i="26" s="1"/>
  <c r="L38" i="26" a="1"/>
  <c r="L38" i="26" s="1"/>
  <c r="L54" i="26" a="1"/>
  <c r="L54" i="26" s="1"/>
  <c r="L70" i="26" a="1"/>
  <c r="L70" i="26" s="1"/>
  <c r="L86" i="26" a="1"/>
  <c r="L86" i="26" s="1"/>
  <c r="M15" i="26" a="1"/>
  <c r="M15" i="26" s="1"/>
  <c r="M31" i="26" a="1"/>
  <c r="M31" i="26" s="1"/>
  <c r="M47" i="26" a="1"/>
  <c r="M47" i="26" s="1"/>
  <c r="M63" i="26" a="1"/>
  <c r="M63" i="26" s="1"/>
  <c r="G16" i="26" a="1"/>
  <c r="G16" i="26" s="1"/>
  <c r="G33" i="26" a="1"/>
  <c r="G33" i="26" s="1"/>
  <c r="G49" i="26" a="1"/>
  <c r="G49" i="26" s="1"/>
  <c r="G65" i="26" a="1"/>
  <c r="G65" i="26" s="1"/>
  <c r="G81" i="26" a="1"/>
  <c r="G81" i="26" s="1"/>
  <c r="H10" i="26" a="1"/>
  <c r="H10" i="26" s="1"/>
  <c r="H26" i="26" a="1"/>
  <c r="H26" i="26" s="1"/>
  <c r="H42" i="26" a="1"/>
  <c r="H42" i="26" s="1"/>
  <c r="H58" i="26" a="1"/>
  <c r="H58" i="26" s="1"/>
  <c r="H74" i="26" a="1"/>
  <c r="H74" i="26" s="1"/>
  <c r="H90" i="26" a="1"/>
  <c r="H90" i="26" s="1"/>
  <c r="I20" i="26" a="1"/>
  <c r="I20" i="26" s="1"/>
  <c r="I36" i="26" a="1"/>
  <c r="I36" i="26" s="1"/>
  <c r="I52" i="26" a="1"/>
  <c r="I52" i="26" s="1"/>
  <c r="I68" i="26" a="1"/>
  <c r="I68" i="26" s="1"/>
  <c r="I84" i="26" a="1"/>
  <c r="I84" i="26" s="1"/>
  <c r="J13" i="26" a="1"/>
  <c r="J13" i="26" s="1"/>
  <c r="J29" i="26" a="1"/>
  <c r="J29" i="26" s="1"/>
  <c r="J45" i="26" a="1"/>
  <c r="J45" i="26" s="1"/>
  <c r="J61" i="26" a="1"/>
  <c r="J61" i="26" s="1"/>
  <c r="J77" i="26" a="1"/>
  <c r="J77" i="26" s="1"/>
  <c r="J93" i="26" a="1"/>
  <c r="J93" i="26" s="1"/>
  <c r="K22" i="26" a="1"/>
  <c r="K22" i="26" s="1"/>
  <c r="K38" i="26" a="1"/>
  <c r="K38" i="26" s="1"/>
  <c r="K54" i="26" a="1"/>
  <c r="K54" i="26" s="1"/>
  <c r="K70" i="26" a="1"/>
  <c r="K70" i="26" s="1"/>
  <c r="K86" i="26" a="1"/>
  <c r="K86" i="26" s="1"/>
  <c r="L15" i="26" a="1"/>
  <c r="L15" i="26" s="1"/>
  <c r="L31" i="26" a="1"/>
  <c r="L31" i="26" s="1"/>
  <c r="L47" i="26" a="1"/>
  <c r="L47" i="26" s="1"/>
  <c r="L63" i="26" a="1"/>
  <c r="L63" i="26" s="1"/>
  <c r="L79" i="26" a="1"/>
  <c r="L79" i="26" s="1"/>
  <c r="L95" i="26" a="1"/>
  <c r="L95" i="26" s="1"/>
  <c r="M24" i="26" a="1"/>
  <c r="M24" i="26" s="1"/>
  <c r="M40" i="26" a="1"/>
  <c r="M40" i="26" s="1"/>
  <c r="M56" i="26" a="1"/>
  <c r="M56" i="26" s="1"/>
  <c r="G9" i="26" a="1"/>
  <c r="G9" i="26" s="1"/>
  <c r="G26" i="26" a="1"/>
  <c r="G26" i="26" s="1"/>
  <c r="G42" i="26" a="1"/>
  <c r="G42" i="26" s="1"/>
  <c r="G58" i="26" a="1"/>
  <c r="G58" i="26" s="1"/>
  <c r="G74" i="26" a="1"/>
  <c r="G74" i="26" s="1"/>
  <c r="G90" i="26" a="1"/>
  <c r="G90" i="26" s="1"/>
  <c r="H19" i="26" a="1"/>
  <c r="H19" i="26" s="1"/>
  <c r="H35" i="26" a="1"/>
  <c r="H35" i="26" s="1"/>
  <c r="H51" i="26" a="1"/>
  <c r="H51" i="26" s="1"/>
  <c r="H67" i="26" a="1"/>
  <c r="H67" i="26" s="1"/>
  <c r="H83" i="26" a="1"/>
  <c r="H83" i="26" s="1"/>
  <c r="I13" i="26" a="1"/>
  <c r="I13" i="26" s="1"/>
  <c r="I29" i="26" a="1"/>
  <c r="I29" i="26" s="1"/>
  <c r="I45" i="26" a="1"/>
  <c r="I45" i="26" s="1"/>
  <c r="I61" i="26" a="1"/>
  <c r="I61" i="26" s="1"/>
  <c r="I77" i="26" a="1"/>
  <c r="I77" i="26" s="1"/>
  <c r="I93" i="26" a="1"/>
  <c r="I93" i="26" s="1"/>
  <c r="J22" i="26" a="1"/>
  <c r="J22" i="26" s="1"/>
  <c r="J38" i="26" a="1"/>
  <c r="J38" i="26" s="1"/>
  <c r="J54" i="26" a="1"/>
  <c r="J54" i="26" s="1"/>
  <c r="J70" i="26" a="1"/>
  <c r="J70" i="26" s="1"/>
  <c r="J86" i="26" a="1"/>
  <c r="J86" i="26" s="1"/>
  <c r="K15" i="26" a="1"/>
  <c r="K15" i="26" s="1"/>
  <c r="K31" i="26" a="1"/>
  <c r="K31" i="26" s="1"/>
  <c r="K47" i="26" a="1"/>
  <c r="K47" i="26" s="1"/>
  <c r="K63" i="26" a="1"/>
  <c r="K63" i="26" s="1"/>
  <c r="K79" i="26" a="1"/>
  <c r="K79" i="26" s="1"/>
  <c r="K95" i="26" a="1"/>
  <c r="K95" i="26" s="1"/>
  <c r="L24" i="26" a="1"/>
  <c r="L24" i="26" s="1"/>
  <c r="L40" i="26" a="1"/>
  <c r="L40" i="26" s="1"/>
  <c r="L56" i="26" a="1"/>
  <c r="L56" i="26" s="1"/>
  <c r="L72" i="26" a="1"/>
  <c r="L72" i="26" s="1"/>
  <c r="L88" i="26" a="1"/>
  <c r="L88" i="26" s="1"/>
  <c r="M17" i="26" a="1"/>
  <c r="M17" i="26" s="1"/>
  <c r="M33" i="26" a="1"/>
  <c r="M33" i="26" s="1"/>
  <c r="M49" i="26" a="1"/>
  <c r="M49" i="26" s="1"/>
  <c r="M69" i="26" a="1"/>
  <c r="M69" i="26" s="1"/>
  <c r="M74" i="26" a="1"/>
  <c r="M74" i="26" s="1"/>
  <c r="M90" i="26" a="1"/>
  <c r="M90" i="26" s="1"/>
  <c r="M75" i="26" a="1"/>
  <c r="M75" i="26" s="1"/>
  <c r="M91" i="26" a="1"/>
  <c r="M91" i="26" s="1"/>
  <c r="M72" i="26" a="1"/>
  <c r="M72" i="26" s="1"/>
  <c r="M88" i="26" a="1"/>
  <c r="M88" i="26" s="1"/>
  <c r="G25" i="23" a="1"/>
  <c r="G25" i="23" s="1"/>
  <c r="G110" i="7" a="1"/>
  <c r="G110" i="7" s="1"/>
  <c r="I18" i="7" a="1"/>
  <c r="I18" i="7" s="1"/>
  <c r="I102" i="7" a="1"/>
  <c r="I102" i="7" s="1"/>
  <c r="K94" i="7" a="1"/>
  <c r="K94" i="7" s="1"/>
  <c r="I88" i="23" a="1"/>
  <c r="I88" i="23" s="1"/>
  <c r="G65" i="7" a="1"/>
  <c r="G65" i="7" s="1"/>
  <c r="I134" i="7" a="1"/>
  <c r="I134" i="7" s="1"/>
  <c r="G132" i="7" a="1"/>
  <c r="G132" i="7" s="1"/>
  <c r="I27" i="23" a="1"/>
  <c r="I27" i="23" s="1"/>
  <c r="K20" i="23" a="1"/>
  <c r="K20" i="23" s="1"/>
  <c r="L71" i="23" a="1"/>
  <c r="L71" i="23" s="1"/>
  <c r="H63" i="7" a="1"/>
  <c r="H63" i="7" s="1"/>
  <c r="G136" i="7" a="1"/>
  <c r="G136" i="7" s="1"/>
  <c r="H90" i="23" a="1"/>
  <c r="H90" i="23" s="1"/>
  <c r="L25" i="23" a="1"/>
  <c r="L25" i="23" s="1"/>
  <c r="I37" i="7" a="1"/>
  <c r="I37" i="7" s="1"/>
  <c r="L107" i="7" a="1"/>
  <c r="L107" i="7" s="1"/>
  <c r="H39" i="7" a="1"/>
  <c r="H39" i="7" s="1"/>
  <c r="G28" i="7" a="1"/>
  <c r="G28" i="7" s="1"/>
  <c r="G67" i="7" a="1"/>
  <c r="G67" i="7" s="1"/>
  <c r="K149" i="7" a="1"/>
  <c r="K149" i="7" s="1"/>
  <c r="J62" i="7" a="1"/>
  <c r="J62" i="7" s="1"/>
  <c r="G143" i="7" a="1"/>
  <c r="G143" i="7" s="1"/>
  <c r="I61" i="7" a="1"/>
  <c r="I61" i="7" s="1"/>
  <c r="L72" i="7" a="1"/>
  <c r="L72" i="7" s="1"/>
  <c r="I59" i="7" a="1"/>
  <c r="I59" i="7" s="1"/>
  <c r="H55" i="7" a="1"/>
  <c r="H55" i="7" s="1"/>
  <c r="L34" i="23" a="1"/>
  <c r="L34" i="23" s="1"/>
  <c r="I21" i="23" a="1"/>
  <c r="I21" i="23" s="1"/>
  <c r="H9" i="7" a="1"/>
  <c r="H9" i="7" s="1"/>
  <c r="H50" i="7" a="1"/>
  <c r="H50" i="7" s="1"/>
  <c r="G130" i="7" a="1"/>
  <c r="G130" i="7" s="1"/>
  <c r="K38" i="7" a="1"/>
  <c r="K38" i="7" s="1"/>
  <c r="G68" i="7" a="1"/>
  <c r="G68" i="7" s="1"/>
  <c r="K147" i="7" a="1"/>
  <c r="K147" i="7" s="1"/>
  <c r="L60" i="23" a="1"/>
  <c r="L60" i="23" s="1"/>
  <c r="K9" i="23" a="1"/>
  <c r="K9" i="23" s="1"/>
  <c r="H52" i="23" a="1"/>
  <c r="H52" i="23" s="1"/>
  <c r="L54" i="7" a="1"/>
  <c r="L54" i="7" s="1"/>
  <c r="G76" i="23" a="1"/>
  <c r="G76" i="23" s="1"/>
  <c r="L16" i="23" a="1"/>
  <c r="L16" i="23" s="1"/>
  <c r="J88" i="7" a="1"/>
  <c r="J88" i="7" s="1"/>
  <c r="L65" i="23" a="1"/>
  <c r="L65" i="23" s="1"/>
  <c r="H110" i="7" a="1"/>
  <c r="H110" i="7" s="1"/>
  <c r="J59" i="23" a="1"/>
  <c r="J59" i="23" s="1"/>
  <c r="J129" i="7" a="1"/>
  <c r="J129" i="7" s="1"/>
  <c r="J26" i="23" a="1"/>
  <c r="J26" i="23" s="1"/>
  <c r="K136" i="7" a="1"/>
  <c r="K136" i="7" s="1"/>
  <c r="K80" i="23" a="1"/>
  <c r="K80" i="23" s="1"/>
  <c r="G61" i="7" a="1"/>
  <c r="G61" i="7" s="1"/>
  <c r="L96" i="23" a="1"/>
  <c r="L96" i="23" s="1"/>
  <c r="K87" i="7" a="1"/>
  <c r="K87" i="7" s="1"/>
  <c r="J45" i="23" a="1"/>
  <c r="J45" i="23" s="1"/>
  <c r="L87" i="23" a="1"/>
  <c r="L87" i="23" s="1"/>
  <c r="L83" i="7" a="1"/>
  <c r="L83" i="7" s="1"/>
  <c r="K59" i="23" a="1"/>
  <c r="K59" i="23" s="1"/>
  <c r="H45" i="7" a="1"/>
  <c r="H45" i="7" s="1"/>
  <c r="K52" i="23" a="1"/>
  <c r="K52" i="23" s="1"/>
  <c r="G102" i="7" a="1"/>
  <c r="G102" i="7" s="1"/>
  <c r="K78" i="23" a="1"/>
  <c r="K78" i="23" s="1"/>
  <c r="H113" i="7" a="1"/>
  <c r="H113" i="7" s="1"/>
  <c r="L66" i="23" a="1"/>
  <c r="L66" i="23" s="1"/>
  <c r="I46" i="7" a="1"/>
  <c r="I46" i="7" s="1"/>
  <c r="K19" i="7" a="1"/>
  <c r="K19" i="7" s="1"/>
  <c r="L139" i="7" a="1"/>
  <c r="L139" i="7" s="1"/>
  <c r="L59" i="23" a="1"/>
  <c r="L59" i="23" s="1"/>
  <c r="H36" i="7" a="1"/>
  <c r="H36" i="7" s="1"/>
  <c r="G91" i="23" a="1"/>
  <c r="G91" i="23" s="1"/>
  <c r="J93" i="7" a="1"/>
  <c r="J93" i="7" s="1"/>
  <c r="H51" i="7" a="1"/>
  <c r="H51" i="7" s="1"/>
  <c r="G123" i="7" a="1"/>
  <c r="G123" i="7" s="1"/>
  <c r="J28" i="7" a="1"/>
  <c r="J28" i="7" s="1"/>
  <c r="J49" i="23" a="1"/>
  <c r="J49" i="23" s="1"/>
  <c r="I51" i="23" a="1"/>
  <c r="I51" i="23" s="1"/>
  <c r="K114" i="7" a="1"/>
  <c r="K114" i="7" s="1"/>
  <c r="K53" i="23" a="1"/>
  <c r="K53" i="23" s="1"/>
  <c r="J122" i="7" a="1"/>
  <c r="J122" i="7" s="1"/>
  <c r="L67" i="23" a="1"/>
  <c r="L67" i="23" s="1"/>
  <c r="K16" i="23" a="1"/>
  <c r="K16" i="23" s="1"/>
  <c r="J82" i="7" a="1"/>
  <c r="J82" i="7" s="1"/>
  <c r="J84" i="23" a="1"/>
  <c r="J84" i="23" s="1"/>
  <c r="J100" i="7" a="1"/>
  <c r="J100" i="7" s="1"/>
  <c r="L46" i="23" a="1"/>
  <c r="L46" i="23" s="1"/>
  <c r="G54" i="7" a="1"/>
  <c r="G54" i="7" s="1"/>
  <c r="G64" i="23" a="1"/>
  <c r="G64" i="23" s="1"/>
  <c r="J49" i="7" a="1"/>
  <c r="J49" i="7" s="1"/>
  <c r="J10" i="7" a="1"/>
  <c r="J10" i="7" s="1"/>
  <c r="G88" i="23" a="1"/>
  <c r="G88" i="23" s="1"/>
  <c r="K41" i="7" a="1"/>
  <c r="K41" i="7" s="1"/>
  <c r="J121" i="7" a="1"/>
  <c r="J121" i="7" s="1"/>
  <c r="L42" i="23" a="1"/>
  <c r="L42" i="23" s="1"/>
  <c r="K118" i="7" a="1"/>
  <c r="K118" i="7" s="1"/>
  <c r="K77" i="23" a="1"/>
  <c r="K77" i="23" s="1"/>
  <c r="L91" i="23" a="1"/>
  <c r="L91" i="23" s="1"/>
  <c r="G64" i="7" a="1"/>
  <c r="G64" i="7" s="1"/>
  <c r="L68" i="23" a="1"/>
  <c r="L68" i="23" s="1"/>
  <c r="I42" i="7" a="1"/>
  <c r="I42" i="7" s="1"/>
  <c r="L84" i="23" a="1"/>
  <c r="L84" i="23" s="1"/>
  <c r="G149" i="7" a="1"/>
  <c r="G149" i="7" s="1"/>
  <c r="K73" i="23" a="1"/>
  <c r="K73" i="23" s="1"/>
  <c r="I79" i="7" a="1"/>
  <c r="I79" i="7" s="1"/>
  <c r="K26" i="23" a="1"/>
  <c r="K26" i="23" s="1"/>
  <c r="J37" i="7" a="1"/>
  <c r="J37" i="7" s="1"/>
  <c r="J60" i="7" a="1"/>
  <c r="J60" i="7" s="1"/>
  <c r="G43" i="23" a="1"/>
  <c r="G43" i="23" s="1"/>
  <c r="G117" i="7" a="1"/>
  <c r="G117" i="7" s="1"/>
  <c r="L33" i="23" a="1"/>
  <c r="L33" i="23" s="1"/>
  <c r="K128" i="7" a="1"/>
  <c r="K128" i="7" s="1"/>
  <c r="J57" i="23" a="1"/>
  <c r="J57" i="23" s="1"/>
  <c r="H53" i="7" a="1"/>
  <c r="H53" i="7" s="1"/>
  <c r="K78" i="7" a="1"/>
  <c r="K78" i="7" s="1"/>
  <c r="J64" i="7" a="1"/>
  <c r="J64" i="7" s="1"/>
  <c r="H48" i="23" a="1"/>
  <c r="H48" i="23" s="1"/>
  <c r="K75" i="7" a="1"/>
  <c r="K75" i="7" s="1"/>
  <c r="H41" i="23" a="1"/>
  <c r="H41" i="23" s="1"/>
  <c r="K23" i="7" a="1"/>
  <c r="K23" i="7" s="1"/>
  <c r="I60" i="7" a="1"/>
  <c r="I60" i="7" s="1"/>
  <c r="K134" i="7" a="1"/>
  <c r="K134" i="7" s="1"/>
  <c r="H21" i="7" a="1"/>
  <c r="H21" i="7" s="1"/>
  <c r="H134" i="7" a="1"/>
  <c r="H134" i="7" s="1"/>
  <c r="L116" i="7" a="1"/>
  <c r="L116" i="7" s="1"/>
  <c r="K37" i="23" a="1"/>
  <c r="K37" i="23" s="1"/>
  <c r="I16" i="7" a="1"/>
  <c r="I16" i="7" s="1"/>
  <c r="L11" i="23" a="1"/>
  <c r="L11" i="23" s="1"/>
  <c r="G35" i="7" a="1"/>
  <c r="G35" i="7" s="1"/>
  <c r="K125" i="7" a="1"/>
  <c r="K125" i="7" s="1"/>
  <c r="J42" i="23" a="1"/>
  <c r="J42" i="23" s="1"/>
  <c r="H12" i="7" a="1"/>
  <c r="H12" i="7" s="1"/>
  <c r="G104" i="7" a="1"/>
  <c r="G104" i="7" s="1"/>
  <c r="L99" i="7" a="1"/>
  <c r="L99" i="7" s="1"/>
  <c r="H150" i="7" a="1"/>
  <c r="H150" i="7" s="1"/>
  <c r="G52" i="23" a="1"/>
  <c r="G52" i="23" s="1"/>
  <c r="G141" i="7" a="1"/>
  <c r="G141" i="7" s="1"/>
  <c r="K65" i="23" a="1"/>
  <c r="K65" i="23" s="1"/>
  <c r="L148" i="7" a="1"/>
  <c r="L148" i="7" s="1"/>
  <c r="H38" i="23" a="1"/>
  <c r="H38" i="23" s="1"/>
  <c r="G97" i="7" a="1"/>
  <c r="G97" i="7" s="1"/>
  <c r="J56" i="23" a="1"/>
  <c r="J56" i="23" s="1"/>
  <c r="K61" i="23" a="1"/>
  <c r="K61" i="23" s="1"/>
  <c r="L110" i="7" a="1"/>
  <c r="L110" i="7" s="1"/>
  <c r="K70" i="23" a="1"/>
  <c r="K70" i="23" s="1"/>
  <c r="G118" i="7" a="1"/>
  <c r="G118" i="7" s="1"/>
  <c r="H80" i="23" a="1"/>
  <c r="H80" i="23" s="1"/>
  <c r="I65" i="7" a="1"/>
  <c r="I65" i="7" s="1"/>
  <c r="G42" i="23" a="1"/>
  <c r="G42" i="23" s="1"/>
  <c r="I71" i="23" a="1"/>
  <c r="I71" i="23" s="1"/>
  <c r="K14" i="7" a="1"/>
  <c r="K14" i="7" s="1"/>
  <c r="I24" i="23" a="1"/>
  <c r="I24" i="23" s="1"/>
  <c r="L57" i="7" a="1"/>
  <c r="L57" i="7" s="1"/>
  <c r="K82" i="23" a="1"/>
  <c r="K82" i="23" s="1"/>
  <c r="J38" i="23" a="1"/>
  <c r="J38" i="23" s="1"/>
  <c r="J23" i="7" a="1"/>
  <c r="J23" i="7" s="1"/>
  <c r="J31" i="23" a="1"/>
  <c r="J31" i="23" s="1"/>
  <c r="K141" i="7" a="1"/>
  <c r="K141" i="7" s="1"/>
  <c r="L89" i="23" a="1"/>
  <c r="L89" i="23" s="1"/>
  <c r="H128" i="7" a="1"/>
  <c r="H128" i="7" s="1"/>
  <c r="L26" i="23" a="1"/>
  <c r="L26" i="23" s="1"/>
  <c r="J48" i="7" a="1"/>
  <c r="J48" i="7" s="1"/>
  <c r="H64" i="7" a="1"/>
  <c r="H64" i="7" s="1"/>
  <c r="J120" i="7" a="1"/>
  <c r="J120" i="7" s="1"/>
  <c r="G44" i="23" a="1"/>
  <c r="G44" i="23" s="1"/>
  <c r="K17" i="7" a="1"/>
  <c r="K17" i="7" s="1"/>
  <c r="K87" i="23" a="1"/>
  <c r="K87" i="23" s="1"/>
  <c r="L123" i="7" a="1"/>
  <c r="L123" i="7" s="1"/>
  <c r="I90" i="7" a="1"/>
  <c r="I90" i="7" s="1"/>
  <c r="I13" i="7" a="1"/>
  <c r="I13" i="7" s="1"/>
  <c r="J116" i="7" a="1"/>
  <c r="J116" i="7" s="1"/>
  <c r="K110" i="7" a="1"/>
  <c r="K110" i="7" s="1"/>
  <c r="J9" i="23" a="1"/>
  <c r="J9" i="23" s="1"/>
  <c r="J114" i="7" a="1"/>
  <c r="J114" i="7" s="1"/>
  <c r="L34" i="7" a="1"/>
  <c r="L34" i="7" s="1"/>
  <c r="L37" i="23" a="1"/>
  <c r="L37" i="23" s="1"/>
  <c r="K88" i="7" a="1"/>
  <c r="K88" i="7" s="1"/>
  <c r="J91" i="23" a="1"/>
  <c r="J91" i="23" s="1"/>
  <c r="L11" i="7" a="1"/>
  <c r="L11" i="7" s="1"/>
  <c r="G40" i="23" a="1"/>
  <c r="G40" i="23" s="1"/>
  <c r="J21" i="23" a="1"/>
  <c r="J21" i="23" s="1"/>
  <c r="L141" i="7" a="1"/>
  <c r="L141" i="7" s="1"/>
  <c r="I38" i="7" a="1"/>
  <c r="I38" i="7" s="1"/>
  <c r="H66" i="7" a="1"/>
  <c r="H66" i="7" s="1"/>
  <c r="H61" i="23" a="1"/>
  <c r="H61" i="23" s="1"/>
  <c r="K28" i="23" a="1"/>
  <c r="K28" i="23" s="1"/>
  <c r="H43" i="7" a="1"/>
  <c r="H43" i="7" s="1"/>
  <c r="J96" i="23" a="1"/>
  <c r="J96" i="23" s="1"/>
  <c r="I54" i="7" a="1"/>
  <c r="I54" i="7" s="1"/>
  <c r="G65" i="23" a="1"/>
  <c r="G65" i="23" s="1"/>
  <c r="K150" i="7" a="1"/>
  <c r="K150" i="7" s="1"/>
  <c r="G18" i="23" a="1"/>
  <c r="G18" i="23" s="1"/>
  <c r="I15" i="7" a="1"/>
  <c r="I15" i="7" s="1"/>
  <c r="H85" i="7" a="1"/>
  <c r="H85" i="7" s="1"/>
  <c r="K9" i="7" a="1"/>
  <c r="K9" i="7" s="1"/>
  <c r="J19" i="23" a="1"/>
  <c r="J19" i="23" s="1"/>
  <c r="G22" i="7" a="1"/>
  <c r="G22" i="7" s="1"/>
  <c r="G54" i="23" a="1"/>
  <c r="G54" i="23" s="1"/>
  <c r="G133" i="7" a="1"/>
  <c r="G133" i="7" s="1"/>
  <c r="I87" i="23" a="1"/>
  <c r="I87" i="23" s="1"/>
  <c r="J45" i="7" a="1"/>
  <c r="J45" i="7" s="1"/>
  <c r="J109" i="7" a="1"/>
  <c r="J109" i="7" s="1"/>
  <c r="H29" i="23" a="1"/>
  <c r="H29" i="23" s="1"/>
  <c r="J154" i="7" a="1"/>
  <c r="J154" i="7" s="1"/>
  <c r="J87" i="23" a="1"/>
  <c r="J87" i="23" s="1"/>
  <c r="H98" i="7" a="1"/>
  <c r="H98" i="7" s="1"/>
  <c r="K12" i="23" a="1"/>
  <c r="K12" i="23" s="1"/>
  <c r="I143" i="7" a="1"/>
  <c r="I143" i="7" s="1"/>
  <c r="H15" i="23" a="1"/>
  <c r="H15" i="23" s="1"/>
  <c r="H108" i="7" a="1"/>
  <c r="H108" i="7" s="1"/>
  <c r="I86" i="7" a="1"/>
  <c r="I86" i="7" s="1"/>
  <c r="G70" i="23" a="1"/>
  <c r="G70" i="23" s="1"/>
  <c r="J20" i="7" a="1"/>
  <c r="J20" i="7" s="1"/>
  <c r="L19" i="23" a="1"/>
  <c r="L19" i="23" s="1"/>
  <c r="G46" i="7" a="1"/>
  <c r="G46" i="7" s="1"/>
  <c r="H20" i="7" a="1"/>
  <c r="H20" i="7" s="1"/>
  <c r="G26" i="23" a="1"/>
  <c r="G26" i="23" s="1"/>
  <c r="H154" i="7" a="1"/>
  <c r="H154" i="7" s="1"/>
  <c r="J96" i="7" a="1"/>
  <c r="J96" i="7" s="1"/>
  <c r="N36" i="24" a="1"/>
  <c r="N36" i="24" s="1"/>
  <c r="L18" i="7" a="1"/>
  <c r="L18" i="7" s="1"/>
  <c r="H146" i="7" a="1"/>
  <c r="H146" i="7" s="1"/>
  <c r="K45" i="7" a="1"/>
  <c r="K45" i="7" s="1"/>
  <c r="G35" i="23" a="1"/>
  <c r="G35" i="23" s="1"/>
  <c r="H62" i="7" a="1"/>
  <c r="H62" i="7" s="1"/>
  <c r="J56" i="7" a="1"/>
  <c r="J56" i="7" s="1"/>
  <c r="I20" i="23" a="1"/>
  <c r="I20" i="23" s="1"/>
  <c r="L64" i="23" a="1"/>
  <c r="L64" i="23" s="1"/>
  <c r="K10" i="23" a="1"/>
  <c r="K10" i="23" s="1"/>
  <c r="H116" i="7" a="1"/>
  <c r="H116" i="7" s="1"/>
  <c r="J36" i="23" a="1"/>
  <c r="J36" i="23" s="1"/>
  <c r="L132" i="7" a="1"/>
  <c r="L132" i="7" s="1"/>
  <c r="L48" i="23" a="1"/>
  <c r="L48" i="23" s="1"/>
  <c r="G46" i="23" a="1"/>
  <c r="G46" i="23" s="1"/>
  <c r="I32" i="23" a="1"/>
  <c r="I32" i="23" s="1"/>
  <c r="G20" i="7" a="1"/>
  <c r="G20" i="7" s="1"/>
  <c r="H72" i="23" a="1"/>
  <c r="H72" i="23" s="1"/>
  <c r="L51" i="7" a="1"/>
  <c r="L51" i="7" s="1"/>
  <c r="L154" i="7" a="1"/>
  <c r="L154" i="7" s="1"/>
  <c r="I14" i="7" a="1"/>
  <c r="I14" i="7" s="1"/>
  <c r="G80" i="23" a="1"/>
  <c r="G80" i="23" s="1"/>
  <c r="H57" i="7" a="1"/>
  <c r="H57" i="7" s="1"/>
  <c r="H37" i="23" a="1"/>
  <c r="H37" i="23" s="1"/>
  <c r="K84" i="7" a="1"/>
  <c r="K84" i="7" s="1"/>
  <c r="J40" i="7" a="1"/>
  <c r="J40" i="7" s="1"/>
  <c r="N37" i="24" a="1"/>
  <c r="N37" i="24" s="1"/>
  <c r="I11" i="23" a="1"/>
  <c r="I11" i="23" s="1"/>
  <c r="I116" i="7" a="1"/>
  <c r="I116" i="7" s="1"/>
  <c r="G45" i="23" a="1"/>
  <c r="G45" i="23" s="1"/>
  <c r="K71" i="7" a="1"/>
  <c r="K71" i="7" s="1"/>
  <c r="G39" i="7" a="1"/>
  <c r="G39" i="7" s="1"/>
  <c r="K102" i="7" a="1"/>
  <c r="K102" i="7" s="1"/>
  <c r="J86" i="23" a="1"/>
  <c r="J86" i="23" s="1"/>
  <c r="L81" i="23" a="1"/>
  <c r="L81" i="23" s="1"/>
  <c r="J97" i="7" a="1"/>
  <c r="J97" i="7" s="1"/>
  <c r="J46" i="23" a="1"/>
  <c r="J46" i="23" s="1"/>
  <c r="K41" i="23" a="1"/>
  <c r="K41" i="23" s="1"/>
  <c r="K51" i="7" a="1"/>
  <c r="K51" i="7" s="1"/>
  <c r="L43" i="23" a="1"/>
  <c r="L43" i="23" s="1"/>
  <c r="H9" i="23" a="1"/>
  <c r="H9" i="23" s="1"/>
  <c r="L47" i="7" a="1"/>
  <c r="L47" i="7" s="1"/>
  <c r="L15" i="23" a="1"/>
  <c r="L15" i="23" s="1"/>
  <c r="K108" i="7" a="1"/>
  <c r="K108" i="7" s="1"/>
  <c r="G58" i="7" a="1"/>
  <c r="G58" i="7" s="1"/>
  <c r="G21" i="23" a="1"/>
  <c r="G21" i="23" s="1"/>
  <c r="G38" i="23" a="1"/>
  <c r="G38" i="23" s="1"/>
  <c r="L76" i="23" a="1"/>
  <c r="L76" i="23" s="1"/>
  <c r="H124" i="7" a="1"/>
  <c r="H124" i="7" s="1"/>
  <c r="I85" i="7" a="1"/>
  <c r="I85" i="7" s="1"/>
  <c r="I63" i="7" a="1"/>
  <c r="I63" i="7" s="1"/>
  <c r="H93" i="23" a="1"/>
  <c r="H93" i="23" s="1"/>
  <c r="G26" i="7" a="1"/>
  <c r="G26" i="7" s="1"/>
  <c r="G119" i="7" a="1"/>
  <c r="G119" i="7" s="1"/>
  <c r="J50" i="23" a="1"/>
  <c r="J50" i="23" s="1"/>
  <c r="G80" i="7" a="1"/>
  <c r="G80" i="7" s="1"/>
  <c r="H72" i="7" a="1"/>
  <c r="H72" i="7" s="1"/>
  <c r="H123" i="7" a="1"/>
  <c r="H123" i="7" s="1"/>
  <c r="L118" i="7" a="1"/>
  <c r="L118" i="7" s="1"/>
  <c r="G84" i="23" a="1"/>
  <c r="G84" i="23" s="1"/>
  <c r="K36" i="7" a="1"/>
  <c r="K36" i="7" s="1"/>
  <c r="H27" i="23" a="1"/>
  <c r="H27" i="23" s="1"/>
  <c r="I99" i="7" a="1"/>
  <c r="I99" i="7" s="1"/>
  <c r="I146" i="7" a="1"/>
  <c r="I146" i="7" s="1"/>
  <c r="L147" i="7" a="1"/>
  <c r="L147" i="7" s="1"/>
  <c r="H22" i="7" a="1"/>
  <c r="H22" i="7" s="1"/>
  <c r="H90" i="7" a="1"/>
  <c r="H90" i="7" s="1"/>
  <c r="I151" i="7" a="1"/>
  <c r="I151" i="7" s="1"/>
  <c r="N35" i="24" a="1"/>
  <c r="N35" i="24" s="1"/>
  <c r="J62" i="23" a="1"/>
  <c r="J62" i="23" s="1"/>
  <c r="I74" i="7" a="1"/>
  <c r="I74" i="7" s="1"/>
  <c r="L124" i="7" a="1"/>
  <c r="L124" i="7" s="1"/>
  <c r="H40" i="24" a="1"/>
  <c r="H40" i="24" s="1"/>
  <c r="H36" i="24" a="1"/>
  <c r="H36" i="24" s="1"/>
  <c r="K39" i="24" a="1"/>
  <c r="K39" i="24" s="1"/>
  <c r="H38" i="24" a="1"/>
  <c r="H38" i="24" s="1"/>
  <c r="K34" i="24" a="1"/>
  <c r="K34" i="24" s="1"/>
  <c r="L34" i="24" a="1"/>
  <c r="L34" i="24" s="1"/>
  <c r="J40" i="24" a="1"/>
  <c r="J40" i="24" s="1"/>
  <c r="L40" i="24" a="1"/>
  <c r="L40" i="24" s="1"/>
  <c r="L42" i="24" a="1"/>
  <c r="L42" i="24" s="1"/>
  <c r="L41" i="24" a="1"/>
  <c r="L41" i="24" s="1"/>
  <c r="I42" i="24" a="1"/>
  <c r="I42" i="24" s="1"/>
  <c r="H34" i="24" a="1"/>
  <c r="H34" i="24" s="1"/>
  <c r="K40" i="24" a="1"/>
  <c r="K40" i="24" s="1"/>
  <c r="I41" i="24" a="1"/>
  <c r="I41" i="24" s="1"/>
  <c r="N37" i="26" a="1"/>
  <c r="N37" i="26" s="1"/>
  <c r="N58" i="26" a="1"/>
  <c r="N58" i="26" s="1"/>
  <c r="N29" i="26" a="1"/>
  <c r="N29" i="26" s="1"/>
  <c r="N31" i="26" a="1"/>
  <c r="N31" i="26" s="1"/>
  <c r="N60" i="26" a="1"/>
  <c r="N60" i="26" s="1"/>
  <c r="N81" i="26" a="1"/>
  <c r="N81" i="26" s="1"/>
  <c r="N62" i="26" a="1"/>
  <c r="N62" i="26" s="1"/>
  <c r="N63" i="26" a="1"/>
  <c r="N63" i="26" s="1"/>
  <c r="N34" i="26" a="1"/>
  <c r="N34" i="26" s="1"/>
  <c r="H9" i="26" a="1"/>
  <c r="H9" i="26" s="1"/>
  <c r="N65" i="26" a="1"/>
  <c r="N65" i="26" s="1"/>
  <c r="N86" i="26" a="1"/>
  <c r="N86" i="26" s="1"/>
  <c r="N67" i="26" a="1"/>
  <c r="N67" i="26" s="1"/>
  <c r="N68" i="26" a="1"/>
  <c r="N68" i="26" s="1"/>
  <c r="N39" i="26" a="1"/>
  <c r="N39" i="26" s="1"/>
  <c r="K9" i="26" a="1"/>
  <c r="K9" i="26" s="1"/>
  <c r="N70" i="26" a="1"/>
  <c r="N70" i="26" s="1"/>
  <c r="N91" i="26" a="1"/>
  <c r="N91" i="26" s="1"/>
  <c r="N52" i="26" a="1"/>
  <c r="N52" i="26" s="1"/>
  <c r="N53" i="26" a="1"/>
  <c r="N53" i="26" s="1"/>
  <c r="N24" i="26" a="1"/>
  <c r="N24" i="26" s="1"/>
  <c r="N28" i="26" a="1"/>
  <c r="N28" i="26" s="1"/>
  <c r="N55" i="26" a="1"/>
  <c r="N55" i="26" s="1"/>
  <c r="N76" i="26" a="1"/>
  <c r="N76" i="26" s="1"/>
  <c r="G19" i="26" a="1"/>
  <c r="G19" i="26" s="1"/>
  <c r="G35" i="26" a="1"/>
  <c r="G35" i="26" s="1"/>
  <c r="G51" i="26" a="1"/>
  <c r="G51" i="26" s="1"/>
  <c r="G67" i="26" a="1"/>
  <c r="G67" i="26" s="1"/>
  <c r="G83" i="26" a="1"/>
  <c r="G83" i="26" s="1"/>
  <c r="H12" i="26" a="1"/>
  <c r="H12" i="26" s="1"/>
  <c r="H28" i="26" a="1"/>
  <c r="H28" i="26" s="1"/>
  <c r="H44" i="26" a="1"/>
  <c r="H44" i="26" s="1"/>
  <c r="H60" i="26" a="1"/>
  <c r="H60" i="26" s="1"/>
  <c r="H76" i="26" a="1"/>
  <c r="H76" i="26" s="1"/>
  <c r="H92" i="26" a="1"/>
  <c r="H92" i="26" s="1"/>
  <c r="I22" i="26" a="1"/>
  <c r="I22" i="26" s="1"/>
  <c r="I38" i="26" a="1"/>
  <c r="I38" i="26" s="1"/>
  <c r="I54" i="26" a="1"/>
  <c r="I54" i="26" s="1"/>
  <c r="I70" i="26" a="1"/>
  <c r="I70" i="26" s="1"/>
  <c r="I86" i="26" a="1"/>
  <c r="I86" i="26" s="1"/>
  <c r="J15" i="26" a="1"/>
  <c r="J15" i="26" s="1"/>
  <c r="J31" i="26" a="1"/>
  <c r="J31" i="26" s="1"/>
  <c r="J47" i="26" a="1"/>
  <c r="J47" i="26" s="1"/>
  <c r="J63" i="26" a="1"/>
  <c r="J63" i="26" s="1"/>
  <c r="J79" i="26" a="1"/>
  <c r="J79" i="26" s="1"/>
  <c r="J95" i="26" a="1"/>
  <c r="J95" i="26" s="1"/>
  <c r="K24" i="26" a="1"/>
  <c r="K24" i="26" s="1"/>
  <c r="K40" i="26" a="1"/>
  <c r="K40" i="26" s="1"/>
  <c r="K56" i="26" a="1"/>
  <c r="K56" i="26" s="1"/>
  <c r="K72" i="26" a="1"/>
  <c r="K72" i="26" s="1"/>
  <c r="K88" i="26" a="1"/>
  <c r="K88" i="26" s="1"/>
  <c r="L17" i="26" a="1"/>
  <c r="L17" i="26" s="1"/>
  <c r="L33" i="26" a="1"/>
  <c r="L33" i="26" s="1"/>
  <c r="L49" i="26" a="1"/>
  <c r="L49" i="26" s="1"/>
  <c r="L65" i="26" a="1"/>
  <c r="L65" i="26" s="1"/>
  <c r="L81" i="26" a="1"/>
  <c r="L81" i="26" s="1"/>
  <c r="M10" i="26" a="1"/>
  <c r="M10" i="26" s="1"/>
  <c r="M26" i="26" a="1"/>
  <c r="M26" i="26" s="1"/>
  <c r="M42" i="26" a="1"/>
  <c r="M42" i="26" s="1"/>
  <c r="M58" i="26" a="1"/>
  <c r="M58" i="26" s="1"/>
  <c r="G11" i="26" a="1"/>
  <c r="G11" i="26" s="1"/>
  <c r="G28" i="26" a="1"/>
  <c r="G28" i="26" s="1"/>
  <c r="G44" i="26" a="1"/>
  <c r="G44" i="26" s="1"/>
  <c r="G60" i="26" a="1"/>
  <c r="G60" i="26" s="1"/>
  <c r="G76" i="26" a="1"/>
  <c r="G76" i="26" s="1"/>
  <c r="G92" i="26" a="1"/>
  <c r="G92" i="26" s="1"/>
  <c r="H21" i="26" a="1"/>
  <c r="H21" i="26" s="1"/>
  <c r="H37" i="26" a="1"/>
  <c r="H37" i="26" s="1"/>
  <c r="H53" i="26" a="1"/>
  <c r="H53" i="26" s="1"/>
  <c r="H69" i="26" a="1"/>
  <c r="H69" i="26" s="1"/>
  <c r="H85" i="26" a="1"/>
  <c r="H85" i="26" s="1"/>
  <c r="I15" i="26" a="1"/>
  <c r="I15" i="26" s="1"/>
  <c r="I31" i="26" a="1"/>
  <c r="I31" i="26" s="1"/>
  <c r="I47" i="26" a="1"/>
  <c r="I47" i="26" s="1"/>
  <c r="I63" i="26" a="1"/>
  <c r="I63" i="26" s="1"/>
  <c r="I79" i="26" a="1"/>
  <c r="I79" i="26" s="1"/>
  <c r="I95" i="26" a="1"/>
  <c r="I95" i="26" s="1"/>
  <c r="J24" i="26" a="1"/>
  <c r="J24" i="26" s="1"/>
  <c r="J40" i="26" a="1"/>
  <c r="J40" i="26" s="1"/>
  <c r="J56" i="26" a="1"/>
  <c r="J56" i="26" s="1"/>
  <c r="J72" i="26" a="1"/>
  <c r="J72" i="26" s="1"/>
  <c r="J88" i="26" a="1"/>
  <c r="J88" i="26" s="1"/>
  <c r="K17" i="26" a="1"/>
  <c r="K17" i="26" s="1"/>
  <c r="K33" i="26" a="1"/>
  <c r="K33" i="26" s="1"/>
  <c r="K49" i="26" a="1"/>
  <c r="K49" i="26" s="1"/>
  <c r="K65" i="26" a="1"/>
  <c r="K65" i="26" s="1"/>
  <c r="K81" i="26" a="1"/>
  <c r="K81" i="26" s="1"/>
  <c r="L10" i="26" a="1"/>
  <c r="L10" i="26" s="1"/>
  <c r="L26" i="26" a="1"/>
  <c r="L26" i="26" s="1"/>
  <c r="L42" i="26" a="1"/>
  <c r="L42" i="26" s="1"/>
  <c r="L58" i="26" a="1"/>
  <c r="L58" i="26" s="1"/>
  <c r="L74" i="26" a="1"/>
  <c r="L74" i="26" s="1"/>
  <c r="L90" i="26" a="1"/>
  <c r="L90" i="26" s="1"/>
  <c r="M19" i="26" a="1"/>
  <c r="M19" i="26" s="1"/>
  <c r="M35" i="26" a="1"/>
  <c r="M35" i="26" s="1"/>
  <c r="M51" i="26" a="1"/>
  <c r="M51" i="26" s="1"/>
  <c r="M77" i="26" a="1"/>
  <c r="M77" i="26" s="1"/>
  <c r="G21" i="26" a="1"/>
  <c r="G21" i="26" s="1"/>
  <c r="G37" i="26" a="1"/>
  <c r="G37" i="26" s="1"/>
  <c r="G53" i="26" a="1"/>
  <c r="G53" i="26" s="1"/>
  <c r="G69" i="26" a="1"/>
  <c r="G69" i="26" s="1"/>
  <c r="G85" i="26" a="1"/>
  <c r="G85" i="26" s="1"/>
  <c r="H14" i="26" a="1"/>
  <c r="H14" i="26" s="1"/>
  <c r="H30" i="26" a="1"/>
  <c r="H30" i="26" s="1"/>
  <c r="H46" i="26" a="1"/>
  <c r="H46" i="26" s="1"/>
  <c r="H62" i="26" a="1"/>
  <c r="H62" i="26" s="1"/>
  <c r="H78" i="26" a="1"/>
  <c r="H78" i="26" s="1"/>
  <c r="H94" i="26" a="1"/>
  <c r="H94" i="26" s="1"/>
  <c r="I24" i="26" a="1"/>
  <c r="I24" i="26" s="1"/>
  <c r="I40" i="26" a="1"/>
  <c r="I40" i="26" s="1"/>
  <c r="I56" i="26" a="1"/>
  <c r="I56" i="26" s="1"/>
  <c r="I72" i="26" a="1"/>
  <c r="I72" i="26" s="1"/>
  <c r="I88" i="26" a="1"/>
  <c r="I88" i="26" s="1"/>
  <c r="J17" i="26" a="1"/>
  <c r="J17" i="26" s="1"/>
  <c r="J33" i="26" a="1"/>
  <c r="J33" i="26" s="1"/>
  <c r="J49" i="26" a="1"/>
  <c r="J49" i="26" s="1"/>
  <c r="J65" i="26" a="1"/>
  <c r="J65" i="26" s="1"/>
  <c r="J81" i="26" a="1"/>
  <c r="J81" i="26" s="1"/>
  <c r="K10" i="26" a="1"/>
  <c r="K10" i="26" s="1"/>
  <c r="K26" i="26" a="1"/>
  <c r="K26" i="26" s="1"/>
  <c r="K42" i="26" a="1"/>
  <c r="K42" i="26" s="1"/>
  <c r="K58" i="26" a="1"/>
  <c r="K58" i="26" s="1"/>
  <c r="K74" i="26" a="1"/>
  <c r="K74" i="26" s="1"/>
  <c r="K90" i="26" a="1"/>
  <c r="K90" i="26" s="1"/>
  <c r="L19" i="26" a="1"/>
  <c r="L19" i="26" s="1"/>
  <c r="L35" i="26" a="1"/>
  <c r="L35" i="26" s="1"/>
  <c r="L51" i="26" a="1"/>
  <c r="L51" i="26" s="1"/>
  <c r="L67" i="26" a="1"/>
  <c r="L67" i="26" s="1"/>
  <c r="L83" i="26" a="1"/>
  <c r="L83" i="26" s="1"/>
  <c r="M12" i="26" a="1"/>
  <c r="M12" i="26" s="1"/>
  <c r="M28" i="26" a="1"/>
  <c r="M28" i="26" s="1"/>
  <c r="M44" i="26" a="1"/>
  <c r="M44" i="26" s="1"/>
  <c r="M60" i="26" a="1"/>
  <c r="M60" i="26" s="1"/>
  <c r="G13" i="26" a="1"/>
  <c r="G13" i="26" s="1"/>
  <c r="G30" i="26" a="1"/>
  <c r="G30" i="26" s="1"/>
  <c r="G46" i="26" a="1"/>
  <c r="G46" i="26" s="1"/>
  <c r="G62" i="26" a="1"/>
  <c r="G62" i="26" s="1"/>
  <c r="G78" i="26" a="1"/>
  <c r="G78" i="26" s="1"/>
  <c r="G94" i="26" a="1"/>
  <c r="G94" i="26" s="1"/>
  <c r="H23" i="26" a="1"/>
  <c r="H23" i="26" s="1"/>
  <c r="H39" i="26" a="1"/>
  <c r="H39" i="26" s="1"/>
  <c r="H55" i="26" a="1"/>
  <c r="H55" i="26" s="1"/>
  <c r="H71" i="26" a="1"/>
  <c r="H71" i="26" s="1"/>
  <c r="H87" i="26" a="1"/>
  <c r="H87" i="26" s="1"/>
  <c r="I17" i="26" a="1"/>
  <c r="I17" i="26" s="1"/>
  <c r="I33" i="26" a="1"/>
  <c r="I33" i="26" s="1"/>
  <c r="I49" i="26" a="1"/>
  <c r="I49" i="26" s="1"/>
  <c r="I65" i="26" a="1"/>
  <c r="I65" i="26" s="1"/>
  <c r="I81" i="26" a="1"/>
  <c r="I81" i="26" s="1"/>
  <c r="J10" i="26" a="1"/>
  <c r="J10" i="26" s="1"/>
  <c r="J26" i="26" a="1"/>
  <c r="J26" i="26" s="1"/>
  <c r="J42" i="26" a="1"/>
  <c r="J42" i="26" s="1"/>
  <c r="J58" i="26" a="1"/>
  <c r="J58" i="26" s="1"/>
  <c r="J74" i="26" a="1"/>
  <c r="J74" i="26" s="1"/>
  <c r="J90" i="26" a="1"/>
  <c r="J90" i="26" s="1"/>
  <c r="K19" i="26" a="1"/>
  <c r="K19" i="26" s="1"/>
  <c r="K35" i="26" a="1"/>
  <c r="K35" i="26" s="1"/>
  <c r="K51" i="26" a="1"/>
  <c r="K51" i="26" s="1"/>
  <c r="K67" i="26" a="1"/>
  <c r="K67" i="26" s="1"/>
  <c r="K83" i="26" a="1"/>
  <c r="K83" i="26" s="1"/>
  <c r="L12" i="26" a="1"/>
  <c r="L12" i="26" s="1"/>
  <c r="L28" i="26" a="1"/>
  <c r="L28" i="26" s="1"/>
  <c r="L44" i="26" a="1"/>
  <c r="L44" i="26" s="1"/>
  <c r="L60" i="26" a="1"/>
  <c r="L60" i="26" s="1"/>
  <c r="L76" i="26" a="1"/>
  <c r="L76" i="26" s="1"/>
  <c r="L92" i="26" a="1"/>
  <c r="L92" i="26" s="1"/>
  <c r="M21" i="26" a="1"/>
  <c r="M21" i="26" s="1"/>
  <c r="M37" i="26" a="1"/>
  <c r="M37" i="26" s="1"/>
  <c r="M53" i="26" a="1"/>
  <c r="M53" i="26" s="1"/>
  <c r="M85" i="26" a="1"/>
  <c r="M85" i="26" s="1"/>
  <c r="M78" i="26" a="1"/>
  <c r="M78" i="26" s="1"/>
  <c r="M94" i="26" a="1"/>
  <c r="M94" i="26" s="1"/>
  <c r="M79" i="26" a="1"/>
  <c r="M79" i="26" s="1"/>
  <c r="M95" i="26" a="1"/>
  <c r="M95" i="26" s="1"/>
  <c r="M76" i="26" a="1"/>
  <c r="M76" i="26" s="1"/>
  <c r="M92" i="26" a="1"/>
  <c r="M92" i="26" s="1"/>
  <c r="G56" i="23" a="1"/>
  <c r="G56" i="23" s="1"/>
  <c r="H32" i="7" a="1"/>
  <c r="H32" i="7" s="1"/>
  <c r="I51" i="7" a="1"/>
  <c r="I51" i="7" s="1"/>
  <c r="J31" i="7" a="1"/>
  <c r="J31" i="7" s="1"/>
  <c r="K96" i="7" a="1"/>
  <c r="K96" i="7" s="1"/>
  <c r="I71" i="7" a="1"/>
  <c r="I71" i="7" s="1"/>
  <c r="K82" i="7" a="1"/>
  <c r="K82" i="7" s="1"/>
  <c r="I50" i="7" a="1"/>
  <c r="I50" i="7" s="1"/>
  <c r="J133" i="7" a="1"/>
  <c r="J133" i="7" s="1"/>
  <c r="I105" i="7" a="1"/>
  <c r="I105" i="7" s="1"/>
  <c r="J143" i="7" a="1"/>
  <c r="J143" i="7" s="1"/>
  <c r="L64" i="7" a="1"/>
  <c r="L64" i="7" s="1"/>
  <c r="H111" i="7" a="1"/>
  <c r="H111" i="7" s="1"/>
  <c r="G51" i="23" a="1"/>
  <c r="G51" i="23" s="1"/>
  <c r="L121" i="7" a="1"/>
  <c r="L121" i="7" s="1"/>
  <c r="L125" i="7" a="1"/>
  <c r="L125" i="7" s="1"/>
  <c r="K23" i="23" a="1"/>
  <c r="K23" i="23" s="1"/>
  <c r="H78" i="7" a="1"/>
  <c r="H78" i="7" s="1"/>
  <c r="I21" i="7" a="1"/>
  <c r="I21" i="7" s="1"/>
  <c r="I47" i="23" a="1"/>
  <c r="I47" i="23" s="1"/>
  <c r="I119" i="7" a="1"/>
  <c r="I119" i="7" s="1"/>
  <c r="L86" i="23" a="1"/>
  <c r="L86" i="23" s="1"/>
  <c r="H12" i="23" a="1"/>
  <c r="H12" i="23" s="1"/>
  <c r="H132" i="7" a="1"/>
  <c r="H132" i="7" s="1"/>
  <c r="K91" i="23" a="1"/>
  <c r="K91" i="23" s="1"/>
  <c r="I82" i="23" a="1"/>
  <c r="I82" i="23" s="1"/>
  <c r="G99" i="7" a="1"/>
  <c r="G99" i="7" s="1"/>
  <c r="H38" i="7" a="1"/>
  <c r="H38" i="7" s="1"/>
  <c r="J92" i="7" a="1"/>
  <c r="J92" i="7" s="1"/>
  <c r="K14" i="23" a="1"/>
  <c r="K14" i="23" s="1"/>
  <c r="G19" i="7" a="1"/>
  <c r="G19" i="7" s="1"/>
  <c r="G30" i="23" a="1"/>
  <c r="G30" i="23" s="1"/>
  <c r="J79" i="7" a="1"/>
  <c r="J79" i="7" s="1"/>
  <c r="H50" i="23" a="1"/>
  <c r="H50" i="23" s="1"/>
  <c r="K145" i="7" a="1"/>
  <c r="K145" i="7" s="1"/>
  <c r="I49" i="7" a="1"/>
  <c r="I49" i="7" s="1"/>
  <c r="K46" i="7" a="1"/>
  <c r="K46" i="7" s="1"/>
  <c r="I80" i="23" a="1"/>
  <c r="I80" i="23" s="1"/>
  <c r="J71" i="23" a="1"/>
  <c r="J71" i="23" s="1"/>
  <c r="I12" i="7" a="1"/>
  <c r="I12" i="7" s="1"/>
  <c r="K19" i="23" a="1"/>
  <c r="K19" i="23" s="1"/>
  <c r="G87" i="7" a="1"/>
  <c r="G87" i="7" s="1"/>
  <c r="I10" i="23" a="1"/>
  <c r="I10" i="23" s="1"/>
  <c r="K34" i="7" a="1"/>
  <c r="K34" i="7" s="1"/>
  <c r="G55" i="23" a="1"/>
  <c r="G55" i="23" s="1"/>
  <c r="J41" i="7" a="1"/>
  <c r="J41" i="7" s="1"/>
  <c r="I36" i="23" a="1"/>
  <c r="I36" i="23" s="1"/>
  <c r="J95" i="7" a="1"/>
  <c r="J95" i="7" s="1"/>
  <c r="L100" i="7" a="1"/>
  <c r="L100" i="7" s="1"/>
  <c r="J149" i="7" a="1"/>
  <c r="J149" i="7" s="1"/>
  <c r="J17" i="23" a="1"/>
  <c r="J17" i="23" s="1"/>
  <c r="L63" i="7" a="1"/>
  <c r="L63" i="7" s="1"/>
  <c r="L25" i="7" a="1"/>
  <c r="L25" i="7" s="1"/>
  <c r="K104" i="7" a="1"/>
  <c r="K104" i="7" s="1"/>
  <c r="J146" i="7" a="1"/>
  <c r="J146" i="7" s="1"/>
  <c r="L103" i="7" a="1"/>
  <c r="L103" i="7" s="1"/>
  <c r="I103" i="7" a="1"/>
  <c r="I103" i="7" s="1"/>
  <c r="L18" i="23" a="1"/>
  <c r="L18" i="23" s="1"/>
  <c r="J50" i="7" a="1"/>
  <c r="J50" i="7" s="1"/>
  <c r="H152" i="7" a="1"/>
  <c r="H152" i="7" s="1"/>
  <c r="G48" i="7" a="1"/>
  <c r="G48" i="7" s="1"/>
  <c r="J77" i="7" a="1"/>
  <c r="J77" i="7" s="1"/>
  <c r="H25" i="7" a="1"/>
  <c r="H25" i="7" s="1"/>
  <c r="G28" i="23" a="1"/>
  <c r="G28" i="23" s="1"/>
  <c r="J72" i="7" a="1"/>
  <c r="J72" i="7" s="1"/>
  <c r="L53" i="23" a="1"/>
  <c r="L53" i="23" s="1"/>
  <c r="H27" i="7" a="1"/>
  <c r="H27" i="7" s="1"/>
  <c r="I126" i="7" a="1"/>
  <c r="I126" i="7" s="1"/>
  <c r="K58" i="7" a="1"/>
  <c r="K58" i="7" s="1"/>
  <c r="K83" i="7" a="1"/>
  <c r="K83" i="7" s="1"/>
  <c r="L49" i="23" a="1"/>
  <c r="L49" i="23" s="1"/>
  <c r="J153" i="7" a="1"/>
  <c r="J153" i="7" s="1"/>
  <c r="J70" i="23" a="1"/>
  <c r="J70" i="23" s="1"/>
  <c r="H71" i="23" a="1"/>
  <c r="H71" i="23" s="1"/>
  <c r="H107" i="7" a="1"/>
  <c r="H107" i="7" s="1"/>
  <c r="K21" i="23" a="1"/>
  <c r="K21" i="23" s="1"/>
  <c r="G137" i="7" a="1"/>
  <c r="G137" i="7" s="1"/>
  <c r="G27" i="7" a="1"/>
  <c r="G27" i="7" s="1"/>
  <c r="K63" i="23" a="1"/>
  <c r="K63" i="23" s="1"/>
  <c r="K140" i="7" a="1"/>
  <c r="K140" i="7" s="1"/>
  <c r="K40" i="23" a="1"/>
  <c r="K40" i="23" s="1"/>
  <c r="I140" i="7" a="1"/>
  <c r="I140" i="7" s="1"/>
  <c r="J16" i="7" a="1"/>
  <c r="J16" i="7" s="1"/>
  <c r="I145" i="7" a="1"/>
  <c r="I145" i="7" s="1"/>
  <c r="K33" i="23" a="1"/>
  <c r="K33" i="23" s="1"/>
  <c r="K64" i="7" a="1"/>
  <c r="K64" i="7" s="1"/>
  <c r="K89" i="23" a="1"/>
  <c r="K89" i="23" s="1"/>
  <c r="I90" i="23" a="1"/>
  <c r="I90" i="23" s="1"/>
  <c r="K29" i="7" a="1"/>
  <c r="K29" i="7" s="1"/>
  <c r="J91" i="7" a="1"/>
  <c r="J91" i="7" s="1"/>
  <c r="L59" i="7" a="1"/>
  <c r="L59" i="7" s="1"/>
  <c r="G20" i="23" a="1"/>
  <c r="G20" i="23" s="1"/>
  <c r="L45" i="7" a="1"/>
  <c r="L45" i="7" s="1"/>
  <c r="G32" i="23" a="1"/>
  <c r="G32" i="23" s="1"/>
  <c r="K59" i="7" a="1"/>
  <c r="K59" i="7" s="1"/>
  <c r="H61" i="7" a="1"/>
  <c r="H61" i="7" s="1"/>
  <c r="I139" i="7" a="1"/>
  <c r="I139" i="7" s="1"/>
  <c r="G79" i="23" a="1"/>
  <c r="G79" i="23" s="1"/>
  <c r="G74" i="7" a="1"/>
  <c r="G74" i="7" s="1"/>
  <c r="L97" i="7" a="1"/>
  <c r="L97" i="7" s="1"/>
  <c r="L68" i="7" a="1"/>
  <c r="L68" i="7" s="1"/>
  <c r="K139" i="7" a="1"/>
  <c r="K139" i="7" s="1"/>
  <c r="I29" i="7" a="1"/>
  <c r="I29" i="7" s="1"/>
  <c r="G154" i="7" a="1"/>
  <c r="G154" i="7" s="1"/>
  <c r="J99" i="7" a="1"/>
  <c r="J99" i="7" s="1"/>
  <c r="L66" i="7" a="1"/>
  <c r="L66" i="7" s="1"/>
  <c r="L74" i="23" a="1"/>
  <c r="L74" i="23" s="1"/>
  <c r="L44" i="7" a="1"/>
  <c r="L44" i="7" s="1"/>
  <c r="H96" i="23" a="1"/>
  <c r="H96" i="23" s="1"/>
  <c r="H47" i="7" a="1"/>
  <c r="H47" i="7" s="1"/>
  <c r="G108" i="7" a="1"/>
  <c r="G108" i="7" s="1"/>
  <c r="I14" i="23" a="1"/>
  <c r="I14" i="23" s="1"/>
  <c r="I40" i="23" a="1"/>
  <c r="I40" i="23" s="1"/>
  <c r="G57" i="7" a="1"/>
  <c r="G57" i="7" s="1"/>
  <c r="J19" i="7" a="1"/>
  <c r="J19" i="7" s="1"/>
  <c r="J47" i="7" a="1"/>
  <c r="J47" i="7" s="1"/>
  <c r="I63" i="23" a="1"/>
  <c r="I63" i="23" s="1"/>
  <c r="L63" i="23" a="1"/>
  <c r="L63" i="23" s="1"/>
  <c r="H88" i="7" a="1"/>
  <c r="H88" i="7" s="1"/>
  <c r="G29" i="23" a="1"/>
  <c r="G29" i="23" s="1"/>
  <c r="G41" i="23" a="1"/>
  <c r="G41" i="23" s="1"/>
  <c r="L71" i="7" a="1"/>
  <c r="L71" i="7" s="1"/>
  <c r="G131" i="7" a="1"/>
  <c r="G131" i="7" s="1"/>
  <c r="I12" i="23" a="1"/>
  <c r="I12" i="23" s="1"/>
  <c r="I121" i="7" a="1"/>
  <c r="I121" i="7" s="1"/>
  <c r="I118" i="7" a="1"/>
  <c r="I118" i="7" s="1"/>
  <c r="I78" i="23" a="1"/>
  <c r="I78" i="23" s="1"/>
  <c r="H65" i="7" a="1"/>
  <c r="H65" i="7" s="1"/>
  <c r="L87" i="7" a="1"/>
  <c r="L87" i="7" s="1"/>
  <c r="H66" i="23" a="1"/>
  <c r="H66" i="23" s="1"/>
  <c r="J12" i="23" a="1"/>
  <c r="J12" i="23" s="1"/>
  <c r="J53" i="7" a="1"/>
  <c r="J53" i="7" s="1"/>
  <c r="G22" i="23" a="1"/>
  <c r="G22" i="23" s="1"/>
  <c r="G150" i="7" a="1"/>
  <c r="G150" i="7" s="1"/>
  <c r="L143" i="7" a="1"/>
  <c r="L143" i="7" s="1"/>
  <c r="G90" i="23" a="1"/>
  <c r="G90" i="23" s="1"/>
  <c r="K48" i="7" a="1"/>
  <c r="K48" i="7" s="1"/>
  <c r="J94" i="23" a="1"/>
  <c r="J94" i="23" s="1"/>
  <c r="I69" i="7" a="1"/>
  <c r="I69" i="7" s="1"/>
  <c r="G45" i="7" a="1"/>
  <c r="G45" i="7" s="1"/>
  <c r="J80" i="7" a="1"/>
  <c r="J80" i="7" s="1"/>
  <c r="I92" i="23" a="1"/>
  <c r="I92" i="23" s="1"/>
  <c r="K109" i="7" a="1"/>
  <c r="K109" i="7" s="1"/>
  <c r="K124" i="7" a="1"/>
  <c r="K124" i="7" s="1"/>
  <c r="L85" i="7" a="1"/>
  <c r="L85" i="7" s="1"/>
  <c r="G92" i="7" a="1"/>
  <c r="G92" i="7" s="1"/>
  <c r="H136" i="7" a="1"/>
  <c r="H136" i="7" s="1"/>
  <c r="L13" i="7" a="1"/>
  <c r="L13" i="7" s="1"/>
  <c r="I82" i="7" a="1"/>
  <c r="I82" i="7" s="1"/>
  <c r="L46" i="7" a="1"/>
  <c r="L46" i="7" s="1"/>
  <c r="J43" i="7" a="1"/>
  <c r="J43" i="7" s="1"/>
  <c r="H28" i="7" a="1"/>
  <c r="H28" i="7" s="1"/>
  <c r="I138" i="7" a="1"/>
  <c r="I138" i="7" s="1"/>
  <c r="K93" i="23" a="1"/>
  <c r="K93" i="23" s="1"/>
  <c r="I66" i="7" a="1"/>
  <c r="I66" i="7" s="1"/>
  <c r="G41" i="7" a="1"/>
  <c r="G41" i="7" s="1"/>
  <c r="G63" i="23" a="1"/>
  <c r="G63" i="23" s="1"/>
  <c r="H141" i="7" a="1"/>
  <c r="H141" i="7" s="1"/>
  <c r="J58" i="23" a="1"/>
  <c r="J58" i="23" s="1"/>
  <c r="L49" i="7" a="1"/>
  <c r="L49" i="7" s="1"/>
  <c r="J44" i="23" a="1"/>
  <c r="J44" i="23" s="1"/>
  <c r="I96" i="23" a="1"/>
  <c r="I96" i="23" s="1"/>
  <c r="G76" i="7" a="1"/>
  <c r="G76" i="7" s="1"/>
  <c r="L23" i="23" a="1"/>
  <c r="L23" i="23" s="1"/>
  <c r="I66" i="23" a="1"/>
  <c r="I66" i="23" s="1"/>
  <c r="G31" i="7" a="1"/>
  <c r="G31" i="7" s="1"/>
  <c r="H94" i="23" a="1"/>
  <c r="H94" i="23" s="1"/>
  <c r="I81" i="7" a="1"/>
  <c r="I81" i="7" s="1"/>
  <c r="L72" i="23" a="1"/>
  <c r="L72" i="23" s="1"/>
  <c r="G70" i="7" a="1"/>
  <c r="G70" i="7" s="1"/>
  <c r="I68" i="23" a="1"/>
  <c r="I68" i="23" s="1"/>
  <c r="K103" i="7" a="1"/>
  <c r="K103" i="7" s="1"/>
  <c r="I61" i="23" a="1"/>
  <c r="I61" i="23" s="1"/>
  <c r="J66" i="23" a="1"/>
  <c r="J66" i="23" s="1"/>
  <c r="H73" i="7" a="1"/>
  <c r="H73" i="7" s="1"/>
  <c r="L10" i="7" a="1"/>
  <c r="L10" i="7" s="1"/>
  <c r="I94" i="23" a="1"/>
  <c r="I94" i="23" s="1"/>
  <c r="H23" i="7" a="1"/>
  <c r="H23" i="7" s="1"/>
  <c r="J68" i="23" a="1"/>
  <c r="J68" i="23" s="1"/>
  <c r="H15" i="7" a="1"/>
  <c r="H15" i="7" s="1"/>
  <c r="I77" i="7" a="1"/>
  <c r="I77" i="7" s="1"/>
  <c r="L47" i="23" a="1"/>
  <c r="L47" i="23" s="1"/>
  <c r="J151" i="7" a="1"/>
  <c r="J151" i="7" s="1"/>
  <c r="G31" i="23" a="1"/>
  <c r="G31" i="23" s="1"/>
  <c r="L67" i="7" a="1"/>
  <c r="L67" i="7" s="1"/>
  <c r="H68" i="7" a="1"/>
  <c r="H68" i="7" s="1"/>
  <c r="J63" i="7" a="1"/>
  <c r="J63" i="7" s="1"/>
  <c r="J80" i="23" a="1"/>
  <c r="J80" i="23" s="1"/>
  <c r="I109" i="7" a="1"/>
  <c r="I109" i="7" s="1"/>
  <c r="J38" i="7" a="1"/>
  <c r="J38" i="7" s="1"/>
  <c r="H14" i="7" a="1"/>
  <c r="H14" i="7" s="1"/>
  <c r="I124" i="7" a="1"/>
  <c r="I124" i="7" s="1"/>
  <c r="I69" i="23" a="1"/>
  <c r="I69" i="23" s="1"/>
  <c r="K131" i="7" a="1"/>
  <c r="K131" i="7" s="1"/>
  <c r="L92" i="7" a="1"/>
  <c r="L92" i="7" s="1"/>
  <c r="H77" i="7" a="1"/>
  <c r="H77" i="7" s="1"/>
  <c r="J81" i="7" a="1"/>
  <c r="J81" i="7" s="1"/>
  <c r="G24" i="7" a="1"/>
  <c r="G24" i="7" s="1"/>
  <c r="I53" i="23" a="1"/>
  <c r="I53" i="23" s="1"/>
  <c r="J88" i="23" a="1"/>
  <c r="J88" i="23" s="1"/>
  <c r="H29" i="7" a="1"/>
  <c r="H29" i="7" s="1"/>
  <c r="G92" i="23" a="1"/>
  <c r="G92" i="23" s="1"/>
  <c r="H16" i="7" a="1"/>
  <c r="H16" i="7" s="1"/>
  <c r="L131" i="7" a="1"/>
  <c r="L131" i="7" s="1"/>
  <c r="J23" i="23" a="1"/>
  <c r="J23" i="23" s="1"/>
  <c r="G73" i="23" a="1"/>
  <c r="G73" i="23" s="1"/>
  <c r="K95" i="23" a="1"/>
  <c r="K95" i="23" s="1"/>
  <c r="K62" i="7" a="1"/>
  <c r="K62" i="7" s="1"/>
  <c r="K40" i="7" a="1"/>
  <c r="K40" i="7" s="1"/>
  <c r="J25" i="7" a="1"/>
  <c r="J25" i="7" s="1"/>
  <c r="L58" i="7" a="1"/>
  <c r="L58" i="7" s="1"/>
  <c r="I97" i="7" a="1"/>
  <c r="I97" i="7" s="1"/>
  <c r="J32" i="7" a="1"/>
  <c r="J32" i="7" s="1"/>
  <c r="J9" i="7" a="1"/>
  <c r="J9" i="7" s="1"/>
  <c r="J84" i="7" a="1"/>
  <c r="J84" i="7" s="1"/>
  <c r="J21" i="7" a="1"/>
  <c r="J21" i="7" s="1"/>
  <c r="L20" i="23" a="1"/>
  <c r="L20" i="23" s="1"/>
  <c r="G93" i="7" a="1"/>
  <c r="G93" i="7" s="1"/>
  <c r="G95" i="23" a="1"/>
  <c r="G95" i="23" s="1"/>
  <c r="G48" i="23" a="1"/>
  <c r="G48" i="23" s="1"/>
  <c r="J136" i="7" a="1"/>
  <c r="J136" i="7" s="1"/>
  <c r="G105" i="7" a="1"/>
  <c r="G105" i="7" s="1"/>
  <c r="H80" i="7" a="1"/>
  <c r="H80" i="7" s="1"/>
  <c r="L43" i="7" a="1"/>
  <c r="L43" i="7" s="1"/>
  <c r="H21" i="23" a="1"/>
  <c r="H21" i="23" s="1"/>
  <c r="H58" i="23" a="1"/>
  <c r="H58" i="23" s="1"/>
  <c r="L73" i="7" a="1"/>
  <c r="L73" i="7" s="1"/>
  <c r="G81" i="23" a="1"/>
  <c r="G81" i="23" s="1"/>
  <c r="I144" i="7" a="1"/>
  <c r="I144" i="7" s="1"/>
  <c r="G94" i="7" a="1"/>
  <c r="G94" i="7" s="1"/>
  <c r="I55" i="23" a="1"/>
  <c r="I55" i="23" s="1"/>
  <c r="I114" i="7" a="1"/>
  <c r="I114" i="7" s="1"/>
  <c r="L106" i="7" a="1"/>
  <c r="L106" i="7" s="1"/>
  <c r="K95" i="7" a="1"/>
  <c r="K95" i="7" s="1"/>
  <c r="J152" i="7" a="1"/>
  <c r="J152" i="7" s="1"/>
  <c r="H131" i="7" a="1"/>
  <c r="H131" i="7" s="1"/>
  <c r="H17" i="7" a="1"/>
  <c r="H17" i="7" s="1"/>
  <c r="H35" i="23" a="1"/>
  <c r="H35" i="23" s="1"/>
  <c r="L35" i="7" a="1"/>
  <c r="L35" i="7" s="1"/>
  <c r="H84" i="7" a="1"/>
  <c r="H84" i="7" s="1"/>
  <c r="L31" i="23" a="1"/>
  <c r="L31" i="23" s="1"/>
  <c r="J66" i="7" a="1"/>
  <c r="J66" i="7" s="1"/>
  <c r="G83" i="7" a="1"/>
  <c r="G83" i="7" s="1"/>
  <c r="G32" i="7" a="1"/>
  <c r="G32" i="7" s="1"/>
  <c r="I152" i="7" a="1"/>
  <c r="I152" i="7" s="1"/>
  <c r="H48" i="7" a="1"/>
  <c r="H48" i="7" s="1"/>
  <c r="I115" i="7" a="1"/>
  <c r="I115" i="7" s="1"/>
  <c r="L50" i="23" a="1"/>
  <c r="L50" i="23" s="1"/>
  <c r="G72" i="23" a="1"/>
  <c r="G72" i="23" s="1"/>
  <c r="K50" i="23" a="1"/>
  <c r="K50" i="23" s="1"/>
  <c r="G18" i="7" a="1"/>
  <c r="G18" i="7" s="1"/>
  <c r="J76" i="23" a="1"/>
  <c r="J76" i="23" s="1"/>
  <c r="J107" i="7" a="1"/>
  <c r="J107" i="7" s="1"/>
  <c r="I91" i="23" a="1"/>
  <c r="I91" i="23" s="1"/>
  <c r="J30" i="23" a="1"/>
  <c r="J30" i="23" s="1"/>
  <c r="I72" i="23" a="1"/>
  <c r="I72" i="23" s="1"/>
  <c r="H18" i="23" a="1"/>
  <c r="H18" i="23" s="1"/>
  <c r="J11" i="23" a="1"/>
  <c r="J11" i="23" s="1"/>
  <c r="N38" i="24" a="1"/>
  <c r="N38" i="24" s="1"/>
  <c r="G36" i="7" a="1"/>
  <c r="G36" i="7" s="1"/>
  <c r="L33" i="7" a="1"/>
  <c r="L33" i="7" s="1"/>
  <c r="L45" i="23" a="1"/>
  <c r="L45" i="23" s="1"/>
  <c r="K81" i="7" a="1"/>
  <c r="K81" i="7" s="1"/>
  <c r="K67" i="23" a="1"/>
  <c r="K67" i="23" s="1"/>
  <c r="L84" i="7" a="1"/>
  <c r="L84" i="7" s="1"/>
  <c r="K73" i="7" a="1"/>
  <c r="K73" i="7" s="1"/>
  <c r="J41" i="23" a="1"/>
  <c r="J41" i="23" s="1"/>
  <c r="J51" i="7" a="1"/>
  <c r="J51" i="7" s="1"/>
  <c r="J29" i="7" a="1"/>
  <c r="J29" i="7" s="1"/>
  <c r="L38" i="23" a="1"/>
  <c r="L38" i="23" s="1"/>
  <c r="J79" i="23" a="1"/>
  <c r="J79" i="23" s="1"/>
  <c r="G41" i="24" a="1"/>
  <c r="G41" i="24" s="1"/>
  <c r="K41" i="24" a="1"/>
  <c r="K41" i="24" s="1"/>
  <c r="I37" i="24" a="1"/>
  <c r="I37" i="24" s="1"/>
  <c r="I40" i="24" a="1"/>
  <c r="I40" i="24" s="1"/>
  <c r="G34" i="24" a="1"/>
  <c r="G34" i="24" s="1"/>
  <c r="J35" i="24" a="1"/>
  <c r="J35" i="24" s="1"/>
  <c r="G36" i="24" a="1"/>
  <c r="G36" i="24" s="1"/>
  <c r="I39" i="24" a="1"/>
  <c r="I39" i="24" s="1"/>
  <c r="I38" i="24" a="1"/>
  <c r="I38" i="24" s="1"/>
  <c r="K37" i="24" a="1"/>
  <c r="K37" i="24" s="1"/>
  <c r="J34" i="24" a="1"/>
  <c r="J34" i="24" s="1"/>
  <c r="G40" i="24" a="1"/>
  <c r="G40" i="24" s="1"/>
  <c r="L36" i="24" a="1"/>
  <c r="L36" i="24" s="1"/>
  <c r="H35" i="24" a="1"/>
  <c r="H35" i="24" s="1"/>
  <c r="N57" i="26" a="1"/>
  <c r="N57" i="26" s="1"/>
  <c r="N78" i="26" a="1"/>
  <c r="N78" i="26" s="1"/>
  <c r="N49" i="26" a="1"/>
  <c r="N49" i="26" s="1"/>
  <c r="N43" i="26" a="1"/>
  <c r="N43" i="26" s="1"/>
  <c r="N80" i="26" a="1"/>
  <c r="N80" i="26" s="1"/>
  <c r="L9" i="26" a="1"/>
  <c r="L9" i="26" s="1"/>
  <c r="N82" i="26" a="1"/>
  <c r="N82" i="26" s="1"/>
  <c r="N83" i="26" a="1"/>
  <c r="N83" i="26" s="1"/>
  <c r="N54" i="26" a="1"/>
  <c r="N54" i="26" s="1"/>
  <c r="N18" i="26" a="1"/>
  <c r="N18" i="26" s="1"/>
  <c r="N85" i="26" a="1"/>
  <c r="N85" i="26" s="1"/>
  <c r="N9" i="26" a="1"/>
  <c r="N9" i="26" s="1"/>
  <c r="N87" i="26" a="1"/>
  <c r="N87" i="26" s="1"/>
  <c r="N88" i="26" a="1"/>
  <c r="N88" i="26" s="1"/>
  <c r="N59" i="26" a="1"/>
  <c r="N59" i="26" s="1"/>
  <c r="N10" i="26" a="1"/>
  <c r="N10" i="26" s="1"/>
  <c r="N90" i="26" a="1"/>
  <c r="N90" i="26" s="1"/>
  <c r="N41" i="26" a="1"/>
  <c r="N41" i="26" s="1"/>
  <c r="N72" i="26" a="1"/>
  <c r="N72" i="26" s="1"/>
  <c r="N73" i="26" a="1"/>
  <c r="N73" i="26" s="1"/>
  <c r="N44" i="26" a="1"/>
  <c r="N44" i="26" s="1"/>
  <c r="N13" i="26" a="1"/>
  <c r="N13" i="26" s="1"/>
  <c r="N75" i="26" a="1"/>
  <c r="N75" i="26" s="1"/>
  <c r="G23" i="26" a="1"/>
  <c r="G23" i="26" s="1"/>
  <c r="G39" i="26" a="1"/>
  <c r="G39" i="26" s="1"/>
  <c r="G55" i="26" a="1"/>
  <c r="G55" i="26" s="1"/>
  <c r="G71" i="26" a="1"/>
  <c r="G71" i="26" s="1"/>
  <c r="G87" i="26" a="1"/>
  <c r="G87" i="26" s="1"/>
  <c r="H16" i="26" a="1"/>
  <c r="H16" i="26" s="1"/>
  <c r="H32" i="26" a="1"/>
  <c r="H32" i="26" s="1"/>
  <c r="H48" i="26" a="1"/>
  <c r="H48" i="26" s="1"/>
  <c r="H64" i="26" a="1"/>
  <c r="H64" i="26" s="1"/>
  <c r="H80" i="26" a="1"/>
  <c r="H80" i="26" s="1"/>
  <c r="I10" i="26" a="1"/>
  <c r="I10" i="26" s="1"/>
  <c r="I26" i="26" a="1"/>
  <c r="I26" i="26" s="1"/>
  <c r="I42" i="26" a="1"/>
  <c r="I42" i="26" s="1"/>
  <c r="I58" i="26" a="1"/>
  <c r="I58" i="26" s="1"/>
  <c r="I74" i="26" a="1"/>
  <c r="I74" i="26" s="1"/>
  <c r="I90" i="26" a="1"/>
  <c r="I90" i="26" s="1"/>
  <c r="J19" i="26" a="1"/>
  <c r="J19" i="26" s="1"/>
  <c r="J35" i="26" a="1"/>
  <c r="J35" i="26" s="1"/>
  <c r="J51" i="26" a="1"/>
  <c r="J51" i="26" s="1"/>
  <c r="J67" i="26" a="1"/>
  <c r="J67" i="26" s="1"/>
  <c r="J83" i="26" a="1"/>
  <c r="J83" i="26" s="1"/>
  <c r="K12" i="26" a="1"/>
  <c r="K12" i="26" s="1"/>
  <c r="K28" i="26" a="1"/>
  <c r="K28" i="26" s="1"/>
  <c r="K44" i="26" a="1"/>
  <c r="K44" i="26" s="1"/>
  <c r="K60" i="26" a="1"/>
  <c r="K60" i="26" s="1"/>
  <c r="K76" i="26" a="1"/>
  <c r="K76" i="26" s="1"/>
  <c r="K92" i="26" a="1"/>
  <c r="K92" i="26" s="1"/>
  <c r="L21" i="26" a="1"/>
  <c r="L21" i="26" s="1"/>
  <c r="L37" i="26" a="1"/>
  <c r="L37" i="26" s="1"/>
  <c r="L53" i="26" a="1"/>
  <c r="L53" i="26" s="1"/>
  <c r="L69" i="26" a="1"/>
  <c r="L69" i="26" s="1"/>
  <c r="L85" i="26" a="1"/>
  <c r="L85" i="26" s="1"/>
  <c r="M14" i="26" a="1"/>
  <c r="M14" i="26" s="1"/>
  <c r="M30" i="26" a="1"/>
  <c r="M30" i="26" s="1"/>
  <c r="M46" i="26" a="1"/>
  <c r="M46" i="26" s="1"/>
  <c r="M62" i="26" a="1"/>
  <c r="M62" i="26" s="1"/>
  <c r="G15" i="26" a="1"/>
  <c r="G15" i="26" s="1"/>
  <c r="G32" i="26" a="1"/>
  <c r="G32" i="26" s="1"/>
  <c r="G48" i="26" a="1"/>
  <c r="G48" i="26" s="1"/>
  <c r="G64" i="26" a="1"/>
  <c r="G64" i="26" s="1"/>
  <c r="G80" i="26" a="1"/>
  <c r="G80" i="26" s="1"/>
  <c r="H25" i="26" a="1"/>
  <c r="H25" i="26" s="1"/>
  <c r="H41" i="26" a="1"/>
  <c r="H41" i="26" s="1"/>
  <c r="H57" i="26" a="1"/>
  <c r="H57" i="26" s="1"/>
  <c r="H73" i="26" a="1"/>
  <c r="H73" i="26" s="1"/>
  <c r="H89" i="26" a="1"/>
  <c r="H89" i="26" s="1"/>
  <c r="I19" i="26" a="1"/>
  <c r="I19" i="26" s="1"/>
  <c r="I35" i="26" a="1"/>
  <c r="I35" i="26" s="1"/>
  <c r="I51" i="26" a="1"/>
  <c r="I51" i="26" s="1"/>
  <c r="I67" i="26" a="1"/>
  <c r="I67" i="26" s="1"/>
  <c r="I83" i="26" a="1"/>
  <c r="I83" i="26" s="1"/>
  <c r="J12" i="26" a="1"/>
  <c r="J12" i="26" s="1"/>
  <c r="J28" i="26" a="1"/>
  <c r="J28" i="26" s="1"/>
  <c r="J44" i="26" a="1"/>
  <c r="J44" i="26" s="1"/>
  <c r="J60" i="26" a="1"/>
  <c r="J60" i="26" s="1"/>
  <c r="J76" i="26" a="1"/>
  <c r="J76" i="26" s="1"/>
  <c r="J92" i="26" a="1"/>
  <c r="J92" i="26" s="1"/>
  <c r="K21" i="26" a="1"/>
  <c r="K21" i="26" s="1"/>
  <c r="K37" i="26" a="1"/>
  <c r="K37" i="26" s="1"/>
  <c r="K53" i="26" a="1"/>
  <c r="K53" i="26" s="1"/>
  <c r="K69" i="26" a="1"/>
  <c r="K69" i="26" s="1"/>
  <c r="K85" i="26" a="1"/>
  <c r="K85" i="26" s="1"/>
  <c r="L14" i="26" a="1"/>
  <c r="L14" i="26" s="1"/>
  <c r="L30" i="26" a="1"/>
  <c r="L30" i="26" s="1"/>
  <c r="L46" i="26" a="1"/>
  <c r="L46" i="26" s="1"/>
  <c r="L62" i="26" a="1"/>
  <c r="L62" i="26" s="1"/>
  <c r="L78" i="26" a="1"/>
  <c r="L78" i="26" s="1"/>
  <c r="L94" i="26" a="1"/>
  <c r="L94" i="26" s="1"/>
  <c r="M23" i="26" a="1"/>
  <c r="M23" i="26" s="1"/>
  <c r="M39" i="26" a="1"/>
  <c r="M39" i="26" s="1"/>
  <c r="M55" i="26" a="1"/>
  <c r="M55" i="26" s="1"/>
  <c r="M93" i="26" a="1"/>
  <c r="M93" i="26" s="1"/>
  <c r="G25" i="26" a="1"/>
  <c r="G25" i="26" s="1"/>
  <c r="G41" i="26" a="1"/>
  <c r="G41" i="26" s="1"/>
  <c r="G57" i="26" a="1"/>
  <c r="G57" i="26" s="1"/>
  <c r="G73" i="26" a="1"/>
  <c r="G73" i="26" s="1"/>
  <c r="G89" i="26" a="1"/>
  <c r="G89" i="26" s="1"/>
  <c r="H18" i="26" a="1"/>
  <c r="H18" i="26" s="1"/>
  <c r="H34" i="26" a="1"/>
  <c r="H34" i="26" s="1"/>
  <c r="H50" i="26" a="1"/>
  <c r="H50" i="26" s="1"/>
  <c r="H66" i="26" a="1"/>
  <c r="H66" i="26" s="1"/>
  <c r="H82" i="26" a="1"/>
  <c r="H82" i="26" s="1"/>
  <c r="I12" i="26" a="1"/>
  <c r="I12" i="26" s="1"/>
  <c r="I28" i="26" a="1"/>
  <c r="I28" i="26" s="1"/>
  <c r="I44" i="26" a="1"/>
  <c r="I44" i="26" s="1"/>
  <c r="I60" i="26" a="1"/>
  <c r="I60" i="26" s="1"/>
  <c r="I76" i="26" a="1"/>
  <c r="I76" i="26" s="1"/>
  <c r="I92" i="26" a="1"/>
  <c r="I92" i="26" s="1"/>
  <c r="J21" i="26" a="1"/>
  <c r="J21" i="26" s="1"/>
  <c r="J37" i="26" a="1"/>
  <c r="J37" i="26" s="1"/>
  <c r="J53" i="26" a="1"/>
  <c r="J53" i="26" s="1"/>
  <c r="J69" i="26" a="1"/>
  <c r="J69" i="26" s="1"/>
  <c r="J85" i="26" a="1"/>
  <c r="J85" i="26" s="1"/>
  <c r="K14" i="26" a="1"/>
  <c r="K14" i="26" s="1"/>
  <c r="K30" i="26" a="1"/>
  <c r="K30" i="26" s="1"/>
  <c r="K46" i="26" a="1"/>
  <c r="K46" i="26" s="1"/>
  <c r="K62" i="26" a="1"/>
  <c r="K62" i="26" s="1"/>
  <c r="K78" i="26" a="1"/>
  <c r="K78" i="26" s="1"/>
  <c r="K94" i="26" a="1"/>
  <c r="K94" i="26" s="1"/>
  <c r="L23" i="26" a="1"/>
  <c r="L23" i="26" s="1"/>
  <c r="L39" i="26" a="1"/>
  <c r="L39" i="26" s="1"/>
  <c r="L55" i="26" a="1"/>
  <c r="L55" i="26" s="1"/>
  <c r="L71" i="26" a="1"/>
  <c r="L71" i="26" s="1"/>
  <c r="L87" i="26" a="1"/>
  <c r="L87" i="26" s="1"/>
  <c r="M16" i="26" a="1"/>
  <c r="M16" i="26" s="1"/>
  <c r="M32" i="26" a="1"/>
  <c r="M32" i="26" s="1"/>
  <c r="M48" i="26" a="1"/>
  <c r="M48" i="26" s="1"/>
  <c r="M65" i="26" a="1"/>
  <c r="M65" i="26" s="1"/>
  <c r="G18" i="26" a="1"/>
  <c r="G18" i="26" s="1"/>
  <c r="G34" i="26" a="1"/>
  <c r="G34" i="26" s="1"/>
  <c r="G50" i="26" a="1"/>
  <c r="G50" i="26" s="1"/>
  <c r="G66" i="26" a="1"/>
  <c r="G66" i="26" s="1"/>
  <c r="G82" i="26" a="1"/>
  <c r="G82" i="26" s="1"/>
  <c r="H11" i="26" a="1"/>
  <c r="H11" i="26" s="1"/>
  <c r="H27" i="26" a="1"/>
  <c r="H27" i="26" s="1"/>
  <c r="H43" i="26" a="1"/>
  <c r="H43" i="26" s="1"/>
  <c r="H59" i="26" a="1"/>
  <c r="H59" i="26" s="1"/>
  <c r="H75" i="26" a="1"/>
  <c r="H75" i="26" s="1"/>
  <c r="H91" i="26" a="1"/>
  <c r="H91" i="26" s="1"/>
  <c r="I21" i="26" a="1"/>
  <c r="I21" i="26" s="1"/>
  <c r="I37" i="26" a="1"/>
  <c r="I37" i="26" s="1"/>
  <c r="I53" i="26" a="1"/>
  <c r="I53" i="26" s="1"/>
  <c r="I69" i="26" a="1"/>
  <c r="I69" i="26" s="1"/>
  <c r="I85" i="26" a="1"/>
  <c r="I85" i="26" s="1"/>
  <c r="J14" i="26" a="1"/>
  <c r="J14" i="26" s="1"/>
  <c r="J30" i="26" a="1"/>
  <c r="J30" i="26" s="1"/>
  <c r="J46" i="26" a="1"/>
  <c r="J46" i="26" s="1"/>
  <c r="J62" i="26" a="1"/>
  <c r="J62" i="26" s="1"/>
  <c r="J78" i="26" a="1"/>
  <c r="J78" i="26" s="1"/>
  <c r="J94" i="26" a="1"/>
  <c r="J94" i="26" s="1"/>
  <c r="K23" i="26" a="1"/>
  <c r="K23" i="26" s="1"/>
  <c r="K39" i="26" a="1"/>
  <c r="K39" i="26" s="1"/>
  <c r="K55" i="26" a="1"/>
  <c r="K55" i="26" s="1"/>
  <c r="K71" i="26" a="1"/>
  <c r="K71" i="26" s="1"/>
  <c r="K87" i="26" a="1"/>
  <c r="K87" i="26" s="1"/>
  <c r="L16" i="26" a="1"/>
  <c r="L16" i="26" s="1"/>
  <c r="L32" i="26" a="1"/>
  <c r="L32" i="26" s="1"/>
  <c r="L48" i="26" a="1"/>
  <c r="L48" i="26" s="1"/>
  <c r="L64" i="26" a="1"/>
  <c r="L64" i="26" s="1"/>
  <c r="L80" i="26" a="1"/>
  <c r="L80" i="26" s="1"/>
  <c r="M25" i="26" a="1"/>
  <c r="M25" i="26" s="1"/>
  <c r="M41" i="26" a="1"/>
  <c r="M41" i="26" s="1"/>
  <c r="M57" i="26" a="1"/>
  <c r="M57" i="26" s="1"/>
  <c r="M66" i="26" a="1"/>
  <c r="M66" i="26" s="1"/>
  <c r="M82" i="26" a="1"/>
  <c r="M82" i="26" s="1"/>
  <c r="M67" i="26" a="1"/>
  <c r="M67" i="26" s="1"/>
  <c r="M83" i="26" a="1"/>
  <c r="M83" i="26" s="1"/>
  <c r="M64" i="26" a="1"/>
  <c r="M64" i="26" s="1"/>
  <c r="M80" i="26" a="1"/>
  <c r="M80" i="26" s="1"/>
  <c r="K15" i="7" a="1"/>
  <c r="K15" i="7" s="1"/>
  <c r="J130" i="7" a="1"/>
  <c r="J130" i="7" s="1"/>
  <c r="L86" i="7" a="1"/>
  <c r="L86" i="7" s="1"/>
  <c r="L9" i="7" a="1"/>
  <c r="L9" i="7" s="1"/>
  <c r="G144" i="7" a="1"/>
  <c r="G144" i="7" s="1"/>
  <c r="K151" i="7" a="1"/>
  <c r="K151" i="7" s="1"/>
  <c r="H106" i="7" a="1"/>
  <c r="H106" i="7" s="1"/>
  <c r="G9" i="7" a="1"/>
  <c r="G9" i="7" s="1"/>
  <c r="H79" i="7" a="1"/>
  <c r="H79" i="7" s="1"/>
  <c r="H49" i="7" a="1"/>
  <c r="H49" i="7" s="1"/>
  <c r="L96" i="7" a="1"/>
  <c r="L96" i="7" s="1"/>
  <c r="K133" i="7" a="1"/>
  <c r="K133" i="7" s="1"/>
  <c r="K127" i="7" a="1"/>
  <c r="K127" i="7" s="1"/>
  <c r="J103" i="7" a="1"/>
  <c r="J103" i="7" s="1"/>
  <c r="H33" i="23" a="1"/>
  <c r="H33" i="23" s="1"/>
  <c r="G153" i="7" a="1"/>
  <c r="G153" i="7" s="1"/>
  <c r="K86" i="23" a="1"/>
  <c r="K86" i="23" s="1"/>
  <c r="I20" i="7" a="1"/>
  <c r="I20" i="7" s="1"/>
  <c r="J27" i="7" a="1"/>
  <c r="J27" i="7" s="1"/>
  <c r="G16" i="23" a="1"/>
  <c r="G16" i="23" s="1"/>
  <c r="K56" i="23" a="1"/>
  <c r="K56" i="23" s="1"/>
  <c r="G84" i="7" a="1"/>
  <c r="G84" i="7" s="1"/>
  <c r="H19" i="23" a="1"/>
  <c r="H19" i="23" s="1"/>
  <c r="G15" i="7" a="1"/>
  <c r="G15" i="7" s="1"/>
  <c r="I91" i="7" a="1"/>
  <c r="I91" i="7" s="1"/>
  <c r="J77" i="23" a="1"/>
  <c r="J77" i="23" s="1"/>
  <c r="I19" i="7" a="1"/>
  <c r="I19" i="7" s="1"/>
  <c r="K51" i="23" a="1"/>
  <c r="K51" i="23" s="1"/>
  <c r="K93" i="7" a="1"/>
  <c r="K93" i="7" s="1"/>
  <c r="K54" i="23" a="1"/>
  <c r="K54" i="23" s="1"/>
  <c r="K121" i="7" a="1"/>
  <c r="K121" i="7" s="1"/>
  <c r="G34" i="23" a="1"/>
  <c r="G34" i="23" s="1"/>
  <c r="J89" i="23" a="1"/>
  <c r="J89" i="23" s="1"/>
  <c r="K76" i="7" a="1"/>
  <c r="K76" i="7" s="1"/>
  <c r="H73" i="23" a="1"/>
  <c r="H73" i="23" s="1"/>
  <c r="H125" i="7" a="1"/>
  <c r="H125" i="7" s="1"/>
  <c r="H10" i="23" a="1"/>
  <c r="H10" i="23" s="1"/>
  <c r="H83" i="23" a="1"/>
  <c r="H83" i="23" s="1"/>
  <c r="L112" i="7" a="1"/>
  <c r="L112" i="7" s="1"/>
  <c r="K18" i="7" a="1"/>
  <c r="K18" i="7" s="1"/>
  <c r="I27" i="7" a="1"/>
  <c r="I27" i="7" s="1"/>
  <c r="H36" i="23" a="1"/>
  <c r="H36" i="23" s="1"/>
  <c r="J18" i="7" a="1"/>
  <c r="J18" i="7" s="1"/>
  <c r="H92" i="23" a="1"/>
  <c r="H92" i="23" s="1"/>
  <c r="H58" i="7" a="1"/>
  <c r="H58" i="7" s="1"/>
  <c r="H78" i="23" a="1"/>
  <c r="H78" i="23" s="1"/>
  <c r="L40" i="7" a="1"/>
  <c r="L40" i="7" s="1"/>
  <c r="H69" i="7" a="1"/>
  <c r="H69" i="7" s="1"/>
  <c r="K148" i="7" a="1"/>
  <c r="K148" i="7" s="1"/>
  <c r="G67" i="23" a="1"/>
  <c r="G67" i="23" s="1"/>
  <c r="G79" i="7" a="1"/>
  <c r="G79" i="7" s="1"/>
  <c r="G63" i="7" a="1"/>
  <c r="G63" i="7" s="1"/>
  <c r="G125" i="7" a="1"/>
  <c r="G125" i="7" s="1"/>
  <c r="I85" i="23" a="1"/>
  <c r="I85" i="23" s="1"/>
  <c r="G82" i="23" a="1"/>
  <c r="G82" i="23" s="1"/>
  <c r="I100" i="7" a="1"/>
  <c r="I100" i="7" s="1"/>
  <c r="I108" i="7" a="1"/>
  <c r="I108" i="7" s="1"/>
  <c r="K35" i="7" a="1"/>
  <c r="K35" i="7" s="1"/>
  <c r="J12" i="7" a="1"/>
  <c r="J12" i="7" s="1"/>
  <c r="H100" i="7" a="1"/>
  <c r="H100" i="7" s="1"/>
  <c r="G39" i="23" a="1"/>
  <c r="G39" i="23" s="1"/>
  <c r="G86" i="7" a="1"/>
  <c r="G86" i="7" s="1"/>
  <c r="I133" i="7" a="1"/>
  <c r="I133" i="7" s="1"/>
  <c r="K61" i="7" a="1"/>
  <c r="K61" i="7" s="1"/>
  <c r="I54" i="23" a="1"/>
  <c r="I54" i="23" s="1"/>
  <c r="L22" i="7" a="1"/>
  <c r="L22" i="7" s="1"/>
  <c r="H82" i="23" a="1"/>
  <c r="H82" i="23" s="1"/>
  <c r="G142" i="7" a="1"/>
  <c r="G142" i="7" s="1"/>
  <c r="K80" i="7" a="1"/>
  <c r="K80" i="7" s="1"/>
  <c r="H45" i="23" a="1"/>
  <c r="H45" i="23" s="1"/>
  <c r="L94" i="7" a="1"/>
  <c r="L94" i="7" s="1"/>
  <c r="L41" i="7" a="1"/>
  <c r="L41" i="7" s="1"/>
  <c r="J15" i="7" a="1"/>
  <c r="J15" i="7" s="1"/>
  <c r="I26" i="23" a="1"/>
  <c r="I26" i="23" s="1"/>
  <c r="K60" i="7" a="1"/>
  <c r="K60" i="7" s="1"/>
  <c r="L113" i="7" a="1"/>
  <c r="L113" i="7" s="1"/>
  <c r="L9" i="23" a="1"/>
  <c r="L9" i="23" s="1"/>
  <c r="L32" i="7" a="1"/>
  <c r="L32" i="7" s="1"/>
  <c r="H87" i="23" a="1"/>
  <c r="H87" i="23" s="1"/>
  <c r="L75" i="23" a="1"/>
  <c r="L75" i="23" s="1"/>
  <c r="J132" i="7" a="1"/>
  <c r="J132" i="7" s="1"/>
  <c r="I9" i="7" a="1"/>
  <c r="I9" i="7" s="1"/>
  <c r="I24" i="7" a="1"/>
  <c r="I24" i="7" s="1"/>
  <c r="J75" i="23" a="1"/>
  <c r="J75" i="23" s="1"/>
  <c r="H43" i="23" a="1"/>
  <c r="H43" i="23" s="1"/>
  <c r="K132" i="7" a="1"/>
  <c r="K132" i="7" s="1"/>
  <c r="G129" i="7" a="1"/>
  <c r="G129" i="7" s="1"/>
  <c r="G66" i="23" a="1"/>
  <c r="G66" i="23" s="1"/>
  <c r="L29" i="7" a="1"/>
  <c r="L29" i="7" s="1"/>
  <c r="G17" i="7" a="1"/>
  <c r="G17" i="7" s="1"/>
  <c r="I50" i="23" a="1"/>
  <c r="I50" i="23" s="1"/>
  <c r="L80" i="23" a="1"/>
  <c r="L80" i="23" s="1"/>
  <c r="L20" i="7" a="1"/>
  <c r="L20" i="7" s="1"/>
  <c r="H95" i="23" a="1"/>
  <c r="H95" i="23" s="1"/>
  <c r="K113" i="7" a="1"/>
  <c r="K113" i="7" s="1"/>
  <c r="L153" i="7" a="1"/>
  <c r="L153" i="7" s="1"/>
  <c r="G88" i="7" a="1"/>
  <c r="G88" i="7" s="1"/>
  <c r="I141" i="7" a="1"/>
  <c r="I141" i="7" s="1"/>
  <c r="G21" i="7" a="1"/>
  <c r="G21" i="7" s="1"/>
  <c r="K91" i="7" a="1"/>
  <c r="K91" i="7" s="1"/>
  <c r="J87" i="7" a="1"/>
  <c r="J87" i="7" s="1"/>
  <c r="H117" i="7" a="1"/>
  <c r="H117" i="7" s="1"/>
  <c r="H86" i="7" a="1"/>
  <c r="H86" i="7" s="1"/>
  <c r="I117" i="7" a="1"/>
  <c r="I117" i="7" s="1"/>
  <c r="K85" i="7" a="1"/>
  <c r="K85" i="7" s="1"/>
  <c r="L136" i="7" a="1"/>
  <c r="L136" i="7" s="1"/>
  <c r="K54" i="7" a="1"/>
  <c r="K54" i="7" s="1"/>
  <c r="K105" i="7" a="1"/>
  <c r="K105" i="7" s="1"/>
  <c r="K33" i="7" a="1"/>
  <c r="K33" i="7" s="1"/>
  <c r="I44" i="23" a="1"/>
  <c r="I44" i="23" s="1"/>
  <c r="K152" i="7" a="1"/>
  <c r="K152" i="7" s="1"/>
  <c r="I77" i="23" a="1"/>
  <c r="I77" i="23" s="1"/>
  <c r="L50" i="7" a="1"/>
  <c r="L50" i="7" s="1"/>
  <c r="H147" i="7" a="1"/>
  <c r="H147" i="7" s="1"/>
  <c r="H56" i="23" a="1"/>
  <c r="H56" i="23" s="1"/>
  <c r="I70" i="23" a="1"/>
  <c r="I70" i="23" s="1"/>
  <c r="I130" i="7" a="1"/>
  <c r="I130" i="7" s="1"/>
  <c r="G87" i="23" a="1"/>
  <c r="G87" i="23" s="1"/>
  <c r="K30" i="7" a="1"/>
  <c r="K30" i="7" s="1"/>
  <c r="I80" i="7" a="1"/>
  <c r="I80" i="7" s="1"/>
  <c r="I33" i="23" a="1"/>
  <c r="I33" i="23" s="1"/>
  <c r="H145" i="7" a="1"/>
  <c r="H145" i="7" s="1"/>
  <c r="H68" i="23" a="1"/>
  <c r="H68" i="23" s="1"/>
  <c r="J63" i="23" a="1"/>
  <c r="J63" i="23" s="1"/>
  <c r="J40" i="23" a="1"/>
  <c r="J40" i="23" s="1"/>
  <c r="H148" i="7" a="1"/>
  <c r="H148" i="7" s="1"/>
  <c r="I75" i="23" a="1"/>
  <c r="I75" i="23" s="1"/>
  <c r="L35" i="23" a="1"/>
  <c r="L35" i="23" s="1"/>
  <c r="H54" i="7" a="1"/>
  <c r="H54" i="7" s="1"/>
  <c r="K47" i="23" a="1"/>
  <c r="K47" i="23" s="1"/>
  <c r="I137" i="7" a="1"/>
  <c r="I137" i="7" s="1"/>
  <c r="J26" i="7" a="1"/>
  <c r="J26" i="7" s="1"/>
  <c r="J35" i="7" a="1"/>
  <c r="J35" i="7" s="1"/>
  <c r="L77" i="23" a="1"/>
  <c r="L77" i="23" s="1"/>
  <c r="I34" i="7" a="1"/>
  <c r="I34" i="7" s="1"/>
  <c r="J61" i="7" a="1"/>
  <c r="J61" i="7" s="1"/>
  <c r="H76" i="23" a="1"/>
  <c r="H76" i="23" s="1"/>
  <c r="L146" i="7" a="1"/>
  <c r="L146" i="7" s="1"/>
  <c r="K75" i="23" a="1"/>
  <c r="K75" i="23" s="1"/>
  <c r="I52" i="7" a="1"/>
  <c r="I52" i="7" s="1"/>
  <c r="I96" i="7" a="1"/>
  <c r="I96" i="7" s="1"/>
  <c r="H55" i="23" a="1"/>
  <c r="H55" i="23" s="1"/>
  <c r="J113" i="7" a="1"/>
  <c r="J113" i="7" s="1"/>
  <c r="K85" i="23" a="1"/>
  <c r="K85" i="23" s="1"/>
  <c r="I110" i="7" a="1"/>
  <c r="I110" i="7" s="1"/>
  <c r="H19" i="7" a="1"/>
  <c r="H19" i="7" s="1"/>
  <c r="G147" i="7" a="1"/>
  <c r="G147" i="7" s="1"/>
  <c r="J83" i="23" a="1"/>
  <c r="J83" i="23" s="1"/>
  <c r="G95" i="7" a="1"/>
  <c r="G95" i="7" s="1"/>
  <c r="L85" i="23" a="1"/>
  <c r="L85" i="23" s="1"/>
  <c r="G53" i="7" a="1"/>
  <c r="G53" i="7" s="1"/>
  <c r="K42" i="7" a="1"/>
  <c r="K42" i="7" s="1"/>
  <c r="J73" i="7" a="1"/>
  <c r="J73" i="7" s="1"/>
  <c r="J24" i="7" a="1"/>
  <c r="J24" i="7" s="1"/>
  <c r="H127" i="7" a="1"/>
  <c r="H127" i="7" s="1"/>
  <c r="G100" i="7" a="1"/>
  <c r="G100" i="7" s="1"/>
  <c r="K39" i="7" a="1"/>
  <c r="K39" i="7" s="1"/>
  <c r="L51" i="23" a="1"/>
  <c r="L51" i="23" s="1"/>
  <c r="I122" i="7" a="1"/>
  <c r="I122" i="7" s="1"/>
  <c r="K79" i="23" a="1"/>
  <c r="K79" i="23" s="1"/>
  <c r="H26" i="23" a="1"/>
  <c r="H26" i="23" s="1"/>
  <c r="H138" i="7" a="1"/>
  <c r="H138" i="7" s="1"/>
  <c r="H59" i="23" a="1"/>
  <c r="H59" i="23" s="1"/>
  <c r="G126" i="7" a="1"/>
  <c r="G126" i="7" s="1"/>
  <c r="I56" i="23" a="1"/>
  <c r="I56" i="23" s="1"/>
  <c r="L19" i="7" a="1"/>
  <c r="L19" i="7" s="1"/>
  <c r="I89" i="23" a="1"/>
  <c r="I89" i="23" s="1"/>
  <c r="K35" i="23" a="1"/>
  <c r="K35" i="23" s="1"/>
  <c r="J30" i="7" a="1"/>
  <c r="J30" i="7" s="1"/>
  <c r="H54" i="23" a="1"/>
  <c r="H54" i="23" s="1"/>
  <c r="I59" i="23" a="1"/>
  <c r="I59" i="23" s="1"/>
  <c r="L53" i="7" a="1"/>
  <c r="L53" i="7" s="1"/>
  <c r="H57" i="23" a="1"/>
  <c r="H57" i="23" s="1"/>
  <c r="K26" i="7" a="1"/>
  <c r="K26" i="7" s="1"/>
  <c r="H64" i="23" a="1"/>
  <c r="H64" i="23" s="1"/>
  <c r="G114" i="7" a="1"/>
  <c r="G114" i="7" s="1"/>
  <c r="I38" i="23" a="1"/>
  <c r="I38" i="23" s="1"/>
  <c r="G51" i="7" a="1"/>
  <c r="G51" i="7" s="1"/>
  <c r="G11" i="7" a="1"/>
  <c r="G11" i="7" s="1"/>
  <c r="J137" i="7" a="1"/>
  <c r="J137" i="7" s="1"/>
  <c r="K66" i="23" a="1"/>
  <c r="K66" i="23" s="1"/>
  <c r="J102" i="7" a="1"/>
  <c r="J102" i="7" s="1"/>
  <c r="L54" i="23" a="1"/>
  <c r="L54" i="23" s="1"/>
  <c r="G134" i="7" a="1"/>
  <c r="G134" i="7" s="1"/>
  <c r="G78" i="23" a="1"/>
  <c r="G78" i="23" s="1"/>
  <c r="H41" i="7" a="1"/>
  <c r="H41" i="7" s="1"/>
  <c r="L91" i="7" a="1"/>
  <c r="L91" i="7" s="1"/>
  <c r="H62" i="23" a="1"/>
  <c r="H62" i="23" s="1"/>
  <c r="L120" i="7" a="1"/>
  <c r="L120" i="7" s="1"/>
  <c r="I83" i="23" a="1"/>
  <c r="I83" i="23" s="1"/>
  <c r="K49" i="7" a="1"/>
  <c r="K49" i="7" s="1"/>
  <c r="K74" i="7" a="1"/>
  <c r="K74" i="7" s="1"/>
  <c r="J76" i="7" a="1"/>
  <c r="J76" i="7" s="1"/>
  <c r="L30" i="7" a="1"/>
  <c r="L30" i="7" s="1"/>
  <c r="K52" i="7" a="1"/>
  <c r="K52" i="7" s="1"/>
  <c r="I29" i="23" a="1"/>
  <c r="I29" i="23" s="1"/>
  <c r="G34" i="7" a="1"/>
  <c r="G34" i="7" s="1"/>
  <c r="I31" i="7" a="1"/>
  <c r="I31" i="7" s="1"/>
  <c r="J93" i="23" a="1"/>
  <c r="J93" i="23" s="1"/>
  <c r="G61" i="23" a="1"/>
  <c r="G61" i="23" s="1"/>
  <c r="H93" i="7" a="1"/>
  <c r="H93" i="7" s="1"/>
  <c r="K63" i="7" a="1"/>
  <c r="K63" i="7" s="1"/>
  <c r="K77" i="7" a="1"/>
  <c r="K77" i="7" s="1"/>
  <c r="L36" i="7" a="1"/>
  <c r="L36" i="7" s="1"/>
  <c r="K24" i="23" a="1"/>
  <c r="K24" i="23" s="1"/>
  <c r="G42" i="7" a="1"/>
  <c r="G42" i="7" s="1"/>
  <c r="L62" i="7" a="1"/>
  <c r="L62" i="7" s="1"/>
  <c r="J17" i="7" a="1"/>
  <c r="J17" i="7" s="1"/>
  <c r="G128" i="7" a="1"/>
  <c r="G128" i="7" s="1"/>
  <c r="L17" i="23" a="1"/>
  <c r="L17" i="23" s="1"/>
  <c r="K83" i="23" a="1"/>
  <c r="K83" i="23" s="1"/>
  <c r="G25" i="7" a="1"/>
  <c r="G25" i="7" s="1"/>
  <c r="H130" i="7" a="1"/>
  <c r="H130" i="7" s="1"/>
  <c r="H83" i="7" a="1"/>
  <c r="H83" i="7" s="1"/>
  <c r="J14" i="7" a="1"/>
  <c r="J14" i="7" s="1"/>
  <c r="H70" i="23" a="1"/>
  <c r="H70" i="23" s="1"/>
  <c r="L95" i="23" a="1"/>
  <c r="L95" i="23" s="1"/>
  <c r="L36" i="23" a="1"/>
  <c r="L36" i="23" s="1"/>
  <c r="H25" i="23" a="1"/>
  <c r="H25" i="23" s="1"/>
  <c r="J25" i="23" a="1"/>
  <c r="J25" i="23" s="1"/>
  <c r="G59" i="7" a="1"/>
  <c r="G59" i="7" s="1"/>
  <c r="K116" i="7" a="1"/>
  <c r="K116" i="7" s="1"/>
  <c r="I56" i="7" a="1"/>
  <c r="I56" i="7" s="1"/>
  <c r="H118" i="7" a="1"/>
  <c r="H118" i="7" s="1"/>
  <c r="G91" i="7" a="1"/>
  <c r="G91" i="7" s="1"/>
  <c r="K34" i="23" a="1"/>
  <c r="K34" i="23" s="1"/>
  <c r="G98" i="7" a="1"/>
  <c r="G98" i="7" s="1"/>
  <c r="J115" i="7" a="1"/>
  <c r="J115" i="7" s="1"/>
  <c r="K69" i="23" a="1"/>
  <c r="K69" i="23" s="1"/>
  <c r="I57" i="7" a="1"/>
  <c r="I57" i="7" s="1"/>
  <c r="G71" i="23" a="1"/>
  <c r="G71" i="23" s="1"/>
  <c r="G12" i="7" a="1"/>
  <c r="G12" i="7" s="1"/>
  <c r="K22" i="7" a="1"/>
  <c r="K22" i="7" s="1"/>
  <c r="I22" i="23" a="1"/>
  <c r="I22" i="23" s="1"/>
  <c r="G27" i="23" a="1"/>
  <c r="G27" i="23" s="1"/>
  <c r="G15" i="23" a="1"/>
  <c r="G15" i="23" s="1"/>
  <c r="G120" i="7" a="1"/>
  <c r="G120" i="7" s="1"/>
  <c r="J32" i="23" a="1"/>
  <c r="J32" i="23" s="1"/>
  <c r="H44" i="23" a="1"/>
  <c r="H44" i="23" s="1"/>
  <c r="I43" i="7" a="1"/>
  <c r="I43" i="7" s="1"/>
  <c r="L65" i="7" a="1"/>
  <c r="L65" i="7" s="1"/>
  <c r="I93" i="23" a="1"/>
  <c r="I93" i="23" s="1"/>
  <c r="H23" i="23" a="1"/>
  <c r="H23" i="23" s="1"/>
  <c r="L130" i="7" a="1"/>
  <c r="L130" i="7" s="1"/>
  <c r="I48" i="23" a="1"/>
  <c r="I48" i="23" s="1"/>
  <c r="I93" i="7" a="1"/>
  <c r="I93" i="7" s="1"/>
  <c r="H95" i="7" a="1"/>
  <c r="H95" i="7" s="1"/>
  <c r="K70" i="7" a="1"/>
  <c r="K70" i="7" s="1"/>
  <c r="L111" i="7" a="1"/>
  <c r="L111" i="7" s="1"/>
  <c r="I30" i="23" a="1"/>
  <c r="I30" i="23" s="1"/>
  <c r="J13" i="7" a="1"/>
  <c r="J13" i="7" s="1"/>
  <c r="J123" i="7" a="1"/>
  <c r="J123" i="7" s="1"/>
  <c r="J147" i="7" a="1"/>
  <c r="J147" i="7" s="1"/>
  <c r="H33" i="7" a="1"/>
  <c r="H33" i="7" s="1"/>
  <c r="I107" i="7" a="1"/>
  <c r="I107" i="7" s="1"/>
  <c r="G68" i="23" a="1"/>
  <c r="G68" i="23" s="1"/>
  <c r="I92" i="7" a="1"/>
  <c r="I92" i="7" s="1"/>
  <c r="I83" i="7" a="1"/>
  <c r="I83" i="7" s="1"/>
  <c r="L137" i="7" a="1"/>
  <c r="L137" i="7" s="1"/>
  <c r="G78" i="7" a="1"/>
  <c r="G78" i="7" s="1"/>
  <c r="I95" i="7" a="1"/>
  <c r="I95" i="7" s="1"/>
  <c r="I40" i="7" a="1"/>
  <c r="I40" i="7" s="1"/>
  <c r="J33" i="7" a="1"/>
  <c r="J33" i="7" s="1"/>
  <c r="J83" i="7" a="1"/>
  <c r="J83" i="7" s="1"/>
  <c r="H144" i="7" a="1"/>
  <c r="H144" i="7" s="1"/>
  <c r="J10" i="23" a="1"/>
  <c r="J10" i="23" s="1"/>
  <c r="I33" i="7" a="1"/>
  <c r="I33" i="7" s="1"/>
  <c r="J59" i="7" a="1"/>
  <c r="J59" i="7" s="1"/>
  <c r="G14" i="23" a="1"/>
  <c r="G14" i="23" s="1"/>
  <c r="K24" i="7" a="1"/>
  <c r="K24" i="7" s="1"/>
  <c r="H46" i="23" a="1"/>
  <c r="H46" i="23" s="1"/>
  <c r="K96" i="23" a="1"/>
  <c r="K96" i="23" s="1"/>
  <c r="G140" i="7" a="1"/>
  <c r="G140" i="7" s="1"/>
  <c r="H47" i="23" a="1"/>
  <c r="H47" i="23" s="1"/>
  <c r="AF96" i="26" l="1"/>
  <c r="AE96" i="26" s="1"/>
  <c r="AF98" i="26"/>
  <c r="AF97" i="26"/>
  <c r="AF99" i="26"/>
  <c r="AF100" i="26"/>
  <c r="AE100" i="26" s="1"/>
  <c r="AD100" i="26"/>
  <c r="AC100" i="26" s="1"/>
  <c r="AG100" i="26"/>
  <c r="Z100" i="26"/>
  <c r="Y100" i="26" s="1"/>
  <c r="X100" i="26"/>
  <c r="W100" i="26" s="1"/>
  <c r="AB100" i="26"/>
  <c r="AA100" i="26" s="1"/>
  <c r="V100" i="26"/>
  <c r="U100" i="26" s="1"/>
  <c r="AH101" i="26"/>
  <c r="O101" i="26"/>
  <c r="O96" i="26"/>
  <c r="AH96" i="26" s="1"/>
  <c r="O97" i="26"/>
  <c r="AB97" i="26"/>
  <c r="AA97" i="26" s="1"/>
  <c r="V97" i="26"/>
  <c r="U97" i="26" s="1"/>
  <c r="AE97" i="26"/>
  <c r="X97" i="26"/>
  <c r="W97" i="26" s="1"/>
  <c r="Z97" i="26"/>
  <c r="Y97" i="26" s="1"/>
  <c r="V98" i="26"/>
  <c r="U98" i="26" s="1"/>
  <c r="AB98" i="26"/>
  <c r="AA98" i="26" s="1"/>
  <c r="X98" i="26"/>
  <c r="W98" i="26" s="1"/>
  <c r="AE98" i="26"/>
  <c r="Z98" i="26"/>
  <c r="Y98" i="26" s="1"/>
  <c r="AF101" i="26"/>
  <c r="AE101" i="26" s="1"/>
  <c r="AC96" i="26"/>
  <c r="O99" i="26"/>
  <c r="AH99" i="26" s="1"/>
  <c r="Z99" i="26"/>
  <c r="Y99" i="26" s="1"/>
  <c r="V99" i="26"/>
  <c r="U99" i="26" s="1"/>
  <c r="AE99" i="26"/>
  <c r="X99" i="26"/>
  <c r="W99" i="26" s="1"/>
  <c r="AB99" i="26"/>
  <c r="AA99" i="26" s="1"/>
  <c r="AD98" i="26"/>
  <c r="AC98" i="26" s="1"/>
  <c r="AG98" i="26"/>
  <c r="AG97" i="26"/>
  <c r="AD97" i="26"/>
  <c r="AC97" i="26" s="1"/>
  <c r="AD99" i="26"/>
  <c r="AC99" i="26" s="1"/>
  <c r="AG99" i="26"/>
  <c r="O98" i="26"/>
  <c r="AH98" i="26" s="1"/>
  <c r="AD96" i="26"/>
  <c r="AG96" i="26"/>
  <c r="Z101" i="26"/>
  <c r="Y101" i="26" s="1"/>
  <c r="AB101" i="26"/>
  <c r="AA101" i="26" s="1"/>
  <c r="X101" i="26"/>
  <c r="W101" i="26" s="1"/>
  <c r="V101" i="26"/>
  <c r="U101" i="26" s="1"/>
  <c r="AD101" i="26"/>
  <c r="AC101" i="26" s="1"/>
  <c r="AG101" i="26"/>
  <c r="X96" i="26"/>
  <c r="W96" i="26" s="1"/>
  <c r="AB96" i="26"/>
  <c r="AA96" i="26" s="1"/>
  <c r="V96" i="26"/>
  <c r="U96" i="26" s="1"/>
  <c r="Z96" i="26"/>
  <c r="Y96" i="26" s="1"/>
  <c r="O100" i="26"/>
  <c r="AA161" i="7"/>
  <c r="X159" i="7"/>
  <c r="W159" i="7" s="1"/>
  <c r="T159" i="7"/>
  <c r="S159" i="7" s="1"/>
  <c r="Z159" i="7"/>
  <c r="Y159" i="7" s="1"/>
  <c r="V159" i="7"/>
  <c r="U159" i="7" s="1"/>
  <c r="AA159" i="7"/>
  <c r="M161" i="7"/>
  <c r="AB161" i="7" s="1"/>
  <c r="M159" i="7"/>
  <c r="M160" i="7"/>
  <c r="V160" i="7"/>
  <c r="U160" i="7" s="1"/>
  <c r="T160" i="7"/>
  <c r="S160" i="7" s="1"/>
  <c r="X160" i="7"/>
  <c r="W160" i="7" s="1"/>
  <c r="Z160" i="7"/>
  <c r="Y160" i="7" s="1"/>
  <c r="AA160" i="7"/>
  <c r="Z161" i="7"/>
  <c r="Y161" i="7" s="1"/>
  <c r="X161" i="7"/>
  <c r="W161" i="7" s="1"/>
  <c r="T161" i="7"/>
  <c r="S161" i="7" s="1"/>
  <c r="V161" i="7"/>
  <c r="U161" i="7" s="1"/>
  <c r="M158" i="7"/>
  <c r="AB158" i="7" s="1"/>
  <c r="T158" i="7"/>
  <c r="S158" i="7" s="1"/>
  <c r="V158" i="7"/>
  <c r="U158" i="7" s="1"/>
  <c r="X158" i="7"/>
  <c r="W158" i="7" s="1"/>
  <c r="Z158" i="7"/>
  <c r="Y158" i="7" s="1"/>
  <c r="AA158" i="7"/>
  <c r="AA157" i="7"/>
  <c r="AA156" i="7"/>
  <c r="V156" i="7"/>
  <c r="U156" i="7" s="1"/>
  <c r="Z156" i="7"/>
  <c r="Y156" i="7" s="1"/>
  <c r="X156" i="7"/>
  <c r="W156" i="7" s="1"/>
  <c r="T156" i="7"/>
  <c r="S156" i="7" s="1"/>
  <c r="M157" i="7"/>
  <c r="AB157" i="7" s="1"/>
  <c r="M155" i="7"/>
  <c r="X155" i="7"/>
  <c r="W155" i="7" s="1"/>
  <c r="Z155" i="7"/>
  <c r="Y155" i="7" s="1"/>
  <c r="T155" i="7"/>
  <c r="S155" i="7" s="1"/>
  <c r="V155" i="7"/>
  <c r="U155" i="7" s="1"/>
  <c r="M156" i="7"/>
  <c r="AB156" i="7" s="1"/>
  <c r="X157" i="7"/>
  <c r="W157" i="7" s="1"/>
  <c r="T157" i="7"/>
  <c r="S157" i="7" s="1"/>
  <c r="Z157" i="7"/>
  <c r="Y157" i="7" s="1"/>
  <c r="V157" i="7"/>
  <c r="U157" i="7" s="1"/>
  <c r="AA155" i="7"/>
  <c r="AA81" i="7"/>
  <c r="AA21" i="23"/>
  <c r="AA127" i="7"/>
  <c r="AA83" i="23"/>
  <c r="AA23" i="7"/>
  <c r="AA29" i="23"/>
  <c r="Z90" i="7"/>
  <c r="Y90" i="7" s="1"/>
  <c r="AA52" i="7"/>
  <c r="Z38" i="7"/>
  <c r="Y38" i="7" s="1"/>
  <c r="AA138" i="7"/>
  <c r="AA108" i="7"/>
  <c r="AA101" i="7"/>
  <c r="AA27" i="23"/>
  <c r="AA130" i="7"/>
  <c r="AA41" i="23"/>
  <c r="AA142" i="7"/>
  <c r="X90" i="7"/>
  <c r="W90" i="7" s="1"/>
  <c r="AA58" i="23"/>
  <c r="AA52" i="23"/>
  <c r="X92" i="23"/>
  <c r="W92" i="23" s="1"/>
  <c r="AA95" i="7"/>
  <c r="Z27" i="23"/>
  <c r="Y27" i="23" s="1"/>
  <c r="Z102" i="7"/>
  <c r="Y102" i="7" s="1"/>
  <c r="Z39" i="23"/>
  <c r="Y39" i="23" s="1"/>
  <c r="AA60" i="7"/>
  <c r="AA69" i="23"/>
  <c r="AA85" i="7"/>
  <c r="X55" i="7"/>
  <c r="W55" i="7" s="1"/>
  <c r="AA17" i="7"/>
  <c r="Z14" i="7"/>
  <c r="Y14" i="7" s="1"/>
  <c r="AA129" i="7"/>
  <c r="AA35" i="23"/>
  <c r="AA39" i="7"/>
  <c r="Z32" i="23"/>
  <c r="Y32" i="23" s="1"/>
  <c r="AA122" i="7"/>
  <c r="Z22" i="23"/>
  <c r="Y22" i="23" s="1"/>
  <c r="AA151" i="7"/>
  <c r="X78" i="7"/>
  <c r="W78" i="7" s="1"/>
  <c r="X119" i="7"/>
  <c r="W119" i="7" s="1"/>
  <c r="Z78" i="7"/>
  <c r="Y78" i="7" s="1"/>
  <c r="AF50" i="26"/>
  <c r="AE50" i="26" s="1"/>
  <c r="AA88" i="23"/>
  <c r="AA78" i="7"/>
  <c r="AF13" i="26"/>
  <c r="AE13" i="26" s="1"/>
  <c r="AA24" i="23"/>
  <c r="AA61" i="23"/>
  <c r="AA135" i="7"/>
  <c r="Z126" i="7"/>
  <c r="Y126" i="7" s="1"/>
  <c r="M135" i="7"/>
  <c r="AB135" i="7" s="1"/>
  <c r="AF68" i="26"/>
  <c r="AE68" i="26" s="1"/>
  <c r="AA79" i="7"/>
  <c r="T39" i="23"/>
  <c r="S39" i="23" s="1"/>
  <c r="AA77" i="7"/>
  <c r="X82" i="7"/>
  <c r="W82" i="7" s="1"/>
  <c r="AA124" i="7"/>
  <c r="AF90" i="26"/>
  <c r="AE90" i="26" s="1"/>
  <c r="AA64" i="23"/>
  <c r="AA22" i="7"/>
  <c r="AF54" i="26"/>
  <c r="AE54" i="26" s="1"/>
  <c r="AA43" i="23"/>
  <c r="AA80" i="7"/>
  <c r="AA105" i="7"/>
  <c r="AA107" i="7"/>
  <c r="AA48" i="23"/>
  <c r="X98" i="7"/>
  <c r="W98" i="7" s="1"/>
  <c r="AF75" i="26"/>
  <c r="AE75" i="26" s="1"/>
  <c r="AF34" i="26"/>
  <c r="AE34" i="26" s="1"/>
  <c r="V39" i="23"/>
  <c r="U39" i="23" s="1"/>
  <c r="AA15" i="7"/>
  <c r="AA128" i="7"/>
  <c r="AA18" i="7"/>
  <c r="AF72" i="26"/>
  <c r="AE72" i="26" s="1"/>
  <c r="AA28" i="7"/>
  <c r="AA90" i="7"/>
  <c r="AA12" i="23"/>
  <c r="AA79" i="23"/>
  <c r="M112" i="7"/>
  <c r="AB112" i="7" s="1"/>
  <c r="AA63" i="7"/>
  <c r="AA109" i="7"/>
  <c r="X142" i="7"/>
  <c r="W142" i="7" s="1"/>
  <c r="AA114" i="7"/>
  <c r="V78" i="7"/>
  <c r="U78" i="7" s="1"/>
  <c r="AA74" i="7"/>
  <c r="X27" i="23"/>
  <c r="W27" i="23" s="1"/>
  <c r="AA121" i="7"/>
  <c r="AF52" i="26"/>
  <c r="AE52" i="26" s="1"/>
  <c r="AA39" i="23"/>
  <c r="X144" i="7"/>
  <c r="W144" i="7" s="1"/>
  <c r="AA44" i="23"/>
  <c r="Z82" i="7"/>
  <c r="Y82" i="7" s="1"/>
  <c r="Z88" i="23"/>
  <c r="Y88" i="23" s="1"/>
  <c r="AA144" i="7"/>
  <c r="X145" i="7"/>
  <c r="W145" i="7" s="1"/>
  <c r="AF63" i="26"/>
  <c r="AE63" i="26" s="1"/>
  <c r="M13" i="23"/>
  <c r="AB13" i="23" s="1"/>
  <c r="AA67" i="23"/>
  <c r="AA152" i="7"/>
  <c r="AA24" i="7"/>
  <c r="AF59" i="26"/>
  <c r="AE59" i="26" s="1"/>
  <c r="AF81" i="26"/>
  <c r="AE81" i="26" s="1"/>
  <c r="AA62" i="23"/>
  <c r="Z142" i="7"/>
  <c r="Y142" i="7" s="1"/>
  <c r="AF88" i="26"/>
  <c r="AE88" i="26" s="1"/>
  <c r="AA119" i="7"/>
  <c r="AF87" i="26"/>
  <c r="AE87" i="26" s="1"/>
  <c r="AA10" i="23"/>
  <c r="M72" i="7"/>
  <c r="AB72" i="7" s="1"/>
  <c r="AA126" i="7"/>
  <c r="AA59" i="7"/>
  <c r="AA13" i="7"/>
  <c r="AF31" i="26"/>
  <c r="AE31" i="26" s="1"/>
  <c r="AA116" i="7"/>
  <c r="AA56" i="23"/>
  <c r="AF73" i="26"/>
  <c r="AE73" i="26" s="1"/>
  <c r="AF61" i="26"/>
  <c r="AE61" i="26" s="1"/>
  <c r="AA70" i="23"/>
  <c r="AA149" i="7"/>
  <c r="AA78" i="23"/>
  <c r="AA14" i="7"/>
  <c r="AA61" i="7"/>
  <c r="AA97" i="7"/>
  <c r="AA133" i="7"/>
  <c r="AA33" i="23"/>
  <c r="V142" i="7"/>
  <c r="U142" i="7" s="1"/>
  <c r="AA51" i="7"/>
  <c r="Z92" i="23"/>
  <c r="Y92" i="23" s="1"/>
  <c r="Z28" i="7"/>
  <c r="Y28" i="7" s="1"/>
  <c r="AA76" i="7"/>
  <c r="Z17" i="7"/>
  <c r="Y17" i="7" s="1"/>
  <c r="AA70" i="7"/>
  <c r="AA40" i="23"/>
  <c r="AA89" i="23"/>
  <c r="X88" i="23"/>
  <c r="W88" i="23" s="1"/>
  <c r="AA140" i="7"/>
  <c r="AA102" i="7"/>
  <c r="AF24" i="26"/>
  <c r="AE24" i="26" s="1"/>
  <c r="AF45" i="26"/>
  <c r="AE45" i="26" s="1"/>
  <c r="AA55" i="7"/>
  <c r="AA73" i="23"/>
  <c r="AA82" i="7"/>
  <c r="AA150" i="7"/>
  <c r="AA13" i="23"/>
  <c r="AF36" i="26"/>
  <c r="AE36" i="26" s="1"/>
  <c r="V145" i="7"/>
  <c r="U145" i="7" s="1"/>
  <c r="T127" i="7"/>
  <c r="S127" i="7" s="1"/>
  <c r="X39" i="23"/>
  <c r="W39" i="23" s="1"/>
  <c r="V135" i="7"/>
  <c r="U135" i="7" s="1"/>
  <c r="X22" i="23"/>
  <c r="W22" i="23" s="1"/>
  <c r="V38" i="7"/>
  <c r="U38" i="7" s="1"/>
  <c r="AA83" i="7"/>
  <c r="AA14" i="23"/>
  <c r="AA98" i="7"/>
  <c r="AA37" i="7"/>
  <c r="AA22" i="23"/>
  <c r="AA89" i="7"/>
  <c r="M55" i="7"/>
  <c r="AB55" i="7" s="1"/>
  <c r="AA110" i="7"/>
  <c r="T128" i="7"/>
  <c r="S128" i="7" s="1"/>
  <c r="AF85" i="26"/>
  <c r="AE85" i="26" s="1"/>
  <c r="AA91" i="23"/>
  <c r="X29" i="23"/>
  <c r="W29" i="23" s="1"/>
  <c r="AA66" i="23"/>
  <c r="Z108" i="7"/>
  <c r="Y108" i="7" s="1"/>
  <c r="X126" i="7"/>
  <c r="W126" i="7" s="1"/>
  <c r="AA93" i="7"/>
  <c r="M44" i="7"/>
  <c r="AB44" i="7" s="1"/>
  <c r="AF70" i="26"/>
  <c r="AE70" i="26" s="1"/>
  <c r="Z10" i="23"/>
  <c r="Y10" i="23" s="1"/>
  <c r="AF86" i="26"/>
  <c r="AE86" i="26" s="1"/>
  <c r="AA87" i="23"/>
  <c r="Z119" i="7"/>
  <c r="Y119" i="7" s="1"/>
  <c r="V55" i="7"/>
  <c r="U55" i="7" s="1"/>
  <c r="AA92" i="23"/>
  <c r="AA139" i="7"/>
  <c r="Z135" i="7"/>
  <c r="Y135" i="7" s="1"/>
  <c r="AA42" i="7"/>
  <c r="AA35" i="7"/>
  <c r="AA56" i="7"/>
  <c r="AA86" i="23"/>
  <c r="AF84" i="26"/>
  <c r="AE84" i="26" s="1"/>
  <c r="Z98" i="7"/>
  <c r="Y98" i="7" s="1"/>
  <c r="AA93" i="23"/>
  <c r="T88" i="23"/>
  <c r="S88" i="23" s="1"/>
  <c r="AF43" i="26"/>
  <c r="AE43" i="26" s="1"/>
  <c r="M37" i="23"/>
  <c r="AB37" i="23" s="1"/>
  <c r="V98" i="7"/>
  <c r="U98" i="7" s="1"/>
  <c r="Z29" i="23"/>
  <c r="Y29" i="23" s="1"/>
  <c r="AA49" i="7"/>
  <c r="T126" i="7"/>
  <c r="S126" i="7" s="1"/>
  <c r="AF49" i="26"/>
  <c r="AE49" i="26" s="1"/>
  <c r="AA48" i="7"/>
  <c r="M139" i="7"/>
  <c r="AB139" i="7" s="1"/>
  <c r="AA134" i="7"/>
  <c r="Z144" i="7"/>
  <c r="Y144" i="7" s="1"/>
  <c r="AA60" i="23"/>
  <c r="AF71" i="26"/>
  <c r="AE71" i="26" s="1"/>
  <c r="Z55" i="7"/>
  <c r="Y55" i="7" s="1"/>
  <c r="AA32" i="23"/>
  <c r="AF11" i="26"/>
  <c r="AE11" i="26" s="1"/>
  <c r="AA21" i="7"/>
  <c r="AA145" i="7"/>
  <c r="AF29" i="26"/>
  <c r="AE29" i="26" s="1"/>
  <c r="AA47" i="23"/>
  <c r="AA38" i="7"/>
  <c r="AA90" i="23"/>
  <c r="AA26" i="7"/>
  <c r="AA148" i="7"/>
  <c r="AA88" i="7"/>
  <c r="M101" i="7"/>
  <c r="AB101" i="7" s="1"/>
  <c r="AA65" i="23"/>
  <c r="AA31" i="7"/>
  <c r="AA132" i="7"/>
  <c r="AA44" i="7"/>
  <c r="T82" i="7"/>
  <c r="S82" i="7" s="1"/>
  <c r="AA55" i="23"/>
  <c r="AA104" i="7"/>
  <c r="AA103" i="7"/>
  <c r="M60" i="23"/>
  <c r="AB60" i="23" s="1"/>
  <c r="AA75" i="7"/>
  <c r="AA96" i="23"/>
  <c r="AA33" i="7"/>
  <c r="V126" i="7"/>
  <c r="U126" i="7" s="1"/>
  <c r="T38" i="7"/>
  <c r="S38" i="7" s="1"/>
  <c r="AA54" i="7"/>
  <c r="AA34" i="23"/>
  <c r="X38" i="7"/>
  <c r="W38" i="7" s="1"/>
  <c r="AA82" i="23"/>
  <c r="AF44" i="26"/>
  <c r="AE44" i="26" s="1"/>
  <c r="X128" i="7"/>
  <c r="W128" i="7" s="1"/>
  <c r="M113" i="7"/>
  <c r="AB113" i="7" s="1"/>
  <c r="V128" i="7"/>
  <c r="U128" i="7" s="1"/>
  <c r="AA34" i="7"/>
  <c r="T142" i="7"/>
  <c r="S142" i="7" s="1"/>
  <c r="Z128" i="7"/>
  <c r="Y128" i="7" s="1"/>
  <c r="AF10" i="26"/>
  <c r="AE10" i="26" s="1"/>
  <c r="AA19" i="23"/>
  <c r="AA76" i="23"/>
  <c r="Z145" i="7"/>
  <c r="Y145" i="7" s="1"/>
  <c r="AA28" i="23"/>
  <c r="V82" i="7"/>
  <c r="U82" i="7" s="1"/>
  <c r="AF18" i="26"/>
  <c r="AE18" i="26" s="1"/>
  <c r="X108" i="7"/>
  <c r="W108" i="7" s="1"/>
  <c r="X135" i="7"/>
  <c r="W135" i="7" s="1"/>
  <c r="T135" i="7"/>
  <c r="S135" i="7" s="1"/>
  <c r="AF91" i="26"/>
  <c r="AE91" i="26" s="1"/>
  <c r="AF78" i="26"/>
  <c r="AE78" i="26" s="1"/>
  <c r="V88" i="23"/>
  <c r="U88" i="23" s="1"/>
  <c r="AA64" i="7"/>
  <c r="AA16" i="23"/>
  <c r="AA75" i="23"/>
  <c r="Z133" i="7"/>
  <c r="Y133" i="7" s="1"/>
  <c r="AA50" i="23"/>
  <c r="AA113" i="7"/>
  <c r="X133" i="7"/>
  <c r="W133" i="7" s="1"/>
  <c r="AA117" i="7"/>
  <c r="AA27" i="7"/>
  <c r="M111" i="7"/>
  <c r="AB111" i="7" s="1"/>
  <c r="AA37" i="23"/>
  <c r="M52" i="7"/>
  <c r="AB52" i="7" s="1"/>
  <c r="Z81" i="7"/>
  <c r="Y81" i="7" s="1"/>
  <c r="M77" i="7"/>
  <c r="AB77" i="7" s="1"/>
  <c r="M81" i="7"/>
  <c r="AB81" i="7" s="1"/>
  <c r="AA63" i="23"/>
  <c r="M50" i="23"/>
  <c r="AB50" i="23" s="1"/>
  <c r="M151" i="7"/>
  <c r="AB151" i="7" s="1"/>
  <c r="M10" i="7"/>
  <c r="AB10" i="7" s="1"/>
  <c r="M50" i="7"/>
  <c r="AB50" i="7" s="1"/>
  <c r="V36" i="23"/>
  <c r="U36" i="23" s="1"/>
  <c r="Z36" i="23"/>
  <c r="Y36" i="23" s="1"/>
  <c r="T36" i="23"/>
  <c r="S36" i="23" s="1"/>
  <c r="X36" i="23"/>
  <c r="W36" i="23" s="1"/>
  <c r="Z17" i="23"/>
  <c r="Y17" i="23" s="1"/>
  <c r="V17" i="23"/>
  <c r="U17" i="23" s="1"/>
  <c r="T17" i="23"/>
  <c r="S17" i="23" s="1"/>
  <c r="X17" i="23"/>
  <c r="W17" i="23" s="1"/>
  <c r="M42" i="7"/>
  <c r="AB42" i="7" s="1"/>
  <c r="T30" i="7"/>
  <c r="S30" i="7" s="1"/>
  <c r="V30" i="7"/>
  <c r="U30" i="7" s="1"/>
  <c r="Z30" i="7"/>
  <c r="Y30" i="7" s="1"/>
  <c r="X30" i="7"/>
  <c r="W30" i="7" s="1"/>
  <c r="M51" i="7"/>
  <c r="AB51" i="7" s="1"/>
  <c r="T19" i="7"/>
  <c r="S19" i="7" s="1"/>
  <c r="V19" i="7"/>
  <c r="U19" i="7" s="1"/>
  <c r="Z19" i="7"/>
  <c r="Y19" i="7" s="1"/>
  <c r="X19" i="7"/>
  <c r="W19" i="7" s="1"/>
  <c r="X51" i="23"/>
  <c r="W51" i="23" s="1"/>
  <c r="Z51" i="23"/>
  <c r="Y51" i="23" s="1"/>
  <c r="V51" i="23"/>
  <c r="U51" i="23" s="1"/>
  <c r="T51" i="23"/>
  <c r="S51" i="23" s="1"/>
  <c r="V85" i="23"/>
  <c r="U85" i="23" s="1"/>
  <c r="X85" i="23"/>
  <c r="W85" i="23" s="1"/>
  <c r="Z85" i="23"/>
  <c r="Y85" i="23" s="1"/>
  <c r="T85" i="23"/>
  <c r="S85" i="23" s="1"/>
  <c r="Z146" i="7"/>
  <c r="Y146" i="7" s="1"/>
  <c r="T146" i="7"/>
  <c r="S146" i="7" s="1"/>
  <c r="V146" i="7"/>
  <c r="U146" i="7" s="1"/>
  <c r="X146" i="7"/>
  <c r="W146" i="7" s="1"/>
  <c r="T77" i="23"/>
  <c r="S77" i="23" s="1"/>
  <c r="X77" i="23"/>
  <c r="W77" i="23" s="1"/>
  <c r="V77" i="23"/>
  <c r="U77" i="23" s="1"/>
  <c r="Z77" i="23"/>
  <c r="Y77" i="23" s="1"/>
  <c r="M87" i="23"/>
  <c r="AB87" i="23" s="1"/>
  <c r="V136" i="7"/>
  <c r="U136" i="7" s="1"/>
  <c r="T136" i="7"/>
  <c r="S136" i="7" s="1"/>
  <c r="Z136" i="7"/>
  <c r="Y136" i="7" s="1"/>
  <c r="X136" i="7"/>
  <c r="W136" i="7" s="1"/>
  <c r="M17" i="7"/>
  <c r="AB17" i="7" s="1"/>
  <c r="I5" i="7"/>
  <c r="X32" i="7"/>
  <c r="W32" i="7" s="1"/>
  <c r="V32" i="7"/>
  <c r="U32" i="7" s="1"/>
  <c r="Z32" i="7"/>
  <c r="Y32" i="7" s="1"/>
  <c r="T32" i="7"/>
  <c r="S32" i="7" s="1"/>
  <c r="T22" i="7"/>
  <c r="S22" i="7" s="1"/>
  <c r="V22" i="7"/>
  <c r="U22" i="7" s="1"/>
  <c r="Z22" i="7"/>
  <c r="Y22" i="7" s="1"/>
  <c r="X22" i="7"/>
  <c r="W22" i="7" s="1"/>
  <c r="M86" i="7"/>
  <c r="AB86" i="7" s="1"/>
  <c r="M67" i="23"/>
  <c r="AA54" i="23"/>
  <c r="M84" i="7"/>
  <c r="AB84" i="7" s="1"/>
  <c r="V133" i="7"/>
  <c r="U133" i="7" s="1"/>
  <c r="X102" i="7"/>
  <c r="W102" i="7" s="1"/>
  <c r="Z60" i="7"/>
  <c r="Y60" i="7" s="1"/>
  <c r="X17" i="7"/>
  <c r="W17" i="7" s="1"/>
  <c r="AD67" i="26"/>
  <c r="AC67" i="26" s="1"/>
  <c r="AG67" i="26"/>
  <c r="AG41" i="26"/>
  <c r="AD41" i="26"/>
  <c r="AC41" i="26" s="1"/>
  <c r="X64" i="26"/>
  <c r="W64" i="26" s="1"/>
  <c r="Z64" i="26"/>
  <c r="Y64" i="26" s="1"/>
  <c r="AB64" i="26"/>
  <c r="AA64" i="26" s="1"/>
  <c r="V64" i="26"/>
  <c r="U64" i="26" s="1"/>
  <c r="O50" i="26"/>
  <c r="AH50" i="26" s="1"/>
  <c r="AD48" i="26"/>
  <c r="AC48" i="26" s="1"/>
  <c r="AG48" i="26"/>
  <c r="AB71" i="26"/>
  <c r="AA71" i="26" s="1"/>
  <c r="X71" i="26"/>
  <c r="W71" i="26" s="1"/>
  <c r="Z71" i="26"/>
  <c r="Y71" i="26" s="1"/>
  <c r="V71" i="26"/>
  <c r="U71" i="26" s="1"/>
  <c r="O57" i="26"/>
  <c r="AG55" i="26"/>
  <c r="AD55" i="26"/>
  <c r="AC55" i="26" s="1"/>
  <c r="X78" i="26"/>
  <c r="W78" i="26" s="1"/>
  <c r="Z78" i="26"/>
  <c r="Y78" i="26" s="1"/>
  <c r="AB78" i="26"/>
  <c r="AA78" i="26" s="1"/>
  <c r="V78" i="26"/>
  <c r="U78" i="26" s="1"/>
  <c r="Z14" i="26"/>
  <c r="Y14" i="26" s="1"/>
  <c r="X14" i="26"/>
  <c r="W14" i="26" s="1"/>
  <c r="AB14" i="26"/>
  <c r="AA14" i="26" s="1"/>
  <c r="V14" i="26"/>
  <c r="U14" i="26" s="1"/>
  <c r="O64" i="26"/>
  <c r="AD62" i="26"/>
  <c r="AC62" i="26" s="1"/>
  <c r="AG62" i="26"/>
  <c r="AB85" i="26"/>
  <c r="AA85" i="26" s="1"/>
  <c r="X85" i="26"/>
  <c r="W85" i="26" s="1"/>
  <c r="Z85" i="26"/>
  <c r="Y85" i="26" s="1"/>
  <c r="V85" i="26"/>
  <c r="U85" i="26" s="1"/>
  <c r="X21" i="26"/>
  <c r="W21" i="26" s="1"/>
  <c r="AB21" i="26"/>
  <c r="AA21" i="26" s="1"/>
  <c r="Z21" i="26"/>
  <c r="Y21" i="26" s="1"/>
  <c r="V21" i="26"/>
  <c r="U21" i="26" s="1"/>
  <c r="O71" i="26"/>
  <c r="AH71" i="26" s="1"/>
  <c r="AF9" i="26"/>
  <c r="AE9" i="26" s="1"/>
  <c r="N5" i="26"/>
  <c r="AF83" i="26"/>
  <c r="AE83" i="26" s="1"/>
  <c r="X76" i="7"/>
  <c r="W76" i="7" s="1"/>
  <c r="AA36" i="23"/>
  <c r="V39" i="7"/>
  <c r="U39" i="7" s="1"/>
  <c r="M62" i="7"/>
  <c r="AB62" i="7" s="1"/>
  <c r="T108" i="7"/>
  <c r="S108" i="7" s="1"/>
  <c r="M18" i="7"/>
  <c r="M83" i="7"/>
  <c r="AB83" i="7" s="1"/>
  <c r="T35" i="7"/>
  <c r="S35" i="7" s="1"/>
  <c r="X35" i="7"/>
  <c r="W35" i="7" s="1"/>
  <c r="V35" i="7"/>
  <c r="U35" i="7" s="1"/>
  <c r="Z35" i="7"/>
  <c r="Y35" i="7" s="1"/>
  <c r="X73" i="7"/>
  <c r="W73" i="7" s="1"/>
  <c r="Z73" i="7"/>
  <c r="Y73" i="7" s="1"/>
  <c r="T73" i="7"/>
  <c r="S73" i="7" s="1"/>
  <c r="V73" i="7"/>
  <c r="U73" i="7" s="1"/>
  <c r="M95" i="23"/>
  <c r="AB95" i="23" s="1"/>
  <c r="X58" i="7"/>
  <c r="W58" i="7" s="1"/>
  <c r="V58" i="7"/>
  <c r="U58" i="7" s="1"/>
  <c r="T58" i="7"/>
  <c r="S58" i="7" s="1"/>
  <c r="Z58" i="7"/>
  <c r="Y58" i="7" s="1"/>
  <c r="AA95" i="23"/>
  <c r="V92" i="7"/>
  <c r="U92" i="7" s="1"/>
  <c r="Z92" i="7"/>
  <c r="Y92" i="7" s="1"/>
  <c r="T92" i="7"/>
  <c r="S92" i="7" s="1"/>
  <c r="X92" i="7"/>
  <c r="W92" i="7" s="1"/>
  <c r="M76" i="7"/>
  <c r="X143" i="7"/>
  <c r="W143" i="7" s="1"/>
  <c r="Z143" i="7"/>
  <c r="Y143" i="7" s="1"/>
  <c r="T143" i="7"/>
  <c r="S143" i="7" s="1"/>
  <c r="V143" i="7"/>
  <c r="U143" i="7" s="1"/>
  <c r="M131" i="7"/>
  <c r="AB131" i="7" s="1"/>
  <c r="M108" i="7"/>
  <c r="AB108" i="7" s="1"/>
  <c r="X74" i="23"/>
  <c r="W74" i="23" s="1"/>
  <c r="Z74" i="23"/>
  <c r="Y74" i="23" s="1"/>
  <c r="V74" i="23"/>
  <c r="U74" i="23" s="1"/>
  <c r="T74" i="23"/>
  <c r="S74" i="23" s="1"/>
  <c r="M74" i="7"/>
  <c r="AB74" i="7" s="1"/>
  <c r="T59" i="7"/>
  <c r="S59" i="7" s="1"/>
  <c r="Z59" i="7"/>
  <c r="Y59" i="7" s="1"/>
  <c r="V59" i="7"/>
  <c r="U59" i="7" s="1"/>
  <c r="X59" i="7"/>
  <c r="W59" i="7" s="1"/>
  <c r="T49" i="23"/>
  <c r="S49" i="23" s="1"/>
  <c r="V49" i="23"/>
  <c r="U49" i="23" s="1"/>
  <c r="Z49" i="23"/>
  <c r="Y49" i="23" s="1"/>
  <c r="X49" i="23"/>
  <c r="W49" i="23" s="1"/>
  <c r="M19" i="7"/>
  <c r="AB19" i="7"/>
  <c r="M99" i="7"/>
  <c r="X121" i="7"/>
  <c r="W121" i="7" s="1"/>
  <c r="V121" i="7"/>
  <c r="U121" i="7" s="1"/>
  <c r="T121" i="7"/>
  <c r="S121" i="7" s="1"/>
  <c r="Z121" i="7"/>
  <c r="Y121" i="7" s="1"/>
  <c r="X32" i="23"/>
  <c r="W32" i="23" s="1"/>
  <c r="M107" i="7"/>
  <c r="AB107" i="7" s="1"/>
  <c r="X70" i="7"/>
  <c r="W70" i="7" s="1"/>
  <c r="V24" i="23"/>
  <c r="U24" i="23" s="1"/>
  <c r="V80" i="7"/>
  <c r="U80" i="7" s="1"/>
  <c r="M36" i="23"/>
  <c r="AB36" i="23" s="1"/>
  <c r="AD79" i="26"/>
  <c r="AC79" i="26" s="1"/>
  <c r="AG79" i="26"/>
  <c r="AG53" i="26"/>
  <c r="AD53" i="26"/>
  <c r="AC53" i="26" s="1"/>
  <c r="X76" i="26"/>
  <c r="W76" i="26" s="1"/>
  <c r="Z76" i="26"/>
  <c r="Y76" i="26" s="1"/>
  <c r="AB76" i="26"/>
  <c r="AA76" i="26" s="1"/>
  <c r="V76" i="26"/>
  <c r="U76" i="26" s="1"/>
  <c r="AB12" i="26"/>
  <c r="AA12" i="26" s="1"/>
  <c r="X12" i="26"/>
  <c r="W12" i="26" s="1"/>
  <c r="Z12" i="26"/>
  <c r="Y12" i="26" s="1"/>
  <c r="V12" i="26"/>
  <c r="U12" i="26" s="1"/>
  <c r="O62" i="26"/>
  <c r="AD60" i="26"/>
  <c r="AC60" i="26" s="1"/>
  <c r="AG60" i="26"/>
  <c r="AB83" i="26"/>
  <c r="AA83" i="26" s="1"/>
  <c r="Z83" i="26"/>
  <c r="Y83" i="26" s="1"/>
  <c r="X83" i="26"/>
  <c r="W83" i="26" s="1"/>
  <c r="V83" i="26"/>
  <c r="U83" i="26" s="1"/>
  <c r="AB19" i="26"/>
  <c r="AA19" i="26" s="1"/>
  <c r="X19" i="26"/>
  <c r="W19" i="26" s="1"/>
  <c r="Z19" i="26"/>
  <c r="Y19" i="26" s="1"/>
  <c r="V19" i="26"/>
  <c r="U19" i="26" s="1"/>
  <c r="O69" i="26"/>
  <c r="AH69" i="26" s="1"/>
  <c r="AG77" i="26"/>
  <c r="AD77" i="26"/>
  <c r="AC77" i="26" s="1"/>
  <c r="AB90" i="26"/>
  <c r="AA90" i="26" s="1"/>
  <c r="X90" i="26"/>
  <c r="W90" i="26" s="1"/>
  <c r="Z90" i="26"/>
  <c r="Y90" i="26" s="1"/>
  <c r="V90" i="26"/>
  <c r="U90" i="26" s="1"/>
  <c r="AB26" i="26"/>
  <c r="AA26" i="26" s="1"/>
  <c r="X26" i="26"/>
  <c r="W26" i="26" s="1"/>
  <c r="Z26" i="26"/>
  <c r="Y26" i="26" s="1"/>
  <c r="V26" i="26"/>
  <c r="U26" i="26" s="1"/>
  <c r="O76" i="26"/>
  <c r="AH76" i="26" s="1"/>
  <c r="O11" i="26"/>
  <c r="AD10" i="26"/>
  <c r="AC10" i="26" s="1"/>
  <c r="AG10" i="26"/>
  <c r="AB33" i="26"/>
  <c r="AA33" i="26" s="1"/>
  <c r="X33" i="26"/>
  <c r="W33" i="26" s="1"/>
  <c r="Z33" i="26"/>
  <c r="Y33" i="26" s="1"/>
  <c r="V33" i="26"/>
  <c r="U33" i="26" s="1"/>
  <c r="O83" i="26"/>
  <c r="AH83" i="26" s="1"/>
  <c r="O19" i="26"/>
  <c r="AH19" i="26" s="1"/>
  <c r="AF67" i="26"/>
  <c r="AE67" i="26" s="1"/>
  <c r="AF60" i="26"/>
  <c r="AE60" i="26" s="1"/>
  <c r="AF37" i="26"/>
  <c r="AE37" i="26" s="1"/>
  <c r="V92" i="23"/>
  <c r="U92" i="23" s="1"/>
  <c r="T93" i="7"/>
  <c r="S93" i="7" s="1"/>
  <c r="X10" i="23"/>
  <c r="W10" i="23" s="1"/>
  <c r="X118" i="7"/>
  <c r="W118" i="7" s="1"/>
  <c r="Z118" i="7"/>
  <c r="Y118" i="7" s="1"/>
  <c r="T118" i="7"/>
  <c r="S118" i="7" s="1"/>
  <c r="V118" i="7"/>
  <c r="U118" i="7" s="1"/>
  <c r="M38" i="23"/>
  <c r="AB38" i="23" s="1"/>
  <c r="Z15" i="23"/>
  <c r="Y15" i="23" s="1"/>
  <c r="V15" i="23"/>
  <c r="U15" i="23" s="1"/>
  <c r="X15" i="23"/>
  <c r="W15" i="23" s="1"/>
  <c r="T15" i="23"/>
  <c r="S15" i="23" s="1"/>
  <c r="X81" i="23"/>
  <c r="W81" i="23" s="1"/>
  <c r="V81" i="23"/>
  <c r="U81" i="23" s="1"/>
  <c r="Z81" i="23"/>
  <c r="Y81" i="23" s="1"/>
  <c r="T81" i="23"/>
  <c r="S81" i="23" s="1"/>
  <c r="AA71" i="7"/>
  <c r="Z51" i="7"/>
  <c r="Y51" i="7" s="1"/>
  <c r="V51" i="7"/>
  <c r="U51" i="7" s="1"/>
  <c r="T51" i="7"/>
  <c r="S51" i="7" s="1"/>
  <c r="X51" i="7"/>
  <c r="W51" i="7" s="1"/>
  <c r="M46" i="23"/>
  <c r="T19" i="23"/>
  <c r="S19" i="23" s="1"/>
  <c r="Z19" i="23"/>
  <c r="Y19" i="23" s="1"/>
  <c r="V19" i="23"/>
  <c r="U19" i="23" s="1"/>
  <c r="X19" i="23"/>
  <c r="W19" i="23" s="1"/>
  <c r="M54" i="23"/>
  <c r="M65" i="23"/>
  <c r="T141" i="7"/>
  <c r="S141" i="7" s="1"/>
  <c r="X141" i="7"/>
  <c r="W141" i="7" s="1"/>
  <c r="V141" i="7"/>
  <c r="U141" i="7" s="1"/>
  <c r="Z141" i="7"/>
  <c r="Y141" i="7" s="1"/>
  <c r="AA141" i="7"/>
  <c r="M118" i="7"/>
  <c r="AB118" i="7" s="1"/>
  <c r="V99" i="7"/>
  <c r="U99" i="7" s="1"/>
  <c r="Z99" i="7"/>
  <c r="Y99" i="7" s="1"/>
  <c r="X99" i="7"/>
  <c r="W99" i="7" s="1"/>
  <c r="T99" i="7"/>
  <c r="S99" i="7" s="1"/>
  <c r="AA125" i="7"/>
  <c r="M117" i="7"/>
  <c r="AA26" i="23"/>
  <c r="V84" i="23"/>
  <c r="U84" i="23" s="1"/>
  <c r="Z84" i="23"/>
  <c r="Y84" i="23" s="1"/>
  <c r="X84" i="23"/>
  <c r="W84" i="23" s="1"/>
  <c r="T84" i="23"/>
  <c r="S84" i="23" s="1"/>
  <c r="Z91" i="23"/>
  <c r="Y91" i="23" s="1"/>
  <c r="V91" i="23"/>
  <c r="U91" i="23" s="1"/>
  <c r="X91" i="23"/>
  <c r="W91" i="23" s="1"/>
  <c r="T91" i="23"/>
  <c r="S91" i="23" s="1"/>
  <c r="V67" i="23"/>
  <c r="U67" i="23" s="1"/>
  <c r="X67" i="23"/>
  <c r="W67" i="23" s="1"/>
  <c r="T67" i="23"/>
  <c r="S67" i="23" s="1"/>
  <c r="Z67" i="23"/>
  <c r="Y67" i="23" s="1"/>
  <c r="Z59" i="23"/>
  <c r="Y59" i="23" s="1"/>
  <c r="T59" i="23"/>
  <c r="S59" i="23" s="1"/>
  <c r="X59" i="23"/>
  <c r="W59" i="23" s="1"/>
  <c r="V59" i="23"/>
  <c r="U59" i="23" s="1"/>
  <c r="X66" i="23"/>
  <c r="W66" i="23" s="1"/>
  <c r="V66" i="23"/>
  <c r="U66" i="23" s="1"/>
  <c r="T66" i="23"/>
  <c r="S66" i="23" s="1"/>
  <c r="Z66" i="23"/>
  <c r="Y66" i="23" s="1"/>
  <c r="X87" i="23"/>
  <c r="W87" i="23" s="1"/>
  <c r="T87" i="23"/>
  <c r="S87" i="23" s="1"/>
  <c r="V87" i="23"/>
  <c r="U87" i="23" s="1"/>
  <c r="Z87" i="23"/>
  <c r="Y87" i="23" s="1"/>
  <c r="M61" i="7"/>
  <c r="M68" i="7"/>
  <c r="AB68" i="7" s="1"/>
  <c r="H5" i="7"/>
  <c r="AA20" i="23"/>
  <c r="M65" i="7"/>
  <c r="AB65" i="7" s="1"/>
  <c r="AD88" i="26"/>
  <c r="AC88" i="26" s="1"/>
  <c r="AG88" i="26"/>
  <c r="AD90" i="26"/>
  <c r="AC90" i="26" s="1"/>
  <c r="AG90" i="26"/>
  <c r="AG33" i="26"/>
  <c r="AD33" i="26"/>
  <c r="AC33" i="26" s="1"/>
  <c r="X56" i="26"/>
  <c r="W56" i="26" s="1"/>
  <c r="Z56" i="26"/>
  <c r="Y56" i="26" s="1"/>
  <c r="AB56" i="26"/>
  <c r="AA56" i="26" s="1"/>
  <c r="V56" i="26"/>
  <c r="U56" i="26" s="1"/>
  <c r="O42" i="26"/>
  <c r="AH42" i="26" s="1"/>
  <c r="AD40" i="26"/>
  <c r="AC40" i="26" s="1"/>
  <c r="AG40" i="26"/>
  <c r="AB63" i="26"/>
  <c r="AA63" i="26" s="1"/>
  <c r="X63" i="26"/>
  <c r="W63" i="26" s="1"/>
  <c r="Z63" i="26"/>
  <c r="Y63" i="26" s="1"/>
  <c r="V63" i="26"/>
  <c r="U63" i="26" s="1"/>
  <c r="O49" i="26"/>
  <c r="AH49" i="26" s="1"/>
  <c r="AD47" i="26"/>
  <c r="AC47" i="26" s="1"/>
  <c r="AG47" i="26"/>
  <c r="X70" i="26"/>
  <c r="W70" i="26" s="1"/>
  <c r="Z70" i="26"/>
  <c r="Y70" i="26" s="1"/>
  <c r="AB70" i="26"/>
  <c r="AA70" i="26" s="1"/>
  <c r="V70" i="26"/>
  <c r="U70" i="26" s="1"/>
  <c r="O56" i="26"/>
  <c r="AH56" i="26" s="1"/>
  <c r="AD54" i="26"/>
  <c r="AC54" i="26" s="1"/>
  <c r="AG54" i="26"/>
  <c r="AB77" i="26"/>
  <c r="AA77" i="26" s="1"/>
  <c r="Z77" i="26"/>
  <c r="Y77" i="26" s="1"/>
  <c r="X77" i="26"/>
  <c r="W77" i="26" s="1"/>
  <c r="V77" i="26"/>
  <c r="U77" i="26" s="1"/>
  <c r="X13" i="26"/>
  <c r="W13" i="26" s="1"/>
  <c r="AB13" i="26"/>
  <c r="AA13" i="26" s="1"/>
  <c r="Z13" i="26"/>
  <c r="Y13" i="26" s="1"/>
  <c r="V13" i="26"/>
  <c r="U13" i="26" s="1"/>
  <c r="O63" i="26"/>
  <c r="AH63" i="26" s="1"/>
  <c r="AF56" i="26"/>
  <c r="AE56" i="26" s="1"/>
  <c r="AF46" i="26"/>
  <c r="AE46" i="26" s="1"/>
  <c r="AF66" i="26"/>
  <c r="AE66" i="26" s="1"/>
  <c r="AG9" i="26"/>
  <c r="AD9" i="26"/>
  <c r="AC9" i="26" s="1"/>
  <c r="M5" i="26"/>
  <c r="AF89" i="26"/>
  <c r="AE89" i="26" s="1"/>
  <c r="Z134" i="7"/>
  <c r="Y134" i="7" s="1"/>
  <c r="M146" i="7"/>
  <c r="AB146" i="7" s="1"/>
  <c r="Z52" i="23"/>
  <c r="Y52" i="23" s="1"/>
  <c r="M124" i="7"/>
  <c r="AB124" i="7" s="1"/>
  <c r="Z149" i="7"/>
  <c r="Y149" i="7" s="1"/>
  <c r="X24" i="7"/>
  <c r="W24" i="7" s="1"/>
  <c r="Z150" i="7"/>
  <c r="Y150" i="7" s="1"/>
  <c r="X78" i="23"/>
  <c r="W78" i="23" s="1"/>
  <c r="Z140" i="7"/>
  <c r="Y140" i="7" s="1"/>
  <c r="AA15" i="23"/>
  <c r="Z23" i="7"/>
  <c r="Y23" i="7" s="1"/>
  <c r="M71" i="7"/>
  <c r="AB71" i="7" s="1"/>
  <c r="M74" i="23"/>
  <c r="AA100" i="7"/>
  <c r="AA143" i="7"/>
  <c r="AA32" i="7"/>
  <c r="Z94" i="23"/>
  <c r="Y94" i="23" s="1"/>
  <c r="X94" i="23"/>
  <c r="W94" i="23" s="1"/>
  <c r="V94" i="23"/>
  <c r="U94" i="23" s="1"/>
  <c r="T94" i="23"/>
  <c r="S94" i="23" s="1"/>
  <c r="AA67" i="7"/>
  <c r="AA120" i="7"/>
  <c r="X151" i="7"/>
  <c r="W151" i="7" s="1"/>
  <c r="T151" i="7"/>
  <c r="S151" i="7" s="1"/>
  <c r="Z151" i="7"/>
  <c r="Y151" i="7" s="1"/>
  <c r="V151" i="7"/>
  <c r="U151" i="7" s="1"/>
  <c r="Z104" i="7"/>
  <c r="Y104" i="7" s="1"/>
  <c r="V104" i="7"/>
  <c r="U104" i="7" s="1"/>
  <c r="X104" i="7"/>
  <c r="W104" i="7" s="1"/>
  <c r="T104" i="7"/>
  <c r="S104" i="7" s="1"/>
  <c r="AA92" i="7"/>
  <c r="M106" i="7"/>
  <c r="AB106" i="7" s="1"/>
  <c r="T26" i="7"/>
  <c r="S26" i="7" s="1"/>
  <c r="X26" i="7"/>
  <c r="W26" i="7" s="1"/>
  <c r="V26" i="7"/>
  <c r="U26" i="7" s="1"/>
  <c r="Z26" i="7"/>
  <c r="Y26" i="7" s="1"/>
  <c r="Z14" i="23"/>
  <c r="Y14" i="23" s="1"/>
  <c r="T14" i="23"/>
  <c r="S14" i="23" s="1"/>
  <c r="X14" i="23"/>
  <c r="W14" i="23" s="1"/>
  <c r="V14" i="23"/>
  <c r="U14" i="23" s="1"/>
  <c r="M66" i="7"/>
  <c r="AA154" i="7"/>
  <c r="M122" i="7"/>
  <c r="M23" i="7"/>
  <c r="AB23" i="7" s="1"/>
  <c r="X30" i="23"/>
  <c r="W30" i="23" s="1"/>
  <c r="Z30" i="23"/>
  <c r="Y30" i="23" s="1"/>
  <c r="V30" i="23"/>
  <c r="U30" i="23" s="1"/>
  <c r="T30" i="23"/>
  <c r="S30" i="23" s="1"/>
  <c r="M16" i="7"/>
  <c r="AB16" i="7" s="1"/>
  <c r="AA57" i="7"/>
  <c r="M30" i="7"/>
  <c r="AB30" i="7" s="1"/>
  <c r="Z48" i="7"/>
  <c r="Y48" i="7" s="1"/>
  <c r="X48" i="7"/>
  <c r="W48" i="7" s="1"/>
  <c r="V48" i="7"/>
  <c r="U48" i="7" s="1"/>
  <c r="T48" i="7"/>
  <c r="S48" i="7" s="1"/>
  <c r="Z58" i="23"/>
  <c r="Y58" i="23" s="1"/>
  <c r="V58" i="23"/>
  <c r="U58" i="23" s="1"/>
  <c r="X58" i="23"/>
  <c r="W58" i="23" s="1"/>
  <c r="T58" i="23"/>
  <c r="S58" i="23" s="1"/>
  <c r="AA43" i="7"/>
  <c r="AA115" i="7"/>
  <c r="AA99" i="7"/>
  <c r="V93" i="23"/>
  <c r="U93" i="23" s="1"/>
  <c r="T93" i="23"/>
  <c r="S93" i="23" s="1"/>
  <c r="X93" i="23"/>
  <c r="W93" i="23" s="1"/>
  <c r="Z93" i="23"/>
  <c r="Y93" i="23" s="1"/>
  <c r="M47" i="7"/>
  <c r="AB47" i="7" s="1"/>
  <c r="T105" i="7"/>
  <c r="S105" i="7" s="1"/>
  <c r="T69" i="23"/>
  <c r="S69" i="23" s="1"/>
  <c r="T41" i="23"/>
  <c r="S41" i="23" s="1"/>
  <c r="AD84" i="26"/>
  <c r="AC84" i="26" s="1"/>
  <c r="AG84" i="26"/>
  <c r="AD86" i="26"/>
  <c r="AC86" i="26" s="1"/>
  <c r="AG86" i="26"/>
  <c r="AG29" i="26"/>
  <c r="AD29" i="26"/>
  <c r="AC29" i="26" s="1"/>
  <c r="X52" i="26"/>
  <c r="W52" i="26" s="1"/>
  <c r="AB52" i="26"/>
  <c r="AA52" i="26" s="1"/>
  <c r="Z52" i="26"/>
  <c r="Y52" i="26" s="1"/>
  <c r="V52" i="26"/>
  <c r="U52" i="26" s="1"/>
  <c r="O38" i="26"/>
  <c r="AD36" i="26"/>
  <c r="AC36" i="26" s="1"/>
  <c r="AG36" i="26"/>
  <c r="AB59" i="26"/>
  <c r="AA59" i="26" s="1"/>
  <c r="X59" i="26"/>
  <c r="W59" i="26" s="1"/>
  <c r="Z59" i="26"/>
  <c r="Y59" i="26" s="1"/>
  <c r="V59" i="26"/>
  <c r="U59" i="26" s="1"/>
  <c r="O45" i="26"/>
  <c r="AH45" i="26" s="1"/>
  <c r="AD43" i="26"/>
  <c r="AC43" i="26" s="1"/>
  <c r="AG43" i="26"/>
  <c r="X66" i="26"/>
  <c r="W66" i="26" s="1"/>
  <c r="AB66" i="26"/>
  <c r="AA66" i="26" s="1"/>
  <c r="Z66" i="26"/>
  <c r="Y66" i="26" s="1"/>
  <c r="V66" i="26"/>
  <c r="U66" i="26" s="1"/>
  <c r="O52" i="26"/>
  <c r="AH52" i="26" s="1"/>
  <c r="AD50" i="26"/>
  <c r="AC50" i="26" s="1"/>
  <c r="AG50" i="26"/>
  <c r="AB73" i="26"/>
  <c r="AA73" i="26" s="1"/>
  <c r="X73" i="26"/>
  <c r="W73" i="26" s="1"/>
  <c r="Z73" i="26"/>
  <c r="Y73" i="26" s="1"/>
  <c r="V73" i="26"/>
  <c r="U73" i="26" s="1"/>
  <c r="O59" i="26"/>
  <c r="AH59" i="26" s="1"/>
  <c r="AF95" i="26"/>
  <c r="AE95" i="26" s="1"/>
  <c r="AF92" i="26"/>
  <c r="AE92" i="26" s="1"/>
  <c r="AF79" i="26"/>
  <c r="AE79" i="26" s="1"/>
  <c r="O17" i="26"/>
  <c r="AF69" i="26"/>
  <c r="AE69" i="26" s="1"/>
  <c r="V152" i="7"/>
  <c r="U152" i="7" s="1"/>
  <c r="V83" i="23"/>
  <c r="U83" i="23" s="1"/>
  <c r="Z56" i="7"/>
  <c r="Y56" i="7" s="1"/>
  <c r="M47" i="23"/>
  <c r="T90" i="23"/>
  <c r="S90" i="23" s="1"/>
  <c r="V29" i="23"/>
  <c r="U29" i="23" s="1"/>
  <c r="T95" i="7"/>
  <c r="S95" i="7" s="1"/>
  <c r="V21" i="7"/>
  <c r="U21" i="7" s="1"/>
  <c r="Z111" i="7"/>
  <c r="Y111" i="7" s="1"/>
  <c r="X111" i="7"/>
  <c r="W111" i="7" s="1"/>
  <c r="T111" i="7"/>
  <c r="S111" i="7" s="1"/>
  <c r="V111" i="7"/>
  <c r="U111" i="7" s="1"/>
  <c r="M120" i="7"/>
  <c r="AB120" i="7" s="1"/>
  <c r="M91" i="7"/>
  <c r="AB91" i="7" s="1"/>
  <c r="M59" i="7"/>
  <c r="T95" i="23"/>
  <c r="S95" i="23" s="1"/>
  <c r="Z95" i="23"/>
  <c r="Y95" i="23" s="1"/>
  <c r="X95" i="23"/>
  <c r="W95" i="23" s="1"/>
  <c r="V95" i="23"/>
  <c r="U95" i="23" s="1"/>
  <c r="M128" i="7"/>
  <c r="AB128" i="7" s="1"/>
  <c r="M34" i="7"/>
  <c r="AB34" i="7" s="1"/>
  <c r="T120" i="7"/>
  <c r="S120" i="7" s="1"/>
  <c r="V120" i="7"/>
  <c r="U120" i="7" s="1"/>
  <c r="X120" i="7"/>
  <c r="W120" i="7" s="1"/>
  <c r="Z120" i="7"/>
  <c r="Y120" i="7" s="1"/>
  <c r="M78" i="23"/>
  <c r="AB78" i="23" s="1"/>
  <c r="M95" i="7"/>
  <c r="AB95" i="7" s="1"/>
  <c r="V50" i="7"/>
  <c r="U50" i="7" s="1"/>
  <c r="Z50" i="7"/>
  <c r="Y50" i="7" s="1"/>
  <c r="X50" i="7"/>
  <c r="W50" i="7" s="1"/>
  <c r="T50" i="7"/>
  <c r="S50" i="7" s="1"/>
  <c r="M88" i="7"/>
  <c r="AB88" i="7" s="1"/>
  <c r="V20" i="7"/>
  <c r="U20" i="7" s="1"/>
  <c r="X20" i="7"/>
  <c r="W20" i="7" s="1"/>
  <c r="Z20" i="7"/>
  <c r="Y20" i="7" s="1"/>
  <c r="T20" i="7"/>
  <c r="S20" i="7" s="1"/>
  <c r="Z29" i="7"/>
  <c r="Y29" i="7" s="1"/>
  <c r="V29" i="7"/>
  <c r="U29" i="7" s="1"/>
  <c r="X29" i="7"/>
  <c r="W29" i="7" s="1"/>
  <c r="T29" i="7"/>
  <c r="S29" i="7" s="1"/>
  <c r="Z9" i="23"/>
  <c r="Y9" i="23" s="1"/>
  <c r="T9" i="23"/>
  <c r="S9" i="23" s="1"/>
  <c r="V9" i="23"/>
  <c r="U9" i="23" s="1"/>
  <c r="X9" i="23"/>
  <c r="W9" i="23" s="1"/>
  <c r="L5" i="23"/>
  <c r="M39" i="23"/>
  <c r="M125" i="7"/>
  <c r="M144" i="7"/>
  <c r="X127" i="7"/>
  <c r="W127" i="7" s="1"/>
  <c r="T60" i="7"/>
  <c r="S60" i="7" s="1"/>
  <c r="M60" i="7"/>
  <c r="I5" i="23"/>
  <c r="AD80" i="26"/>
  <c r="AC80" i="26" s="1"/>
  <c r="AG80" i="26"/>
  <c r="AD82" i="26"/>
  <c r="AC82" i="26" s="1"/>
  <c r="AG82" i="26"/>
  <c r="AG25" i="26"/>
  <c r="AD25" i="26"/>
  <c r="AC25" i="26" s="1"/>
  <c r="X48" i="26"/>
  <c r="W48" i="26" s="1"/>
  <c r="Z48" i="26"/>
  <c r="Y48" i="26" s="1"/>
  <c r="AB48" i="26"/>
  <c r="AA48" i="26" s="1"/>
  <c r="V48" i="26"/>
  <c r="U48" i="26" s="1"/>
  <c r="O34" i="26"/>
  <c r="AH34" i="26" s="1"/>
  <c r="AD32" i="26"/>
  <c r="AC32" i="26" s="1"/>
  <c r="AG32" i="26"/>
  <c r="AB55" i="26"/>
  <c r="AA55" i="26" s="1"/>
  <c r="X55" i="26"/>
  <c r="W55" i="26" s="1"/>
  <c r="Z55" i="26"/>
  <c r="Y55" i="26" s="1"/>
  <c r="V55" i="26"/>
  <c r="U55" i="26" s="1"/>
  <c r="O41" i="26"/>
  <c r="AH41" i="26" s="1"/>
  <c r="AG39" i="26"/>
  <c r="AD39" i="26"/>
  <c r="AC39" i="26" s="1"/>
  <c r="X62" i="26"/>
  <c r="W62" i="26" s="1"/>
  <c r="Z62" i="26"/>
  <c r="Y62" i="26" s="1"/>
  <c r="AB62" i="26"/>
  <c r="AA62" i="26" s="1"/>
  <c r="V62" i="26"/>
  <c r="U62" i="26" s="1"/>
  <c r="O48" i="26"/>
  <c r="AH48" i="26" s="1"/>
  <c r="AD46" i="26"/>
  <c r="AC46" i="26" s="1"/>
  <c r="AG46" i="26"/>
  <c r="AB69" i="26"/>
  <c r="AA69" i="26" s="1"/>
  <c r="Z69" i="26"/>
  <c r="Y69" i="26" s="1"/>
  <c r="X69" i="26"/>
  <c r="W69" i="26" s="1"/>
  <c r="V69" i="26"/>
  <c r="U69" i="26" s="1"/>
  <c r="O55" i="26"/>
  <c r="AH55" i="26" s="1"/>
  <c r="AF82" i="26"/>
  <c r="AE82" i="26" s="1"/>
  <c r="V76" i="7"/>
  <c r="U76" i="7" s="1"/>
  <c r="V81" i="7"/>
  <c r="U81" i="7" s="1"/>
  <c r="M152" i="7"/>
  <c r="AB152" i="7" s="1"/>
  <c r="Z39" i="7"/>
  <c r="Y39" i="7" s="1"/>
  <c r="X38" i="23"/>
  <c r="W38" i="23" s="1"/>
  <c r="V38" i="23"/>
  <c r="U38" i="23" s="1"/>
  <c r="Z38" i="23"/>
  <c r="Y38" i="23" s="1"/>
  <c r="T38" i="23"/>
  <c r="S38" i="23" s="1"/>
  <c r="AA73" i="7"/>
  <c r="Z45" i="23"/>
  <c r="Y45" i="23" s="1"/>
  <c r="V45" i="23"/>
  <c r="U45" i="23" s="1"/>
  <c r="X45" i="23"/>
  <c r="W45" i="23" s="1"/>
  <c r="T45" i="23"/>
  <c r="S45" i="23" s="1"/>
  <c r="M94" i="7"/>
  <c r="M105" i="7"/>
  <c r="M93" i="7"/>
  <c r="AB93" i="7" s="1"/>
  <c r="J5" i="7"/>
  <c r="M73" i="23"/>
  <c r="AB73" i="23" s="1"/>
  <c r="M92" i="23"/>
  <c r="AB92" i="23" s="1"/>
  <c r="M24" i="7"/>
  <c r="AB24" i="7" s="1"/>
  <c r="AA131" i="7"/>
  <c r="T47" i="23"/>
  <c r="S47" i="23" s="1"/>
  <c r="Z47" i="23"/>
  <c r="Y47" i="23" s="1"/>
  <c r="X47" i="23"/>
  <c r="W47" i="23" s="1"/>
  <c r="V47" i="23"/>
  <c r="U47" i="23" s="1"/>
  <c r="M70" i="7"/>
  <c r="AB70" i="7" s="1"/>
  <c r="M31" i="7"/>
  <c r="X46" i="7"/>
  <c r="W46" i="7" s="1"/>
  <c r="V46" i="7"/>
  <c r="U46" i="7" s="1"/>
  <c r="Z46" i="7"/>
  <c r="Y46" i="7" s="1"/>
  <c r="T46" i="7"/>
  <c r="S46" i="7" s="1"/>
  <c r="M92" i="7"/>
  <c r="AB92" i="7" s="1"/>
  <c r="M150" i="7"/>
  <c r="AB150" i="7" s="1"/>
  <c r="X71" i="7"/>
  <c r="W71" i="7" s="1"/>
  <c r="Z71" i="7"/>
  <c r="Y71" i="7" s="1"/>
  <c r="T71" i="7"/>
  <c r="S71" i="7" s="1"/>
  <c r="V71" i="7"/>
  <c r="U71" i="7" s="1"/>
  <c r="V63" i="23"/>
  <c r="U63" i="23" s="1"/>
  <c r="T63" i="23"/>
  <c r="S63" i="23" s="1"/>
  <c r="Z63" i="23"/>
  <c r="Y63" i="23" s="1"/>
  <c r="X63" i="23"/>
  <c r="W63" i="23" s="1"/>
  <c r="M57" i="7"/>
  <c r="T66" i="7"/>
  <c r="S66" i="7" s="1"/>
  <c r="Z66" i="7"/>
  <c r="Y66" i="7" s="1"/>
  <c r="V66" i="7"/>
  <c r="U66" i="7" s="1"/>
  <c r="X66" i="7"/>
  <c r="W66" i="7" s="1"/>
  <c r="M79" i="23"/>
  <c r="M32" i="23"/>
  <c r="M27" i="7"/>
  <c r="AB27" i="7" s="1"/>
  <c r="V53" i="23"/>
  <c r="U53" i="23" s="1"/>
  <c r="X53" i="23"/>
  <c r="W53" i="23" s="1"/>
  <c r="Z53" i="23"/>
  <c r="Y53" i="23" s="1"/>
  <c r="T53" i="23"/>
  <c r="S53" i="23" s="1"/>
  <c r="Z18" i="23"/>
  <c r="Y18" i="23" s="1"/>
  <c r="T18" i="23"/>
  <c r="S18" i="23" s="1"/>
  <c r="X18" i="23"/>
  <c r="W18" i="23" s="1"/>
  <c r="V18" i="23"/>
  <c r="U18" i="23" s="1"/>
  <c r="M87" i="7"/>
  <c r="AB87" i="7" s="1"/>
  <c r="Z86" i="23"/>
  <c r="Y86" i="23" s="1"/>
  <c r="V86" i="23"/>
  <c r="U86" i="23" s="1"/>
  <c r="T86" i="23"/>
  <c r="S86" i="23" s="1"/>
  <c r="X86" i="23"/>
  <c r="W86" i="23" s="1"/>
  <c r="M51" i="23"/>
  <c r="T32" i="23"/>
  <c r="S32" i="23" s="1"/>
  <c r="Z70" i="7"/>
  <c r="Y70" i="7" s="1"/>
  <c r="T24" i="23"/>
  <c r="S24" i="23" s="1"/>
  <c r="T80" i="7"/>
  <c r="S80" i="7" s="1"/>
  <c r="V22" i="23"/>
  <c r="U22" i="23" s="1"/>
  <c r="T78" i="7"/>
  <c r="S78" i="7" s="1"/>
  <c r="AD92" i="26"/>
  <c r="AC92" i="26" s="1"/>
  <c r="AG92" i="26"/>
  <c r="AD94" i="26"/>
  <c r="AC94" i="26" s="1"/>
  <c r="AG94" i="26"/>
  <c r="AG37" i="26"/>
  <c r="AD37" i="26"/>
  <c r="AC37" i="26" s="1"/>
  <c r="X60" i="26"/>
  <c r="W60" i="26" s="1"/>
  <c r="AB60" i="26"/>
  <c r="AA60" i="26" s="1"/>
  <c r="Z60" i="26"/>
  <c r="Y60" i="26" s="1"/>
  <c r="V60" i="26"/>
  <c r="U60" i="26" s="1"/>
  <c r="O46" i="26"/>
  <c r="AH46" i="26" s="1"/>
  <c r="AD44" i="26"/>
  <c r="AC44" i="26" s="1"/>
  <c r="AG44" i="26"/>
  <c r="AB67" i="26"/>
  <c r="AA67" i="26" s="1"/>
  <c r="X67" i="26"/>
  <c r="W67" i="26" s="1"/>
  <c r="Z67" i="26"/>
  <c r="Y67" i="26" s="1"/>
  <c r="V67" i="26"/>
  <c r="U67" i="26" s="1"/>
  <c r="O53" i="26"/>
  <c r="AH53" i="26" s="1"/>
  <c r="AD51" i="26"/>
  <c r="AC51" i="26" s="1"/>
  <c r="AG51" i="26"/>
  <c r="X74" i="26"/>
  <c r="W74" i="26" s="1"/>
  <c r="AB74" i="26"/>
  <c r="AA74" i="26" s="1"/>
  <c r="Z74" i="26"/>
  <c r="Y74" i="26" s="1"/>
  <c r="V74" i="26"/>
  <c r="U74" i="26" s="1"/>
  <c r="X10" i="26"/>
  <c r="W10" i="26" s="1"/>
  <c r="AB10" i="26"/>
  <c r="AA10" i="26" s="1"/>
  <c r="Z10" i="26"/>
  <c r="Y10" i="26" s="1"/>
  <c r="V10" i="26"/>
  <c r="U10" i="26" s="1"/>
  <c r="O60" i="26"/>
  <c r="AH60" i="26" s="1"/>
  <c r="AD58" i="26"/>
  <c r="AC58" i="26" s="1"/>
  <c r="AG58" i="26"/>
  <c r="AB81" i="26"/>
  <c r="AA81" i="26" s="1"/>
  <c r="X81" i="26"/>
  <c r="W81" i="26" s="1"/>
  <c r="Z81" i="26"/>
  <c r="Y81" i="26" s="1"/>
  <c r="V81" i="26"/>
  <c r="U81" i="26" s="1"/>
  <c r="X17" i="26"/>
  <c r="W17" i="26" s="1"/>
  <c r="AB17" i="26"/>
  <c r="AA17" i="26" s="1"/>
  <c r="Z17" i="26"/>
  <c r="Y17" i="26" s="1"/>
  <c r="V17" i="26"/>
  <c r="U17" i="26" s="1"/>
  <c r="O67" i="26"/>
  <c r="AH67" i="26" s="1"/>
  <c r="AF76" i="26"/>
  <c r="AE76" i="26" s="1"/>
  <c r="AF53" i="26"/>
  <c r="AE53" i="26" s="1"/>
  <c r="K5" i="26"/>
  <c r="T14" i="7"/>
  <c r="S14" i="7" s="1"/>
  <c r="M49" i="23"/>
  <c r="V93" i="7"/>
  <c r="U93" i="7" s="1"/>
  <c r="M119" i="7"/>
  <c r="AB119" i="7" s="1"/>
  <c r="M21" i="23"/>
  <c r="AB21" i="23" s="1"/>
  <c r="Z47" i="7"/>
  <c r="Y47" i="7" s="1"/>
  <c r="X47" i="7"/>
  <c r="W47" i="7" s="1"/>
  <c r="V47" i="7"/>
  <c r="U47" i="7" s="1"/>
  <c r="T47" i="7"/>
  <c r="S47" i="7" s="1"/>
  <c r="M45" i="23"/>
  <c r="AB45" i="23" s="1"/>
  <c r="M80" i="23"/>
  <c r="AB80" i="23" s="1"/>
  <c r="X48" i="23"/>
  <c r="W48" i="23" s="1"/>
  <c r="V48" i="23"/>
  <c r="U48" i="23" s="1"/>
  <c r="Z48" i="23"/>
  <c r="Y48" i="23" s="1"/>
  <c r="T48" i="23"/>
  <c r="S48" i="23" s="1"/>
  <c r="V18" i="7"/>
  <c r="U18" i="7" s="1"/>
  <c r="Z18" i="7"/>
  <c r="Y18" i="7" s="1"/>
  <c r="X18" i="7"/>
  <c r="W18" i="7" s="1"/>
  <c r="T18" i="7"/>
  <c r="S18" i="7" s="1"/>
  <c r="M26" i="23"/>
  <c r="M22" i="7"/>
  <c r="J5" i="23"/>
  <c r="M44" i="23"/>
  <c r="AB44" i="23" s="1"/>
  <c r="V26" i="23"/>
  <c r="U26" i="23" s="1"/>
  <c r="X26" i="23"/>
  <c r="W26" i="23" s="1"/>
  <c r="Z26" i="23"/>
  <c r="Y26" i="23" s="1"/>
  <c r="T26" i="23"/>
  <c r="S26" i="23" s="1"/>
  <c r="T57" i="7"/>
  <c r="S57" i="7" s="1"/>
  <c r="Z57" i="7"/>
  <c r="Y57" i="7" s="1"/>
  <c r="X57" i="7"/>
  <c r="W57" i="7" s="1"/>
  <c r="V57" i="7"/>
  <c r="U57" i="7" s="1"/>
  <c r="M42" i="23"/>
  <c r="M97" i="7"/>
  <c r="M141" i="7"/>
  <c r="AB141" i="7" s="1"/>
  <c r="M104" i="7"/>
  <c r="M35" i="7"/>
  <c r="AB35" i="7" s="1"/>
  <c r="X116" i="7"/>
  <c r="W116" i="7" s="1"/>
  <c r="Z116" i="7"/>
  <c r="Y116" i="7" s="1"/>
  <c r="T116" i="7"/>
  <c r="S116" i="7" s="1"/>
  <c r="V116" i="7"/>
  <c r="U116" i="7" s="1"/>
  <c r="M43" i="23"/>
  <c r="AA77" i="23"/>
  <c r="AA41" i="7"/>
  <c r="M64" i="23"/>
  <c r="X139" i="7"/>
  <c r="W139" i="7" s="1"/>
  <c r="T139" i="7"/>
  <c r="S139" i="7" s="1"/>
  <c r="Z139" i="7"/>
  <c r="Y139" i="7" s="1"/>
  <c r="V139" i="7"/>
  <c r="U139" i="7" s="1"/>
  <c r="AA80" i="23"/>
  <c r="V16" i="23"/>
  <c r="U16" i="23" s="1"/>
  <c r="Z16" i="23"/>
  <c r="Y16" i="23" s="1"/>
  <c r="T16" i="23"/>
  <c r="S16" i="23" s="1"/>
  <c r="X16" i="23"/>
  <c r="W16" i="23" s="1"/>
  <c r="AA9" i="23"/>
  <c r="K5" i="23"/>
  <c r="Z72" i="7"/>
  <c r="Y72" i="7" s="1"/>
  <c r="X72" i="7"/>
  <c r="W72" i="7" s="1"/>
  <c r="V72" i="7"/>
  <c r="U72" i="7" s="1"/>
  <c r="T72" i="7"/>
  <c r="S72" i="7" s="1"/>
  <c r="Z107" i="7"/>
  <c r="Y107" i="7" s="1"/>
  <c r="X107" i="7"/>
  <c r="W107" i="7" s="1"/>
  <c r="T107" i="7"/>
  <c r="S107" i="7" s="1"/>
  <c r="V107" i="7"/>
  <c r="U107" i="7" s="1"/>
  <c r="M136" i="7"/>
  <c r="AB136" i="7" s="1"/>
  <c r="M110" i="7"/>
  <c r="M94" i="23"/>
  <c r="AB94" i="23" s="1"/>
  <c r="AD72" i="26"/>
  <c r="AC72" i="26" s="1"/>
  <c r="AG72" i="26"/>
  <c r="AD74" i="26"/>
  <c r="AC74" i="26" s="1"/>
  <c r="AG74" i="26"/>
  <c r="AG17" i="26"/>
  <c r="AD17" i="26"/>
  <c r="AC17" i="26" s="1"/>
  <c r="X40" i="26"/>
  <c r="W40" i="26" s="1"/>
  <c r="Z40" i="26"/>
  <c r="Y40" i="26" s="1"/>
  <c r="AB40" i="26"/>
  <c r="AA40" i="26" s="1"/>
  <c r="V40" i="26"/>
  <c r="U40" i="26" s="1"/>
  <c r="O90" i="26"/>
  <c r="O26" i="26"/>
  <c r="AD24" i="26"/>
  <c r="AC24" i="26" s="1"/>
  <c r="AG24" i="26"/>
  <c r="AB47" i="26"/>
  <c r="AA47" i="26" s="1"/>
  <c r="X47" i="26"/>
  <c r="W47" i="26" s="1"/>
  <c r="Z47" i="26"/>
  <c r="Y47" i="26" s="1"/>
  <c r="V47" i="26"/>
  <c r="U47" i="26" s="1"/>
  <c r="O33" i="26"/>
  <c r="AD31" i="26"/>
  <c r="AC31" i="26" s="1"/>
  <c r="AG31" i="26"/>
  <c r="Z54" i="26"/>
  <c r="Y54" i="26" s="1"/>
  <c r="X54" i="26"/>
  <c r="W54" i="26" s="1"/>
  <c r="AB54" i="26"/>
  <c r="AA54" i="26" s="1"/>
  <c r="V54" i="26"/>
  <c r="U54" i="26" s="1"/>
  <c r="O40" i="26"/>
  <c r="AD38" i="26"/>
  <c r="AC38" i="26" s="1"/>
  <c r="AG38" i="26"/>
  <c r="AB61" i="26"/>
  <c r="AA61" i="26" s="1"/>
  <c r="Z61" i="26"/>
  <c r="Y61" i="26" s="1"/>
  <c r="X61" i="26"/>
  <c r="W61" i="26" s="1"/>
  <c r="V61" i="26"/>
  <c r="U61" i="26" s="1"/>
  <c r="O47" i="26"/>
  <c r="AH47" i="26" s="1"/>
  <c r="AF35" i="26"/>
  <c r="AE35" i="26" s="1"/>
  <c r="AF32" i="26"/>
  <c r="AE32" i="26" s="1"/>
  <c r="AF19" i="26"/>
  <c r="AE19" i="26" s="1"/>
  <c r="AF42" i="26"/>
  <c r="AE42" i="26" s="1"/>
  <c r="AF23" i="26"/>
  <c r="AE23" i="26" s="1"/>
  <c r="V134" i="7"/>
  <c r="U134" i="7" s="1"/>
  <c r="X52" i="23"/>
  <c r="W52" i="23" s="1"/>
  <c r="T149" i="7"/>
  <c r="S149" i="7" s="1"/>
  <c r="Z24" i="7"/>
  <c r="Y24" i="7" s="1"/>
  <c r="M85" i="7"/>
  <c r="AB85" i="7" s="1"/>
  <c r="V150" i="7"/>
  <c r="U150" i="7" s="1"/>
  <c r="V78" i="23"/>
  <c r="U78" i="23" s="1"/>
  <c r="V140" i="7"/>
  <c r="U140" i="7" s="1"/>
  <c r="V27" i="23"/>
  <c r="U27" i="23" s="1"/>
  <c r="AA47" i="7"/>
  <c r="X23" i="7"/>
  <c r="W23" i="7" s="1"/>
  <c r="M148" i="7"/>
  <c r="M29" i="7"/>
  <c r="AA25" i="23"/>
  <c r="V15" i="7"/>
  <c r="U15" i="7" s="1"/>
  <c r="T15" i="7"/>
  <c r="S15" i="7" s="1"/>
  <c r="Z15" i="7"/>
  <c r="Y15" i="7" s="1"/>
  <c r="X15" i="7"/>
  <c r="W15" i="7" s="1"/>
  <c r="T74" i="7"/>
  <c r="S74" i="7" s="1"/>
  <c r="Z74" i="7"/>
  <c r="Y74" i="7" s="1"/>
  <c r="V74" i="7"/>
  <c r="U74" i="7" s="1"/>
  <c r="X74" i="7"/>
  <c r="W74" i="7" s="1"/>
  <c r="AA146" i="7"/>
  <c r="AA65" i="7"/>
  <c r="Z73" i="23"/>
  <c r="Y73" i="23" s="1"/>
  <c r="X73" i="23"/>
  <c r="W73" i="23" s="1"/>
  <c r="V73" i="23"/>
  <c r="U73" i="23" s="1"/>
  <c r="T73" i="23"/>
  <c r="S73" i="23" s="1"/>
  <c r="M96" i="7"/>
  <c r="M121" i="7"/>
  <c r="AB121" i="7" s="1"/>
  <c r="M13" i="7"/>
  <c r="AA31" i="23"/>
  <c r="Z101" i="7"/>
  <c r="Y101" i="7" s="1"/>
  <c r="T101" i="7"/>
  <c r="S101" i="7" s="1"/>
  <c r="V101" i="7"/>
  <c r="U101" i="7" s="1"/>
  <c r="X101" i="7"/>
  <c r="W101" i="7" s="1"/>
  <c r="V52" i="7"/>
  <c r="U52" i="7" s="1"/>
  <c r="X52" i="7"/>
  <c r="W52" i="7" s="1"/>
  <c r="T52" i="7"/>
  <c r="S52" i="7" s="1"/>
  <c r="Z52" i="7"/>
  <c r="Y52" i="7" s="1"/>
  <c r="T69" i="7"/>
  <c r="S69" i="7" s="1"/>
  <c r="X69" i="7"/>
  <c r="W69" i="7" s="1"/>
  <c r="Z69" i="7"/>
  <c r="Y69" i="7" s="1"/>
  <c r="V69" i="7"/>
  <c r="U69" i="7" s="1"/>
  <c r="AA72" i="23"/>
  <c r="AA11" i="7"/>
  <c r="M23" i="23"/>
  <c r="M49" i="7"/>
  <c r="AB49" i="7" s="1"/>
  <c r="V75" i="7"/>
  <c r="U75" i="7" s="1"/>
  <c r="T75" i="7"/>
  <c r="S75" i="7" s="1"/>
  <c r="Z75" i="7"/>
  <c r="Y75" i="7" s="1"/>
  <c r="X75" i="7"/>
  <c r="W75" i="7" s="1"/>
  <c r="M14" i="7"/>
  <c r="Z79" i="23"/>
  <c r="Y79" i="23" s="1"/>
  <c r="V79" i="23"/>
  <c r="U79" i="23" s="1"/>
  <c r="T79" i="23"/>
  <c r="S79" i="23" s="1"/>
  <c r="X79" i="23"/>
  <c r="W79" i="23" s="1"/>
  <c r="Z44" i="23"/>
  <c r="Y44" i="23" s="1"/>
  <c r="X44" i="23"/>
  <c r="W44" i="23" s="1"/>
  <c r="T44" i="23"/>
  <c r="S44" i="23" s="1"/>
  <c r="V44" i="23"/>
  <c r="U44" i="23" s="1"/>
  <c r="M38" i="7"/>
  <c r="AB38" i="7" s="1"/>
  <c r="M33" i="7"/>
  <c r="V82" i="23"/>
  <c r="U82" i="23" s="1"/>
  <c r="X82" i="23"/>
  <c r="W82" i="23" s="1"/>
  <c r="T82" i="23"/>
  <c r="S82" i="23" s="1"/>
  <c r="Z82" i="23"/>
  <c r="Y82" i="23" s="1"/>
  <c r="T129" i="7"/>
  <c r="S129" i="7" s="1"/>
  <c r="Z129" i="7"/>
  <c r="Y129" i="7" s="1"/>
  <c r="V129" i="7"/>
  <c r="U129" i="7" s="1"/>
  <c r="X129" i="7"/>
  <c r="W129" i="7" s="1"/>
  <c r="M19" i="23"/>
  <c r="Z114" i="7"/>
  <c r="Y114" i="7" s="1"/>
  <c r="T114" i="7"/>
  <c r="S114" i="7" s="1"/>
  <c r="V114" i="7"/>
  <c r="U114" i="7" s="1"/>
  <c r="X114" i="7"/>
  <c r="W114" i="7" s="1"/>
  <c r="AA20" i="7"/>
  <c r="V12" i="7"/>
  <c r="U12" i="7" s="1"/>
  <c r="Z12" i="7"/>
  <c r="Y12" i="7" s="1"/>
  <c r="X12" i="7"/>
  <c r="W12" i="7" s="1"/>
  <c r="T12" i="7"/>
  <c r="S12" i="7" s="1"/>
  <c r="T12" i="23"/>
  <c r="S12" i="23" s="1"/>
  <c r="X12" i="23"/>
  <c r="W12" i="23" s="1"/>
  <c r="V12" i="23"/>
  <c r="U12" i="23" s="1"/>
  <c r="Z12" i="23"/>
  <c r="Y12" i="23" s="1"/>
  <c r="M75" i="7"/>
  <c r="M73" i="7"/>
  <c r="AB73" i="7" s="1"/>
  <c r="Z105" i="7"/>
  <c r="Y105" i="7" s="1"/>
  <c r="X69" i="23"/>
  <c r="W69" i="23" s="1"/>
  <c r="V41" i="23"/>
  <c r="U41" i="23" s="1"/>
  <c r="AD68" i="26"/>
  <c r="AC68" i="26" s="1"/>
  <c r="AG68" i="26"/>
  <c r="AD70" i="26"/>
  <c r="AC70" i="26" s="1"/>
  <c r="AG70" i="26"/>
  <c r="AG13" i="26"/>
  <c r="AD13" i="26"/>
  <c r="AC13" i="26" s="1"/>
  <c r="X36" i="26"/>
  <c r="W36" i="26" s="1"/>
  <c r="AB36" i="26"/>
  <c r="AA36" i="26" s="1"/>
  <c r="Z36" i="26"/>
  <c r="Y36" i="26" s="1"/>
  <c r="V36" i="26"/>
  <c r="U36" i="26" s="1"/>
  <c r="O86" i="26"/>
  <c r="AH86" i="26" s="1"/>
  <c r="O22" i="26"/>
  <c r="AD20" i="26"/>
  <c r="AC20" i="26" s="1"/>
  <c r="AG20" i="26"/>
  <c r="AB43" i="26"/>
  <c r="AA43" i="26" s="1"/>
  <c r="X43" i="26"/>
  <c r="W43" i="26" s="1"/>
  <c r="Z43" i="26"/>
  <c r="Y43" i="26" s="1"/>
  <c r="V43" i="26"/>
  <c r="U43" i="26" s="1"/>
  <c r="O93" i="26"/>
  <c r="AH93" i="26" s="1"/>
  <c r="O29" i="26"/>
  <c r="AH29" i="26" s="1"/>
  <c r="AD27" i="26"/>
  <c r="AC27" i="26" s="1"/>
  <c r="AG27" i="26"/>
  <c r="AB50" i="26"/>
  <c r="AA50" i="26" s="1"/>
  <c r="X50" i="26"/>
  <c r="W50" i="26" s="1"/>
  <c r="Z50" i="26"/>
  <c r="Y50" i="26" s="1"/>
  <c r="V50" i="26"/>
  <c r="U50" i="26" s="1"/>
  <c r="O36" i="26"/>
  <c r="AH36" i="26" s="1"/>
  <c r="AD34" i="26"/>
  <c r="AC34" i="26" s="1"/>
  <c r="AG34" i="26"/>
  <c r="AB57" i="26"/>
  <c r="AA57" i="26" s="1"/>
  <c r="X57" i="26"/>
  <c r="W57" i="26" s="1"/>
  <c r="Z57" i="26"/>
  <c r="Y57" i="26" s="1"/>
  <c r="V57" i="26"/>
  <c r="U57" i="26" s="1"/>
  <c r="O43" i="26"/>
  <c r="AH43" i="26" s="1"/>
  <c r="AF15" i="26"/>
  <c r="AE15" i="26" s="1"/>
  <c r="AF12" i="26"/>
  <c r="AE12" i="26" s="1"/>
  <c r="AF21" i="26"/>
  <c r="AE21" i="26" s="1"/>
  <c r="AF25" i="26"/>
  <c r="AE25" i="26" s="1"/>
  <c r="AF22" i="26"/>
  <c r="AE22" i="26" s="1"/>
  <c r="AF16" i="26"/>
  <c r="AE16" i="26" s="1"/>
  <c r="T152" i="7"/>
  <c r="S152" i="7" s="1"/>
  <c r="T28" i="7"/>
  <c r="S28" i="7" s="1"/>
  <c r="X83" i="23"/>
  <c r="W83" i="23" s="1"/>
  <c r="AA17" i="23"/>
  <c r="T56" i="7"/>
  <c r="S56" i="7" s="1"/>
  <c r="X90" i="23"/>
  <c r="W90" i="23" s="1"/>
  <c r="T29" i="23"/>
  <c r="S29" i="23" s="1"/>
  <c r="Z95" i="7"/>
  <c r="Y95" i="7" s="1"/>
  <c r="X21" i="7"/>
  <c r="W21" i="7" s="1"/>
  <c r="AA12" i="7"/>
  <c r="V144" i="7"/>
  <c r="U144" i="7" s="1"/>
  <c r="M140" i="7"/>
  <c r="M14" i="23"/>
  <c r="Z65" i="7"/>
  <c r="Y65" i="7" s="1"/>
  <c r="T65" i="7"/>
  <c r="S65" i="7" s="1"/>
  <c r="V65" i="7"/>
  <c r="U65" i="7" s="1"/>
  <c r="X65" i="7"/>
  <c r="W65" i="7" s="1"/>
  <c r="M78" i="7"/>
  <c r="M68" i="23"/>
  <c r="AB68" i="23" s="1"/>
  <c r="X130" i="7"/>
  <c r="W130" i="7" s="1"/>
  <c r="T130" i="7"/>
  <c r="S130" i="7" s="1"/>
  <c r="V130" i="7"/>
  <c r="U130" i="7" s="1"/>
  <c r="Z130" i="7"/>
  <c r="Y130" i="7" s="1"/>
  <c r="AB15" i="23"/>
  <c r="M15" i="23"/>
  <c r="M12" i="7"/>
  <c r="AB12" i="7"/>
  <c r="M25" i="7"/>
  <c r="AB25" i="7" s="1"/>
  <c r="T36" i="7"/>
  <c r="S36" i="7" s="1"/>
  <c r="X36" i="7"/>
  <c r="W36" i="7" s="1"/>
  <c r="Z36" i="7"/>
  <c r="Y36" i="7" s="1"/>
  <c r="V36" i="7"/>
  <c r="U36" i="7" s="1"/>
  <c r="M61" i="23"/>
  <c r="M134" i="7"/>
  <c r="M114" i="7"/>
  <c r="V53" i="7"/>
  <c r="U53" i="7" s="1"/>
  <c r="T53" i="7"/>
  <c r="S53" i="7" s="1"/>
  <c r="Z53" i="7"/>
  <c r="Y53" i="7" s="1"/>
  <c r="X53" i="7"/>
  <c r="W53" i="7" s="1"/>
  <c r="M126" i="7"/>
  <c r="AB126" i="7" s="1"/>
  <c r="M100" i="7"/>
  <c r="AB100" i="7" s="1"/>
  <c r="AA85" i="23"/>
  <c r="V35" i="23"/>
  <c r="U35" i="23" s="1"/>
  <c r="X35" i="23"/>
  <c r="W35" i="23" s="1"/>
  <c r="Z35" i="23"/>
  <c r="Y35" i="23" s="1"/>
  <c r="T35" i="23"/>
  <c r="S35" i="23" s="1"/>
  <c r="AA91" i="7"/>
  <c r="X153" i="7"/>
  <c r="W153" i="7" s="1"/>
  <c r="T153" i="7"/>
  <c r="S153" i="7" s="1"/>
  <c r="V153" i="7"/>
  <c r="U153" i="7" s="1"/>
  <c r="Z153" i="7"/>
  <c r="Y153" i="7" s="1"/>
  <c r="T80" i="23"/>
  <c r="S80" i="23" s="1"/>
  <c r="X80" i="23"/>
  <c r="W80" i="23" s="1"/>
  <c r="V80" i="23"/>
  <c r="U80" i="23" s="1"/>
  <c r="Z80" i="23"/>
  <c r="Y80" i="23" s="1"/>
  <c r="M66" i="23"/>
  <c r="AB66" i="23" s="1"/>
  <c r="X75" i="23"/>
  <c r="W75" i="23" s="1"/>
  <c r="V75" i="23"/>
  <c r="U75" i="23" s="1"/>
  <c r="Z75" i="23"/>
  <c r="Y75" i="23" s="1"/>
  <c r="T75" i="23"/>
  <c r="S75" i="23" s="1"/>
  <c r="T113" i="7"/>
  <c r="S113" i="7" s="1"/>
  <c r="Z113" i="7"/>
  <c r="Y113" i="7" s="1"/>
  <c r="V113" i="7"/>
  <c r="U113" i="7" s="1"/>
  <c r="X113" i="7"/>
  <c r="W113" i="7" s="1"/>
  <c r="V41" i="7"/>
  <c r="U41" i="7" s="1"/>
  <c r="X41" i="7"/>
  <c r="W41" i="7" s="1"/>
  <c r="Z41" i="7"/>
  <c r="Y41" i="7" s="1"/>
  <c r="T41" i="7"/>
  <c r="S41" i="7" s="1"/>
  <c r="M142" i="7"/>
  <c r="AB142" i="7" s="1"/>
  <c r="M63" i="7"/>
  <c r="M34" i="23"/>
  <c r="AA51" i="23"/>
  <c r="M15" i="7"/>
  <c r="M16" i="23"/>
  <c r="M153" i="7"/>
  <c r="AB153" i="7" s="1"/>
  <c r="L1" i="7" a="1"/>
  <c r="L1" i="7" s="1"/>
  <c r="K2" i="7" s="1"/>
  <c r="M9" i="7"/>
  <c r="AB9" i="7" s="1"/>
  <c r="G5" i="7"/>
  <c r="L5" i="7"/>
  <c r="X9" i="7"/>
  <c r="W9" i="7" s="1"/>
  <c r="Z9" i="7"/>
  <c r="Y9" i="7" s="1"/>
  <c r="V9" i="7"/>
  <c r="U9" i="7" s="1"/>
  <c r="T9" i="7"/>
  <c r="S9" i="7" s="1"/>
  <c r="T133" i="7"/>
  <c r="S133" i="7" s="1"/>
  <c r="V127" i="7"/>
  <c r="U127" i="7" s="1"/>
  <c r="V102" i="7"/>
  <c r="U102" i="7" s="1"/>
  <c r="X60" i="7"/>
  <c r="W60" i="7" s="1"/>
  <c r="V17" i="7"/>
  <c r="U17" i="7" s="1"/>
  <c r="AD64" i="26"/>
  <c r="AC64" i="26" s="1"/>
  <c r="AG64" i="26"/>
  <c r="AD66" i="26"/>
  <c r="AC66" i="26" s="1"/>
  <c r="AG66" i="26"/>
  <c r="X32" i="26"/>
  <c r="W32" i="26" s="1"/>
  <c r="Z32" i="26"/>
  <c r="Y32" i="26" s="1"/>
  <c r="AB32" i="26"/>
  <c r="AA32" i="26" s="1"/>
  <c r="V32" i="26"/>
  <c r="U32" i="26" s="1"/>
  <c r="O82" i="26"/>
  <c r="O18" i="26"/>
  <c r="AH18" i="26" s="1"/>
  <c r="AG16" i="26"/>
  <c r="AD16" i="26"/>
  <c r="AC16" i="26" s="1"/>
  <c r="AB39" i="26"/>
  <c r="AA39" i="26" s="1"/>
  <c r="X39" i="26"/>
  <c r="W39" i="26" s="1"/>
  <c r="Z39" i="26"/>
  <c r="Y39" i="26" s="1"/>
  <c r="V39" i="26"/>
  <c r="U39" i="26" s="1"/>
  <c r="O89" i="26"/>
  <c r="AH89" i="26" s="1"/>
  <c r="O25" i="26"/>
  <c r="AH25" i="26" s="1"/>
  <c r="AG23" i="26"/>
  <c r="AD23" i="26"/>
  <c r="AC23" i="26" s="1"/>
  <c r="X46" i="26"/>
  <c r="W46" i="26" s="1"/>
  <c r="Z46" i="26"/>
  <c r="Y46" i="26" s="1"/>
  <c r="AB46" i="26"/>
  <c r="AA46" i="26" s="1"/>
  <c r="V46" i="26"/>
  <c r="U46" i="26" s="1"/>
  <c r="O32" i="26"/>
  <c r="AH32" i="26" s="1"/>
  <c r="AD30" i="26"/>
  <c r="AC30" i="26" s="1"/>
  <c r="AG30" i="26"/>
  <c r="AB53" i="26"/>
  <c r="AA53" i="26" s="1"/>
  <c r="Z53" i="26"/>
  <c r="Y53" i="26" s="1"/>
  <c r="X53" i="26"/>
  <c r="W53" i="26" s="1"/>
  <c r="V53" i="26"/>
  <c r="U53" i="26" s="1"/>
  <c r="O39" i="26"/>
  <c r="AF41" i="26"/>
  <c r="AE41" i="26" s="1"/>
  <c r="X9" i="26"/>
  <c r="W9" i="26" s="1"/>
  <c r="AB9" i="26"/>
  <c r="AA9" i="26" s="1"/>
  <c r="Z9" i="26"/>
  <c r="Y9" i="26" s="1"/>
  <c r="V9" i="26"/>
  <c r="U9" i="26" s="1"/>
  <c r="L5" i="26"/>
  <c r="T76" i="7"/>
  <c r="S76" i="7" s="1"/>
  <c r="AA53" i="7"/>
  <c r="X81" i="7"/>
  <c r="W81" i="7" s="1"/>
  <c r="X39" i="7"/>
  <c r="W39" i="7" s="1"/>
  <c r="Z84" i="7"/>
  <c r="Y84" i="7" s="1"/>
  <c r="X84" i="7"/>
  <c r="W84" i="7" s="1"/>
  <c r="V84" i="7"/>
  <c r="U84" i="7" s="1"/>
  <c r="T84" i="7"/>
  <c r="S84" i="7" s="1"/>
  <c r="T33" i="7"/>
  <c r="S33" i="7" s="1"/>
  <c r="Z33" i="7"/>
  <c r="Y33" i="7" s="1"/>
  <c r="V33" i="7"/>
  <c r="U33" i="7" s="1"/>
  <c r="X33" i="7"/>
  <c r="W33" i="7" s="1"/>
  <c r="M72" i="23"/>
  <c r="AB72" i="23" s="1"/>
  <c r="Z31" i="23"/>
  <c r="Y31" i="23" s="1"/>
  <c r="X31" i="23"/>
  <c r="W31" i="23" s="1"/>
  <c r="T31" i="23"/>
  <c r="S31" i="23" s="1"/>
  <c r="V31" i="23"/>
  <c r="U31" i="23" s="1"/>
  <c r="X106" i="7"/>
  <c r="W106" i="7" s="1"/>
  <c r="Z106" i="7"/>
  <c r="Y106" i="7" s="1"/>
  <c r="V106" i="7"/>
  <c r="U106" i="7" s="1"/>
  <c r="T106" i="7"/>
  <c r="S106" i="7" s="1"/>
  <c r="Z20" i="23"/>
  <c r="Y20" i="23" s="1"/>
  <c r="X20" i="23"/>
  <c r="W20" i="23" s="1"/>
  <c r="V20" i="23"/>
  <c r="U20" i="23" s="1"/>
  <c r="T20" i="23"/>
  <c r="S20" i="23" s="1"/>
  <c r="AA40" i="7"/>
  <c r="Z67" i="7"/>
  <c r="Y67" i="7" s="1"/>
  <c r="T67" i="7"/>
  <c r="S67" i="7" s="1"/>
  <c r="V67" i="7"/>
  <c r="U67" i="7" s="1"/>
  <c r="X67" i="7"/>
  <c r="W67" i="7" s="1"/>
  <c r="T72" i="23"/>
  <c r="S72" i="23" s="1"/>
  <c r="V72" i="23"/>
  <c r="U72" i="23" s="1"/>
  <c r="X72" i="23"/>
  <c r="W72" i="23" s="1"/>
  <c r="Z72" i="23"/>
  <c r="Y72" i="23" s="1"/>
  <c r="M63" i="23"/>
  <c r="AB63" i="23" s="1"/>
  <c r="V85" i="7"/>
  <c r="U85" i="7" s="1"/>
  <c r="X85" i="7"/>
  <c r="W85" i="7" s="1"/>
  <c r="T85" i="7"/>
  <c r="S85" i="7" s="1"/>
  <c r="Z85" i="7"/>
  <c r="Y85" i="7" s="1"/>
  <c r="M22" i="23"/>
  <c r="X87" i="7"/>
  <c r="W87" i="7" s="1"/>
  <c r="Z87" i="7"/>
  <c r="Y87" i="7" s="1"/>
  <c r="T87" i="7"/>
  <c r="S87" i="7" s="1"/>
  <c r="V87" i="7"/>
  <c r="U87" i="7" s="1"/>
  <c r="M41" i="23"/>
  <c r="AB41" i="23" s="1"/>
  <c r="T68" i="7"/>
  <c r="S68" i="7" s="1"/>
  <c r="V68" i="7"/>
  <c r="U68" i="7" s="1"/>
  <c r="X68" i="7"/>
  <c r="W68" i="7" s="1"/>
  <c r="Z68" i="7"/>
  <c r="Y68" i="7" s="1"/>
  <c r="Z45" i="7"/>
  <c r="Y45" i="7" s="1"/>
  <c r="V45" i="7"/>
  <c r="U45" i="7" s="1"/>
  <c r="T45" i="7"/>
  <c r="S45" i="7" s="1"/>
  <c r="X45" i="7"/>
  <c r="W45" i="7" s="1"/>
  <c r="AA29" i="7"/>
  <c r="M137" i="7"/>
  <c r="AB137" i="7" s="1"/>
  <c r="AA58" i="7"/>
  <c r="M48" i="7"/>
  <c r="AB48" i="7" s="1"/>
  <c r="X25" i="7"/>
  <c r="W25" i="7" s="1"/>
  <c r="T25" i="7"/>
  <c r="S25" i="7" s="1"/>
  <c r="Z25" i="7"/>
  <c r="Y25" i="7" s="1"/>
  <c r="V25" i="7"/>
  <c r="U25" i="7" s="1"/>
  <c r="V100" i="7"/>
  <c r="U100" i="7" s="1"/>
  <c r="Z100" i="7"/>
  <c r="Y100" i="7" s="1"/>
  <c r="X100" i="7"/>
  <c r="W100" i="7" s="1"/>
  <c r="T100" i="7"/>
  <c r="S100" i="7" s="1"/>
  <c r="M55" i="23"/>
  <c r="AB55" i="23" s="1"/>
  <c r="AA46" i="7"/>
  <c r="AA23" i="23"/>
  <c r="AA96" i="7"/>
  <c r="M56" i="23"/>
  <c r="AB56" i="23" s="1"/>
  <c r="T70" i="7"/>
  <c r="S70" i="7" s="1"/>
  <c r="M12" i="23"/>
  <c r="AB12" i="23" s="1"/>
  <c r="Z24" i="23"/>
  <c r="Y24" i="23" s="1"/>
  <c r="X80" i="7"/>
  <c r="W80" i="7" s="1"/>
  <c r="T22" i="23"/>
  <c r="S22" i="23" s="1"/>
  <c r="AD76" i="26"/>
  <c r="AC76" i="26" s="1"/>
  <c r="AG76" i="26"/>
  <c r="AD78" i="26"/>
  <c r="AC78" i="26" s="1"/>
  <c r="AG78" i="26"/>
  <c r="AG21" i="26"/>
  <c r="AD21" i="26"/>
  <c r="AC21" i="26" s="1"/>
  <c r="X44" i="26"/>
  <c r="W44" i="26" s="1"/>
  <c r="AB44" i="26"/>
  <c r="AA44" i="26" s="1"/>
  <c r="Z44" i="26"/>
  <c r="Y44" i="26" s="1"/>
  <c r="V44" i="26"/>
  <c r="U44" i="26" s="1"/>
  <c r="O94" i="26"/>
  <c r="AH94" i="26" s="1"/>
  <c r="O30" i="26"/>
  <c r="AH30" i="26" s="1"/>
  <c r="AD28" i="26"/>
  <c r="AC28" i="26" s="1"/>
  <c r="AG28" i="26"/>
  <c r="AB51" i="26"/>
  <c r="AA51" i="26" s="1"/>
  <c r="X51" i="26"/>
  <c r="W51" i="26" s="1"/>
  <c r="Z51" i="26"/>
  <c r="Y51" i="26" s="1"/>
  <c r="V51" i="26"/>
  <c r="U51" i="26" s="1"/>
  <c r="O37" i="26"/>
  <c r="AD35" i="26"/>
  <c r="AC35" i="26" s="1"/>
  <c r="AG35" i="26"/>
  <c r="AB58" i="26"/>
  <c r="AA58" i="26" s="1"/>
  <c r="X58" i="26"/>
  <c r="W58" i="26" s="1"/>
  <c r="Z58" i="26"/>
  <c r="Y58" i="26" s="1"/>
  <c r="V58" i="26"/>
  <c r="U58" i="26" s="1"/>
  <c r="O44" i="26"/>
  <c r="AD42" i="26"/>
  <c r="AC42" i="26" s="1"/>
  <c r="AG42" i="26"/>
  <c r="AB65" i="26"/>
  <c r="AA65" i="26" s="1"/>
  <c r="X65" i="26"/>
  <c r="W65" i="26" s="1"/>
  <c r="Z65" i="26"/>
  <c r="Y65" i="26" s="1"/>
  <c r="V65" i="26"/>
  <c r="U65" i="26" s="1"/>
  <c r="O51" i="26"/>
  <c r="AH51" i="26" s="1"/>
  <c r="AF55" i="26"/>
  <c r="AE55" i="26" s="1"/>
  <c r="AF39" i="26"/>
  <c r="AE39" i="26" s="1"/>
  <c r="AF65" i="26"/>
  <c r="AE65" i="26" s="1"/>
  <c r="AF62" i="26"/>
  <c r="AE62" i="26" s="1"/>
  <c r="M43" i="7"/>
  <c r="AB43" i="7" s="1"/>
  <c r="V14" i="7"/>
  <c r="U14" i="7" s="1"/>
  <c r="Z93" i="7"/>
  <c r="Y93" i="7" s="1"/>
  <c r="V10" i="23"/>
  <c r="U10" i="23" s="1"/>
  <c r="X147" i="7"/>
  <c r="W147" i="7" s="1"/>
  <c r="Z147" i="7"/>
  <c r="Y147" i="7" s="1"/>
  <c r="T147" i="7"/>
  <c r="S147" i="7" s="1"/>
  <c r="V147" i="7"/>
  <c r="U147" i="7" s="1"/>
  <c r="AA36" i="7"/>
  <c r="M26" i="7"/>
  <c r="AB26" i="7" s="1"/>
  <c r="M58" i="7"/>
  <c r="AB58" i="7" s="1"/>
  <c r="H5" i="23"/>
  <c r="M9" i="23"/>
  <c r="AA84" i="7"/>
  <c r="M20" i="7"/>
  <c r="AB20" i="7"/>
  <c r="Z132" i="7"/>
  <c r="Y132" i="7" s="1"/>
  <c r="X132" i="7"/>
  <c r="W132" i="7" s="1"/>
  <c r="T132" i="7"/>
  <c r="S132" i="7" s="1"/>
  <c r="V132" i="7"/>
  <c r="U132" i="7" s="1"/>
  <c r="V64" i="23"/>
  <c r="U64" i="23" s="1"/>
  <c r="T64" i="23"/>
  <c r="S64" i="23" s="1"/>
  <c r="X64" i="23"/>
  <c r="W64" i="23" s="1"/>
  <c r="Z64" i="23"/>
  <c r="Y64" i="23" s="1"/>
  <c r="M35" i="23"/>
  <c r="M70" i="23"/>
  <c r="AB70" i="23" s="1"/>
  <c r="M18" i="23"/>
  <c r="M40" i="23"/>
  <c r="T37" i="23"/>
  <c r="S37" i="23" s="1"/>
  <c r="V37" i="23"/>
  <c r="U37" i="23" s="1"/>
  <c r="Z37" i="23"/>
  <c r="Y37" i="23" s="1"/>
  <c r="X37" i="23"/>
  <c r="W37" i="23" s="1"/>
  <c r="V123" i="7"/>
  <c r="U123" i="7" s="1"/>
  <c r="X123" i="7"/>
  <c r="W123" i="7" s="1"/>
  <c r="Z123" i="7"/>
  <c r="Y123" i="7" s="1"/>
  <c r="T123" i="7"/>
  <c r="S123" i="7" s="1"/>
  <c r="V110" i="7"/>
  <c r="U110" i="7" s="1"/>
  <c r="T110" i="7"/>
  <c r="S110" i="7" s="1"/>
  <c r="X110" i="7"/>
  <c r="W110" i="7" s="1"/>
  <c r="Z110" i="7"/>
  <c r="Y110" i="7" s="1"/>
  <c r="M52" i="23"/>
  <c r="AB52" i="23" s="1"/>
  <c r="Z11" i="23"/>
  <c r="Y11" i="23" s="1"/>
  <c r="X11" i="23"/>
  <c r="W11" i="23" s="1"/>
  <c r="T11" i="23"/>
  <c r="S11" i="23" s="1"/>
  <c r="V11" i="23"/>
  <c r="U11" i="23" s="1"/>
  <c r="Z68" i="23"/>
  <c r="Y68" i="23" s="1"/>
  <c r="V68" i="23"/>
  <c r="U68" i="23" s="1"/>
  <c r="T68" i="23"/>
  <c r="S68" i="23" s="1"/>
  <c r="X68" i="23"/>
  <c r="W68" i="23" s="1"/>
  <c r="AA118" i="7"/>
  <c r="M88" i="23"/>
  <c r="M54" i="7"/>
  <c r="AA53" i="23"/>
  <c r="M91" i="23"/>
  <c r="AB91" i="23" s="1"/>
  <c r="AA19" i="7"/>
  <c r="AA59" i="23"/>
  <c r="AA87" i="7"/>
  <c r="AA136" i="7"/>
  <c r="M76" i="23"/>
  <c r="AB76" i="23" s="1"/>
  <c r="T60" i="23"/>
  <c r="S60" i="23" s="1"/>
  <c r="X60" i="23"/>
  <c r="W60" i="23" s="1"/>
  <c r="Z60" i="23"/>
  <c r="Y60" i="23" s="1"/>
  <c r="V60" i="23"/>
  <c r="U60" i="23" s="1"/>
  <c r="M130" i="7"/>
  <c r="T34" i="23"/>
  <c r="S34" i="23" s="1"/>
  <c r="X34" i="23"/>
  <c r="W34" i="23" s="1"/>
  <c r="Z34" i="23"/>
  <c r="Y34" i="23" s="1"/>
  <c r="V34" i="23"/>
  <c r="U34" i="23" s="1"/>
  <c r="M67" i="7"/>
  <c r="AB67" i="7" s="1"/>
  <c r="M132" i="7"/>
  <c r="AB132" i="7" s="1"/>
  <c r="AA94" i="7"/>
  <c r="M25" i="23"/>
  <c r="AB25" i="23" s="1"/>
  <c r="M145" i="7"/>
  <c r="T90" i="7"/>
  <c r="S90" i="7" s="1"/>
  <c r="M86" i="23"/>
  <c r="AB86" i="23" s="1"/>
  <c r="AD91" i="26"/>
  <c r="AC91" i="26" s="1"/>
  <c r="AG91" i="26"/>
  <c r="AG69" i="26"/>
  <c r="AD69" i="26"/>
  <c r="AC69" i="26" s="1"/>
  <c r="X88" i="26"/>
  <c r="W88" i="26" s="1"/>
  <c r="Z88" i="26"/>
  <c r="Y88" i="26" s="1"/>
  <c r="AB88" i="26"/>
  <c r="AA88" i="26" s="1"/>
  <c r="V88" i="26"/>
  <c r="U88" i="26" s="1"/>
  <c r="X24" i="26"/>
  <c r="W24" i="26" s="1"/>
  <c r="Z24" i="26"/>
  <c r="Y24" i="26" s="1"/>
  <c r="AB24" i="26"/>
  <c r="AA24" i="26" s="1"/>
  <c r="V24" i="26"/>
  <c r="U24" i="26" s="1"/>
  <c r="O74" i="26"/>
  <c r="AH74" i="26" s="1"/>
  <c r="L1" i="26" a="1"/>
  <c r="L1" i="26" s="1"/>
  <c r="K2" i="26" s="1"/>
  <c r="G5" i="26"/>
  <c r="O9" i="26"/>
  <c r="AB95" i="26"/>
  <c r="AA95" i="26" s="1"/>
  <c r="X95" i="26"/>
  <c r="W95" i="26" s="1"/>
  <c r="Z95" i="26"/>
  <c r="Y95" i="26" s="1"/>
  <c r="V95" i="26"/>
  <c r="U95" i="26" s="1"/>
  <c r="AB31" i="26"/>
  <c r="AA31" i="26" s="1"/>
  <c r="Z31" i="26"/>
  <c r="Y31" i="26" s="1"/>
  <c r="X31" i="26"/>
  <c r="W31" i="26" s="1"/>
  <c r="V31" i="26"/>
  <c r="U31" i="26" s="1"/>
  <c r="O81" i="26"/>
  <c r="AH81" i="26" s="1"/>
  <c r="O16" i="26"/>
  <c r="AD15" i="26"/>
  <c r="AC15" i="26" s="1"/>
  <c r="AG15" i="26"/>
  <c r="Z38" i="26"/>
  <c r="Y38" i="26" s="1"/>
  <c r="X38" i="26"/>
  <c r="W38" i="26" s="1"/>
  <c r="AB38" i="26"/>
  <c r="AA38" i="26" s="1"/>
  <c r="V38" i="26"/>
  <c r="U38" i="26" s="1"/>
  <c r="O88" i="26"/>
  <c r="AH88" i="26" s="1"/>
  <c r="O24" i="26"/>
  <c r="AH24" i="26" s="1"/>
  <c r="AD22" i="26"/>
  <c r="AC22" i="26" s="1"/>
  <c r="AG22" i="26"/>
  <c r="AB45" i="26"/>
  <c r="AA45" i="26" s="1"/>
  <c r="Z45" i="26"/>
  <c r="Y45" i="26" s="1"/>
  <c r="X45" i="26"/>
  <c r="W45" i="26" s="1"/>
  <c r="V45" i="26"/>
  <c r="U45" i="26" s="1"/>
  <c r="O95" i="26"/>
  <c r="AH95" i="26" s="1"/>
  <c r="O31" i="26"/>
  <c r="AH31" i="26" s="1"/>
  <c r="AF48" i="26"/>
  <c r="AE48" i="26" s="1"/>
  <c r="AF94" i="26"/>
  <c r="AE94" i="26" s="1"/>
  <c r="T134" i="7"/>
  <c r="S134" i="7" s="1"/>
  <c r="V52" i="23"/>
  <c r="U52" i="23" s="1"/>
  <c r="V119" i="7"/>
  <c r="U119" i="7" s="1"/>
  <c r="X149" i="7"/>
  <c r="W149" i="7" s="1"/>
  <c r="M69" i="23"/>
  <c r="AB69" i="23" s="1"/>
  <c r="M82" i="7"/>
  <c r="AB82" i="7" s="1"/>
  <c r="V24" i="7"/>
  <c r="U24" i="7" s="1"/>
  <c r="T150" i="7"/>
  <c r="S150" i="7" s="1"/>
  <c r="T78" i="23"/>
  <c r="S78" i="23" s="1"/>
  <c r="X140" i="7"/>
  <c r="W140" i="7" s="1"/>
  <c r="T27" i="23"/>
  <c r="S27" i="23" s="1"/>
  <c r="T23" i="7"/>
  <c r="S23" i="7" s="1"/>
  <c r="T16" i="7"/>
  <c r="S16" i="7" s="1"/>
  <c r="Z16" i="7"/>
  <c r="Y16" i="7" s="1"/>
  <c r="V16" i="7"/>
  <c r="U16" i="7" s="1"/>
  <c r="X16" i="7"/>
  <c r="W16" i="7" s="1"/>
  <c r="AA74" i="23"/>
  <c r="Z77" i="7"/>
  <c r="Y77" i="7" s="1"/>
  <c r="X77" i="7"/>
  <c r="W77" i="7" s="1"/>
  <c r="T77" i="7"/>
  <c r="S77" i="7" s="1"/>
  <c r="V77" i="7"/>
  <c r="U77" i="7" s="1"/>
  <c r="T57" i="23"/>
  <c r="S57" i="23" s="1"/>
  <c r="V57" i="23"/>
  <c r="U57" i="23" s="1"/>
  <c r="X57" i="23"/>
  <c r="W57" i="23" s="1"/>
  <c r="Z57" i="23"/>
  <c r="Y57" i="23" s="1"/>
  <c r="M56" i="7"/>
  <c r="AB56" i="7" s="1"/>
  <c r="M89" i="7"/>
  <c r="X13" i="23"/>
  <c r="W13" i="23" s="1"/>
  <c r="T13" i="23"/>
  <c r="S13" i="23" s="1"/>
  <c r="Z13" i="23"/>
  <c r="Y13" i="23" s="1"/>
  <c r="V13" i="23"/>
  <c r="U13" i="23" s="1"/>
  <c r="V117" i="7"/>
  <c r="U117" i="7" s="1"/>
  <c r="Z117" i="7"/>
  <c r="Y117" i="7" s="1"/>
  <c r="T117" i="7"/>
  <c r="S117" i="7" s="1"/>
  <c r="X117" i="7"/>
  <c r="W117" i="7" s="1"/>
  <c r="AA57" i="23"/>
  <c r="AA71" i="23"/>
  <c r="M89" i="23"/>
  <c r="AB89" i="23" s="1"/>
  <c r="AA68" i="23"/>
  <c r="M75" i="23"/>
  <c r="AB75" i="23" s="1"/>
  <c r="AA16" i="7"/>
  <c r="V42" i="7"/>
  <c r="U42" i="7" s="1"/>
  <c r="T42" i="7"/>
  <c r="S42" i="7" s="1"/>
  <c r="Z42" i="7"/>
  <c r="Y42" i="7" s="1"/>
  <c r="X42" i="7"/>
  <c r="W42" i="7" s="1"/>
  <c r="Z79" i="7"/>
  <c r="Y79" i="7" s="1"/>
  <c r="T79" i="7"/>
  <c r="S79" i="7" s="1"/>
  <c r="X79" i="7"/>
  <c r="W79" i="7" s="1"/>
  <c r="V79" i="7"/>
  <c r="U79" i="7" s="1"/>
  <c r="M53" i="23"/>
  <c r="AB53" i="23" s="1"/>
  <c r="M17" i="23"/>
  <c r="AB17" i="23" s="1"/>
  <c r="T27" i="7"/>
  <c r="S27" i="7" s="1"/>
  <c r="X27" i="7"/>
  <c r="W27" i="7" s="1"/>
  <c r="V27" i="7"/>
  <c r="U27" i="7" s="1"/>
  <c r="Z27" i="7"/>
  <c r="Y27" i="7" s="1"/>
  <c r="M37" i="7"/>
  <c r="Z21" i="23"/>
  <c r="Y21" i="23" s="1"/>
  <c r="T21" i="23"/>
  <c r="S21" i="23" s="1"/>
  <c r="V21" i="23"/>
  <c r="U21" i="23" s="1"/>
  <c r="X21" i="23"/>
  <c r="W21" i="23" s="1"/>
  <c r="X61" i="23"/>
  <c r="W61" i="23" s="1"/>
  <c r="T61" i="23"/>
  <c r="S61" i="23" s="1"/>
  <c r="Z61" i="23"/>
  <c r="Y61" i="23" s="1"/>
  <c r="V61" i="23"/>
  <c r="U61" i="23" s="1"/>
  <c r="AA84" i="23"/>
  <c r="T122" i="7"/>
  <c r="S122" i="7" s="1"/>
  <c r="V122" i="7"/>
  <c r="U122" i="7" s="1"/>
  <c r="X122" i="7"/>
  <c r="W122" i="7" s="1"/>
  <c r="Z122" i="7"/>
  <c r="Y122" i="7" s="1"/>
  <c r="M90" i="7"/>
  <c r="AB90" i="7" s="1"/>
  <c r="M11" i="23"/>
  <c r="M58" i="23"/>
  <c r="AB58" i="23" s="1"/>
  <c r="T37" i="7"/>
  <c r="S37" i="7" s="1"/>
  <c r="Z37" i="7"/>
  <c r="Y37" i="7" s="1"/>
  <c r="V37" i="7"/>
  <c r="U37" i="7" s="1"/>
  <c r="X37" i="7"/>
  <c r="W37" i="7" s="1"/>
  <c r="AA111" i="7"/>
  <c r="AA69" i="7"/>
  <c r="AA112" i="7"/>
  <c r="AA50" i="7"/>
  <c r="M59" i="23"/>
  <c r="AA25" i="7"/>
  <c r="X105" i="7"/>
  <c r="W105" i="7" s="1"/>
  <c r="V69" i="23"/>
  <c r="U69" i="23" s="1"/>
  <c r="M116" i="7"/>
  <c r="AB116" i="7" s="1"/>
  <c r="X41" i="23"/>
  <c r="W41" i="23" s="1"/>
  <c r="AG87" i="26"/>
  <c r="AD87" i="26"/>
  <c r="AC87" i="26" s="1"/>
  <c r="AG61" i="26"/>
  <c r="AD61" i="26"/>
  <c r="AC61" i="26" s="1"/>
  <c r="X84" i="26"/>
  <c r="W84" i="26" s="1"/>
  <c r="AB84" i="26"/>
  <c r="AA84" i="26" s="1"/>
  <c r="Z84" i="26"/>
  <c r="Y84" i="26" s="1"/>
  <c r="V84" i="26"/>
  <c r="U84" i="26" s="1"/>
  <c r="X20" i="26"/>
  <c r="W20" i="26" s="1"/>
  <c r="AB20" i="26"/>
  <c r="AA20" i="26" s="1"/>
  <c r="Z20" i="26"/>
  <c r="Y20" i="26" s="1"/>
  <c r="V20" i="26"/>
  <c r="U20" i="26" s="1"/>
  <c r="O70" i="26"/>
  <c r="AH70" i="26" s="1"/>
  <c r="AG81" i="26"/>
  <c r="AD81" i="26"/>
  <c r="AC81" i="26" s="1"/>
  <c r="AB91" i="26"/>
  <c r="AA91" i="26" s="1"/>
  <c r="X91" i="26"/>
  <c r="W91" i="26" s="1"/>
  <c r="Z91" i="26"/>
  <c r="Y91" i="26" s="1"/>
  <c r="V91" i="26"/>
  <c r="U91" i="26" s="1"/>
  <c r="AB27" i="26"/>
  <c r="AA27" i="26" s="1"/>
  <c r="X27" i="26"/>
  <c r="W27" i="26" s="1"/>
  <c r="Z27" i="26"/>
  <c r="Y27" i="26" s="1"/>
  <c r="V27" i="26"/>
  <c r="U27" i="26" s="1"/>
  <c r="O77" i="26"/>
  <c r="O12" i="26"/>
  <c r="AH12" i="26" s="1"/>
  <c r="AG11" i="26"/>
  <c r="AD11" i="26"/>
  <c r="AC11" i="26" s="1"/>
  <c r="AB34" i="26"/>
  <c r="AA34" i="26" s="1"/>
  <c r="X34" i="26"/>
  <c r="W34" i="26" s="1"/>
  <c r="Z34" i="26"/>
  <c r="Y34" i="26" s="1"/>
  <c r="V34" i="26"/>
  <c r="U34" i="26" s="1"/>
  <c r="O84" i="26"/>
  <c r="AH84" i="26" s="1"/>
  <c r="O20" i="26"/>
  <c r="AH20" i="26" s="1"/>
  <c r="AG18" i="26"/>
  <c r="AD18" i="26"/>
  <c r="AC18" i="26" s="1"/>
  <c r="AB41" i="26"/>
  <c r="AA41" i="26" s="1"/>
  <c r="X41" i="26"/>
  <c r="W41" i="26" s="1"/>
  <c r="Z41" i="26"/>
  <c r="Y41" i="26" s="1"/>
  <c r="V41" i="26"/>
  <c r="U41" i="26" s="1"/>
  <c r="O91" i="26"/>
  <c r="AH91" i="26" s="1"/>
  <c r="O27" i="26"/>
  <c r="AH27" i="26" s="1"/>
  <c r="AF64" i="26"/>
  <c r="AE64" i="26" s="1"/>
  <c r="AF51" i="26"/>
  <c r="AE51" i="26" s="1"/>
  <c r="J5" i="26"/>
  <c r="AF74" i="26"/>
  <c r="AE74" i="26" s="1"/>
  <c r="AF26" i="26"/>
  <c r="AE26" i="26" s="1"/>
  <c r="AF77" i="26"/>
  <c r="AE77" i="26" s="1"/>
  <c r="Z152" i="7"/>
  <c r="Y152" i="7" s="1"/>
  <c r="V28" i="7"/>
  <c r="U28" i="7" s="1"/>
  <c r="T83" i="23"/>
  <c r="S83" i="23" s="1"/>
  <c r="X56" i="7"/>
  <c r="W56" i="7" s="1"/>
  <c r="AA30" i="23"/>
  <c r="V90" i="23"/>
  <c r="U90" i="23" s="1"/>
  <c r="V95" i="7"/>
  <c r="U95" i="7" s="1"/>
  <c r="Z21" i="7"/>
  <c r="Y21" i="7" s="1"/>
  <c r="V137" i="7"/>
  <c r="U137" i="7" s="1"/>
  <c r="T137" i="7"/>
  <c r="S137" i="7" s="1"/>
  <c r="X137" i="7"/>
  <c r="W137" i="7" s="1"/>
  <c r="Z137" i="7"/>
  <c r="Y137" i="7" s="1"/>
  <c r="M27" i="23"/>
  <c r="AB27" i="23" s="1"/>
  <c r="M71" i="23"/>
  <c r="AB71" i="23" s="1"/>
  <c r="M98" i="7"/>
  <c r="AB98" i="7" s="1"/>
  <c r="T62" i="7"/>
  <c r="S62" i="7" s="1"/>
  <c r="V62" i="7"/>
  <c r="U62" i="7" s="1"/>
  <c r="Z62" i="7"/>
  <c r="Y62" i="7" s="1"/>
  <c r="X62" i="7"/>
  <c r="W62" i="7" s="1"/>
  <c r="T91" i="7"/>
  <c r="S91" i="7" s="1"/>
  <c r="X91" i="7"/>
  <c r="W91" i="7" s="1"/>
  <c r="Z91" i="7"/>
  <c r="Y91" i="7" s="1"/>
  <c r="V91" i="7"/>
  <c r="U91" i="7" s="1"/>
  <c r="Z54" i="23"/>
  <c r="Y54" i="23" s="1"/>
  <c r="X54" i="23"/>
  <c r="W54" i="23" s="1"/>
  <c r="V54" i="23"/>
  <c r="U54" i="23" s="1"/>
  <c r="T54" i="23"/>
  <c r="S54" i="23" s="1"/>
  <c r="M11" i="7"/>
  <c r="M53" i="7"/>
  <c r="AB53" i="7" s="1"/>
  <c r="M147" i="7"/>
  <c r="AB147" i="7" s="1"/>
  <c r="AA30" i="7"/>
  <c r="M21" i="7"/>
  <c r="AB21" i="7"/>
  <c r="M129" i="7"/>
  <c r="AB129" i="7" s="1"/>
  <c r="Z94" i="7"/>
  <c r="Y94" i="7" s="1"/>
  <c r="V94" i="7"/>
  <c r="U94" i="7" s="1"/>
  <c r="T94" i="7"/>
  <c r="S94" i="7" s="1"/>
  <c r="X94" i="7"/>
  <c r="W94" i="7" s="1"/>
  <c r="M82" i="23"/>
  <c r="M79" i="7"/>
  <c r="AB79" i="7" s="1"/>
  <c r="Z40" i="7"/>
  <c r="Y40" i="7" s="1"/>
  <c r="X40" i="7"/>
  <c r="W40" i="7" s="1"/>
  <c r="V40" i="7"/>
  <c r="U40" i="7" s="1"/>
  <c r="T40" i="7"/>
  <c r="S40" i="7" s="1"/>
  <c r="Z112" i="7"/>
  <c r="Y112" i="7" s="1"/>
  <c r="V112" i="7"/>
  <c r="U112" i="7" s="1"/>
  <c r="X112" i="7"/>
  <c r="W112" i="7" s="1"/>
  <c r="T112" i="7"/>
  <c r="S112" i="7" s="1"/>
  <c r="T96" i="7"/>
  <c r="S96" i="7" s="1"/>
  <c r="V96" i="7"/>
  <c r="U96" i="7" s="1"/>
  <c r="X96" i="7"/>
  <c r="W96" i="7" s="1"/>
  <c r="Z96" i="7"/>
  <c r="Y96" i="7" s="1"/>
  <c r="Z86" i="7"/>
  <c r="Y86" i="7" s="1"/>
  <c r="T86" i="7"/>
  <c r="S86" i="7" s="1"/>
  <c r="V86" i="7"/>
  <c r="U86" i="7" s="1"/>
  <c r="X86" i="7"/>
  <c r="W86" i="7" s="1"/>
  <c r="Z127" i="7"/>
  <c r="Y127" i="7" s="1"/>
  <c r="T102" i="7"/>
  <c r="S102" i="7" s="1"/>
  <c r="V60" i="7"/>
  <c r="U60" i="7" s="1"/>
  <c r="M33" i="23"/>
  <c r="T17" i="7"/>
  <c r="S17" i="7" s="1"/>
  <c r="AA153" i="7"/>
  <c r="AD83" i="26"/>
  <c r="AC83" i="26" s="1"/>
  <c r="AG83" i="26"/>
  <c r="AG57" i="26"/>
  <c r="AD57" i="26"/>
  <c r="AC57" i="26" s="1"/>
  <c r="X80" i="26"/>
  <c r="W80" i="26" s="1"/>
  <c r="Z80" i="26"/>
  <c r="Y80" i="26" s="1"/>
  <c r="AB80" i="26"/>
  <c r="AA80" i="26" s="1"/>
  <c r="V80" i="26"/>
  <c r="U80" i="26" s="1"/>
  <c r="Z16" i="26"/>
  <c r="Y16" i="26" s="1"/>
  <c r="AB16" i="26"/>
  <c r="AA16" i="26" s="1"/>
  <c r="X16" i="26"/>
  <c r="W16" i="26" s="1"/>
  <c r="V16" i="26"/>
  <c r="U16" i="26" s="1"/>
  <c r="O66" i="26"/>
  <c r="AH66" i="26" s="1"/>
  <c r="AG65" i="26"/>
  <c r="AD65" i="26"/>
  <c r="AC65" i="26" s="1"/>
  <c r="AB87" i="26"/>
  <c r="AA87" i="26" s="1"/>
  <c r="Z87" i="26"/>
  <c r="Y87" i="26" s="1"/>
  <c r="X87" i="26"/>
  <c r="W87" i="26" s="1"/>
  <c r="V87" i="26"/>
  <c r="U87" i="26" s="1"/>
  <c r="AB23" i="26"/>
  <c r="AA23" i="26" s="1"/>
  <c r="X23" i="26"/>
  <c r="W23" i="26" s="1"/>
  <c r="Z23" i="26"/>
  <c r="Y23" i="26" s="1"/>
  <c r="V23" i="26"/>
  <c r="U23" i="26" s="1"/>
  <c r="O73" i="26"/>
  <c r="AH73" i="26" s="1"/>
  <c r="AG93" i="26"/>
  <c r="AD93" i="26"/>
  <c r="AC93" i="26" s="1"/>
  <c r="X94" i="26"/>
  <c r="W94" i="26" s="1"/>
  <c r="Z94" i="26"/>
  <c r="Y94" i="26" s="1"/>
  <c r="AB94" i="26"/>
  <c r="AA94" i="26" s="1"/>
  <c r="V94" i="26"/>
  <c r="U94" i="26" s="1"/>
  <c r="X30" i="26"/>
  <c r="W30" i="26" s="1"/>
  <c r="Z30" i="26"/>
  <c r="Y30" i="26" s="1"/>
  <c r="AB30" i="26"/>
  <c r="AA30" i="26" s="1"/>
  <c r="V30" i="26"/>
  <c r="U30" i="26" s="1"/>
  <c r="O80" i="26"/>
  <c r="O15" i="26"/>
  <c r="AH15" i="26"/>
  <c r="AG14" i="26"/>
  <c r="AD14" i="26"/>
  <c r="AC14" i="26" s="1"/>
  <c r="AB37" i="26"/>
  <c r="AA37" i="26" s="1"/>
  <c r="Z37" i="26"/>
  <c r="Y37" i="26" s="1"/>
  <c r="X37" i="26"/>
  <c r="W37" i="26" s="1"/>
  <c r="V37" i="26"/>
  <c r="U37" i="26" s="1"/>
  <c r="O87" i="26"/>
  <c r="AH87" i="26" s="1"/>
  <c r="O23" i="26"/>
  <c r="AF80" i="26"/>
  <c r="AE80" i="26" s="1"/>
  <c r="AF57" i="26"/>
  <c r="AE57" i="26" s="1"/>
  <c r="Z76" i="7"/>
  <c r="Y76" i="7" s="1"/>
  <c r="T81" i="7"/>
  <c r="S81" i="7" s="1"/>
  <c r="T39" i="7"/>
  <c r="S39" i="7" s="1"/>
  <c r="M24" i="23"/>
  <c r="AB24" i="23" s="1"/>
  <c r="T145" i="7"/>
  <c r="S145" i="7" s="1"/>
  <c r="V108" i="7"/>
  <c r="U108" i="7" s="1"/>
  <c r="M36" i="7"/>
  <c r="AB36" i="7" s="1"/>
  <c r="X50" i="23"/>
  <c r="W50" i="23" s="1"/>
  <c r="Z50" i="23"/>
  <c r="Y50" i="23" s="1"/>
  <c r="T50" i="23"/>
  <c r="S50" i="23" s="1"/>
  <c r="V50" i="23"/>
  <c r="U50" i="23" s="1"/>
  <c r="M32" i="7"/>
  <c r="M81" i="23"/>
  <c r="AB81" i="23" s="1"/>
  <c r="T43" i="7"/>
  <c r="S43" i="7" s="1"/>
  <c r="Z43" i="7"/>
  <c r="Y43" i="7" s="1"/>
  <c r="V43" i="7"/>
  <c r="U43" i="7" s="1"/>
  <c r="X43" i="7"/>
  <c r="W43" i="7" s="1"/>
  <c r="M48" i="23"/>
  <c r="AA62" i="7"/>
  <c r="Z131" i="7"/>
  <c r="Y131" i="7" s="1"/>
  <c r="X131" i="7"/>
  <c r="W131" i="7" s="1"/>
  <c r="V131" i="7"/>
  <c r="U131" i="7" s="1"/>
  <c r="T131" i="7"/>
  <c r="S131" i="7" s="1"/>
  <c r="M31" i="23"/>
  <c r="AB31" i="23" s="1"/>
  <c r="V10" i="7"/>
  <c r="U10" i="7" s="1"/>
  <c r="Z10" i="7"/>
  <c r="Y10" i="7" s="1"/>
  <c r="X10" i="7"/>
  <c r="W10" i="7" s="1"/>
  <c r="T10" i="7"/>
  <c r="S10" i="7" s="1"/>
  <c r="Z23" i="23"/>
  <c r="Y23" i="23" s="1"/>
  <c r="V23" i="23"/>
  <c r="U23" i="23" s="1"/>
  <c r="X23" i="23"/>
  <c r="W23" i="23" s="1"/>
  <c r="T23" i="23"/>
  <c r="S23" i="23" s="1"/>
  <c r="Z49" i="7"/>
  <c r="Y49" i="7" s="1"/>
  <c r="X49" i="7"/>
  <c r="W49" i="7" s="1"/>
  <c r="V49" i="7"/>
  <c r="U49" i="7" s="1"/>
  <c r="T49" i="7"/>
  <c r="S49" i="7" s="1"/>
  <c r="M41" i="7"/>
  <c r="AB41" i="7" s="1"/>
  <c r="V13" i="7"/>
  <c r="U13" i="7" s="1"/>
  <c r="X13" i="7"/>
  <c r="W13" i="7" s="1"/>
  <c r="Z13" i="7"/>
  <c r="Y13" i="7" s="1"/>
  <c r="T13" i="7"/>
  <c r="S13" i="7" s="1"/>
  <c r="M45" i="7"/>
  <c r="AB45" i="7" s="1"/>
  <c r="M90" i="23"/>
  <c r="AB90" i="23" s="1"/>
  <c r="M29" i="23"/>
  <c r="AB29" i="23" s="1"/>
  <c r="V44" i="7"/>
  <c r="U44" i="7" s="1"/>
  <c r="Z44" i="7"/>
  <c r="Y44" i="7" s="1"/>
  <c r="T44" i="7"/>
  <c r="S44" i="7" s="1"/>
  <c r="X44" i="7"/>
  <c r="W44" i="7" s="1"/>
  <c r="M154" i="7"/>
  <c r="AB154" i="7" s="1"/>
  <c r="Z97" i="7"/>
  <c r="Y97" i="7" s="1"/>
  <c r="X97" i="7"/>
  <c r="W97" i="7" s="1"/>
  <c r="V97" i="7"/>
  <c r="U97" i="7" s="1"/>
  <c r="T97" i="7"/>
  <c r="S97" i="7" s="1"/>
  <c r="M20" i="23"/>
  <c r="AB20" i="23" s="1"/>
  <c r="M28" i="23"/>
  <c r="T103" i="7"/>
  <c r="S103" i="7" s="1"/>
  <c r="X103" i="7"/>
  <c r="W103" i="7" s="1"/>
  <c r="V103" i="7"/>
  <c r="U103" i="7" s="1"/>
  <c r="Z103" i="7"/>
  <c r="Y103" i="7" s="1"/>
  <c r="V63" i="7"/>
  <c r="U63" i="7" s="1"/>
  <c r="X63" i="7"/>
  <c r="W63" i="7" s="1"/>
  <c r="T63" i="7"/>
  <c r="S63" i="7" s="1"/>
  <c r="Z63" i="7"/>
  <c r="Y63" i="7" s="1"/>
  <c r="M30" i="23"/>
  <c r="AB30" i="23" s="1"/>
  <c r="X125" i="7"/>
  <c r="W125" i="7" s="1"/>
  <c r="V125" i="7"/>
  <c r="U125" i="7" s="1"/>
  <c r="Z125" i="7"/>
  <c r="Y125" i="7" s="1"/>
  <c r="T125" i="7"/>
  <c r="S125" i="7" s="1"/>
  <c r="T64" i="7"/>
  <c r="S64" i="7" s="1"/>
  <c r="Z64" i="7"/>
  <c r="Y64" i="7" s="1"/>
  <c r="V64" i="7"/>
  <c r="U64" i="7" s="1"/>
  <c r="X64" i="7"/>
  <c r="W64" i="7" s="1"/>
  <c r="V32" i="23"/>
  <c r="U32" i="23" s="1"/>
  <c r="AA86" i="7"/>
  <c r="V70" i="7"/>
  <c r="U70" i="7" s="1"/>
  <c r="X24" i="23"/>
  <c r="W24" i="23" s="1"/>
  <c r="Z80" i="7"/>
  <c r="Y80" i="7" s="1"/>
  <c r="AD95" i="26"/>
  <c r="AC95" i="26" s="1"/>
  <c r="AG95" i="26"/>
  <c r="AG85" i="26"/>
  <c r="AD85" i="26"/>
  <c r="AC85" i="26" s="1"/>
  <c r="X92" i="26"/>
  <c r="W92" i="26" s="1"/>
  <c r="Z92" i="26"/>
  <c r="Y92" i="26" s="1"/>
  <c r="AB92" i="26"/>
  <c r="AA92" i="26" s="1"/>
  <c r="V92" i="26"/>
  <c r="U92" i="26" s="1"/>
  <c r="X28" i="26"/>
  <c r="W28" i="26" s="1"/>
  <c r="AB28" i="26"/>
  <c r="AA28" i="26" s="1"/>
  <c r="Z28" i="26"/>
  <c r="Y28" i="26" s="1"/>
  <c r="V28" i="26"/>
  <c r="U28" i="26" s="1"/>
  <c r="O78" i="26"/>
  <c r="AH78" i="26" s="1"/>
  <c r="O13" i="26"/>
  <c r="AH13" i="26" s="1"/>
  <c r="AD12" i="26"/>
  <c r="AC12" i="26" s="1"/>
  <c r="AG12" i="26"/>
  <c r="AB35" i="26"/>
  <c r="AA35" i="26" s="1"/>
  <c r="Z35" i="26"/>
  <c r="Y35" i="26" s="1"/>
  <c r="X35" i="26"/>
  <c r="W35" i="26" s="1"/>
  <c r="V35" i="26"/>
  <c r="U35" i="26" s="1"/>
  <c r="O85" i="26"/>
  <c r="AH85" i="26" s="1"/>
  <c r="O21" i="26"/>
  <c r="AD19" i="26"/>
  <c r="AC19" i="26" s="1"/>
  <c r="AG19" i="26"/>
  <c r="AB42" i="26"/>
  <c r="AA42" i="26" s="1"/>
  <c r="X42" i="26"/>
  <c r="W42" i="26" s="1"/>
  <c r="Z42" i="26"/>
  <c r="Y42" i="26" s="1"/>
  <c r="V42" i="26"/>
  <c r="U42" i="26" s="1"/>
  <c r="O92" i="26"/>
  <c r="AH92" i="26" s="1"/>
  <c r="O28" i="26"/>
  <c r="AH28" i="26" s="1"/>
  <c r="AD26" i="26"/>
  <c r="AC26" i="26" s="1"/>
  <c r="AG26" i="26"/>
  <c r="AB49" i="26"/>
  <c r="AA49" i="26" s="1"/>
  <c r="X49" i="26"/>
  <c r="W49" i="26" s="1"/>
  <c r="Z49" i="26"/>
  <c r="Y49" i="26" s="1"/>
  <c r="V49" i="26"/>
  <c r="U49" i="26" s="1"/>
  <c r="O35" i="26"/>
  <c r="AH35" i="26" s="1"/>
  <c r="AF28" i="26"/>
  <c r="AE28" i="26" s="1"/>
  <c r="H5" i="26"/>
  <c r="M1" i="26" a="1"/>
  <c r="M1" i="26" s="1"/>
  <c r="AF58" i="26"/>
  <c r="AE58" i="26" s="1"/>
  <c r="T92" i="23"/>
  <c r="S92" i="23" s="1"/>
  <c r="M103" i="7"/>
  <c r="X14" i="7"/>
  <c r="W14" i="7" s="1"/>
  <c r="AA18" i="23"/>
  <c r="X93" i="7"/>
  <c r="W93" i="7" s="1"/>
  <c r="M57" i="23"/>
  <c r="T10" i="23"/>
  <c r="S10" i="23" s="1"/>
  <c r="T124" i="7"/>
  <c r="S124" i="7" s="1"/>
  <c r="X124" i="7"/>
  <c r="W124" i="7" s="1"/>
  <c r="V124" i="7"/>
  <c r="U124" i="7" s="1"/>
  <c r="Z124" i="7"/>
  <c r="Y124" i="7" s="1"/>
  <c r="M84" i="23"/>
  <c r="M80" i="7"/>
  <c r="AB80" i="7" s="1"/>
  <c r="Z76" i="23"/>
  <c r="Y76" i="23" s="1"/>
  <c r="V76" i="23"/>
  <c r="U76" i="23" s="1"/>
  <c r="T76" i="23"/>
  <c r="S76" i="23" s="1"/>
  <c r="X76" i="23"/>
  <c r="W76" i="23" s="1"/>
  <c r="V43" i="23"/>
  <c r="U43" i="23" s="1"/>
  <c r="Z43" i="23"/>
  <c r="Y43" i="23" s="1"/>
  <c r="X43" i="23"/>
  <c r="W43" i="23" s="1"/>
  <c r="T43" i="23"/>
  <c r="S43" i="23" s="1"/>
  <c r="M39" i="7"/>
  <c r="Z154" i="7"/>
  <c r="Y154" i="7" s="1"/>
  <c r="T154" i="7"/>
  <c r="S154" i="7" s="1"/>
  <c r="V154" i="7"/>
  <c r="U154" i="7" s="1"/>
  <c r="X154" i="7"/>
  <c r="W154" i="7" s="1"/>
  <c r="AA45" i="7"/>
  <c r="M46" i="7"/>
  <c r="AB46" i="7" s="1"/>
  <c r="M133" i="7"/>
  <c r="K5" i="7"/>
  <c r="AA9" i="7"/>
  <c r="X11" i="7"/>
  <c r="W11" i="7" s="1"/>
  <c r="Z11" i="7"/>
  <c r="Y11" i="7" s="1"/>
  <c r="T11" i="7"/>
  <c r="S11" i="7" s="1"/>
  <c r="V11" i="7"/>
  <c r="U11" i="7" s="1"/>
  <c r="Z34" i="7"/>
  <c r="Y34" i="7" s="1"/>
  <c r="T34" i="7"/>
  <c r="S34" i="7" s="1"/>
  <c r="V34" i="7"/>
  <c r="U34" i="7" s="1"/>
  <c r="X34" i="7"/>
  <c r="W34" i="7" s="1"/>
  <c r="T89" i="23"/>
  <c r="S89" i="23" s="1"/>
  <c r="V89" i="23"/>
  <c r="U89" i="23" s="1"/>
  <c r="X89" i="23"/>
  <c r="W89" i="23" s="1"/>
  <c r="Z89" i="23"/>
  <c r="Y89" i="23" s="1"/>
  <c r="V148" i="7"/>
  <c r="U148" i="7" s="1"/>
  <c r="X148" i="7"/>
  <c r="W148" i="7" s="1"/>
  <c r="Z148" i="7"/>
  <c r="Y148" i="7" s="1"/>
  <c r="T148" i="7"/>
  <c r="S148" i="7" s="1"/>
  <c r="T33" i="23"/>
  <c r="S33" i="23" s="1"/>
  <c r="Z33" i="23"/>
  <c r="Y33" i="23" s="1"/>
  <c r="X33" i="23"/>
  <c r="W33" i="23" s="1"/>
  <c r="V33" i="23"/>
  <c r="U33" i="23" s="1"/>
  <c r="M149" i="7"/>
  <c r="AB149" i="7" s="1"/>
  <c r="M64" i="7"/>
  <c r="T42" i="23"/>
  <c r="S42" i="23" s="1"/>
  <c r="Z42" i="23"/>
  <c r="Y42" i="23" s="1"/>
  <c r="X42" i="23"/>
  <c r="W42" i="23" s="1"/>
  <c r="V42" i="23"/>
  <c r="U42" i="23" s="1"/>
  <c r="V46" i="23"/>
  <c r="U46" i="23" s="1"/>
  <c r="T46" i="23"/>
  <c r="S46" i="23" s="1"/>
  <c r="Z46" i="23"/>
  <c r="Y46" i="23" s="1"/>
  <c r="X46" i="23"/>
  <c r="W46" i="23" s="1"/>
  <c r="M123" i="7"/>
  <c r="AB123" i="7" s="1"/>
  <c r="M102" i="7"/>
  <c r="AB102" i="7" s="1"/>
  <c r="T83" i="7"/>
  <c r="S83" i="7" s="1"/>
  <c r="V83" i="7"/>
  <c r="U83" i="7" s="1"/>
  <c r="Z83" i="7"/>
  <c r="Y83" i="7" s="1"/>
  <c r="X83" i="7"/>
  <c r="W83" i="7" s="1"/>
  <c r="V96" i="23"/>
  <c r="U96" i="23" s="1"/>
  <c r="T96" i="23"/>
  <c r="S96" i="23" s="1"/>
  <c r="Z96" i="23"/>
  <c r="Y96" i="23" s="1"/>
  <c r="X96" i="23"/>
  <c r="W96" i="23" s="1"/>
  <c r="V65" i="23"/>
  <c r="U65" i="23" s="1"/>
  <c r="T65" i="23"/>
  <c r="S65" i="23" s="1"/>
  <c r="X65" i="23"/>
  <c r="W65" i="23" s="1"/>
  <c r="Z65" i="23"/>
  <c r="Y65" i="23" s="1"/>
  <c r="T54" i="7"/>
  <c r="S54" i="7" s="1"/>
  <c r="V54" i="7"/>
  <c r="U54" i="7" s="1"/>
  <c r="Z54" i="7"/>
  <c r="Y54" i="7" s="1"/>
  <c r="X54" i="7"/>
  <c r="W54" i="7" s="1"/>
  <c r="AA147" i="7"/>
  <c r="M143" i="7"/>
  <c r="AB143" i="7" s="1"/>
  <c r="M28" i="7"/>
  <c r="AB28" i="7" s="1"/>
  <c r="V25" i="23"/>
  <c r="U25" i="23" s="1"/>
  <c r="X25" i="23"/>
  <c r="W25" i="23" s="1"/>
  <c r="T25" i="23"/>
  <c r="S25" i="23" s="1"/>
  <c r="Z25" i="23"/>
  <c r="Y25" i="23" s="1"/>
  <c r="X71" i="23"/>
  <c r="W71" i="23" s="1"/>
  <c r="Z71" i="23"/>
  <c r="Y71" i="23" s="1"/>
  <c r="T71" i="23"/>
  <c r="S71" i="23" s="1"/>
  <c r="V71" i="23"/>
  <c r="U71" i="23" s="1"/>
  <c r="V90" i="7"/>
  <c r="U90" i="7" s="1"/>
  <c r="AA11" i="23"/>
  <c r="AD75" i="26"/>
  <c r="AC75" i="26" s="1"/>
  <c r="AG75" i="26"/>
  <c r="AG49" i="26"/>
  <c r="AD49" i="26"/>
  <c r="AC49" i="26" s="1"/>
  <c r="X72" i="26"/>
  <c r="W72" i="26" s="1"/>
  <c r="Z72" i="26"/>
  <c r="Y72" i="26" s="1"/>
  <c r="AB72" i="26"/>
  <c r="AA72" i="26" s="1"/>
  <c r="V72" i="26"/>
  <c r="U72" i="26" s="1"/>
  <c r="O58" i="26"/>
  <c r="AH58" i="26" s="1"/>
  <c r="AD56" i="26"/>
  <c r="AC56" i="26" s="1"/>
  <c r="AG56" i="26"/>
  <c r="AB79" i="26"/>
  <c r="AA79" i="26" s="1"/>
  <c r="Z79" i="26"/>
  <c r="Y79" i="26" s="1"/>
  <c r="X79" i="26"/>
  <c r="W79" i="26" s="1"/>
  <c r="V79" i="26"/>
  <c r="U79" i="26" s="1"/>
  <c r="AB15" i="26"/>
  <c r="AA15" i="26" s="1"/>
  <c r="X15" i="26"/>
  <c r="W15" i="26" s="1"/>
  <c r="Z15" i="26"/>
  <c r="Y15" i="26" s="1"/>
  <c r="V15" i="26"/>
  <c r="U15" i="26" s="1"/>
  <c r="O65" i="26"/>
  <c r="AH65" i="26" s="1"/>
  <c r="AD63" i="26"/>
  <c r="AC63" i="26" s="1"/>
  <c r="AG63" i="26"/>
  <c r="X86" i="26"/>
  <c r="W86" i="26" s="1"/>
  <c r="Z86" i="26"/>
  <c r="Y86" i="26" s="1"/>
  <c r="AB86" i="26"/>
  <c r="AA86" i="26" s="1"/>
  <c r="V86" i="26"/>
  <c r="U86" i="26" s="1"/>
  <c r="X22" i="26"/>
  <c r="W22" i="26" s="1"/>
  <c r="Z22" i="26"/>
  <c r="Y22" i="26" s="1"/>
  <c r="AB22" i="26"/>
  <c r="AA22" i="26" s="1"/>
  <c r="V22" i="26"/>
  <c r="U22" i="26" s="1"/>
  <c r="O72" i="26"/>
  <c r="AH72" i="26" s="1"/>
  <c r="AG89" i="26"/>
  <c r="AD89" i="26"/>
  <c r="AC89" i="26" s="1"/>
  <c r="AB93" i="26"/>
  <c r="AA93" i="26" s="1"/>
  <c r="X93" i="26"/>
  <c r="W93" i="26" s="1"/>
  <c r="Z93" i="26"/>
  <c r="Y93" i="26" s="1"/>
  <c r="V93" i="26"/>
  <c r="U93" i="26" s="1"/>
  <c r="AB29" i="26"/>
  <c r="AA29" i="26" s="1"/>
  <c r="X29" i="26"/>
  <c r="W29" i="26" s="1"/>
  <c r="Z29" i="26"/>
  <c r="Y29" i="26" s="1"/>
  <c r="V29" i="26"/>
  <c r="U29" i="26" s="1"/>
  <c r="O79" i="26"/>
  <c r="AH79" i="26" s="1"/>
  <c r="O14" i="26"/>
  <c r="AH14" i="26" s="1"/>
  <c r="AF33" i="26"/>
  <c r="AE33" i="26" s="1"/>
  <c r="AF47" i="26"/>
  <c r="AE47" i="26" s="1"/>
  <c r="AF14" i="26"/>
  <c r="AE14" i="26" s="1"/>
  <c r="AF40" i="26"/>
  <c r="AE40" i="26" s="1"/>
  <c r="AF17" i="26"/>
  <c r="AE17" i="26" s="1"/>
  <c r="X134" i="7"/>
  <c r="W134" i="7" s="1"/>
  <c r="T52" i="23"/>
  <c r="S52" i="23" s="1"/>
  <c r="T119" i="7"/>
  <c r="S119" i="7" s="1"/>
  <c r="V149" i="7"/>
  <c r="U149" i="7" s="1"/>
  <c r="T24" i="7"/>
  <c r="S24" i="7" s="1"/>
  <c r="T98" i="7"/>
  <c r="S98" i="7" s="1"/>
  <c r="X150" i="7"/>
  <c r="W150" i="7" s="1"/>
  <c r="Z78" i="23"/>
  <c r="Y78" i="23" s="1"/>
  <c r="T140" i="7"/>
  <c r="S140" i="7" s="1"/>
  <c r="AA123" i="7"/>
  <c r="M40" i="7"/>
  <c r="AB40" i="7" s="1"/>
  <c r="T55" i="7"/>
  <c r="S55" i="7" s="1"/>
  <c r="M93" i="23"/>
  <c r="AB93" i="23" s="1"/>
  <c r="V23" i="7"/>
  <c r="U23" i="7" s="1"/>
  <c r="AA106" i="7"/>
  <c r="AA10" i="7"/>
  <c r="M69" i="7"/>
  <c r="AB69" i="7" s="1"/>
  <c r="M96" i="23"/>
  <c r="AB96" i="23"/>
  <c r="X62" i="23"/>
  <c r="W62" i="23" s="1"/>
  <c r="T62" i="23"/>
  <c r="S62" i="23" s="1"/>
  <c r="V62" i="23"/>
  <c r="U62" i="23" s="1"/>
  <c r="Z62" i="23"/>
  <c r="Y62" i="23" s="1"/>
  <c r="AA137" i="7"/>
  <c r="AA94" i="23"/>
  <c r="M115" i="7"/>
  <c r="AB115" i="7" s="1"/>
  <c r="M109" i="7"/>
  <c r="AB109" i="7" s="1"/>
  <c r="M138" i="7"/>
  <c r="AB138" i="7" s="1"/>
  <c r="X115" i="7"/>
  <c r="W115" i="7" s="1"/>
  <c r="T115" i="7"/>
  <c r="S115" i="7" s="1"/>
  <c r="Z115" i="7"/>
  <c r="Y115" i="7" s="1"/>
  <c r="V115" i="7"/>
  <c r="U115" i="7" s="1"/>
  <c r="AA38" i="23"/>
  <c r="AA45" i="23"/>
  <c r="AA68" i="7"/>
  <c r="V28" i="23"/>
  <c r="U28" i="23" s="1"/>
  <c r="T28" i="23"/>
  <c r="S28" i="23" s="1"/>
  <c r="Z28" i="23"/>
  <c r="Y28" i="23" s="1"/>
  <c r="X28" i="23"/>
  <c r="W28" i="23" s="1"/>
  <c r="M77" i="23"/>
  <c r="AB77" i="23" s="1"/>
  <c r="AA46" i="23"/>
  <c r="X138" i="7"/>
  <c r="W138" i="7" s="1"/>
  <c r="V138" i="7"/>
  <c r="U138" i="7" s="1"/>
  <c r="Z138" i="7"/>
  <c r="Y138" i="7" s="1"/>
  <c r="T138" i="7"/>
  <c r="S138" i="7" s="1"/>
  <c r="Z88" i="7"/>
  <c r="Y88" i="7" s="1"/>
  <c r="X88" i="7"/>
  <c r="W88" i="7" s="1"/>
  <c r="T88" i="7"/>
  <c r="S88" i="7" s="1"/>
  <c r="V88" i="7"/>
  <c r="U88" i="7" s="1"/>
  <c r="M10" i="23"/>
  <c r="AB10" i="23" s="1"/>
  <c r="L1" i="23" a="1"/>
  <c r="L1" i="23" s="1"/>
  <c r="K2" i="23" s="1"/>
  <c r="G5" i="23"/>
  <c r="X40" i="23"/>
  <c r="W40" i="23" s="1"/>
  <c r="T40" i="23"/>
  <c r="S40" i="23" s="1"/>
  <c r="V40" i="23"/>
  <c r="U40" i="23" s="1"/>
  <c r="Z40" i="23"/>
  <c r="Y40" i="23" s="1"/>
  <c r="V70" i="23"/>
  <c r="U70" i="23" s="1"/>
  <c r="T70" i="23"/>
  <c r="S70" i="23" s="1"/>
  <c r="Z70" i="23"/>
  <c r="Y70" i="23" s="1"/>
  <c r="X70" i="23"/>
  <c r="W70" i="23" s="1"/>
  <c r="T109" i="7"/>
  <c r="S109" i="7" s="1"/>
  <c r="V109" i="7"/>
  <c r="U109" i="7" s="1"/>
  <c r="X109" i="7"/>
  <c r="W109" i="7" s="1"/>
  <c r="Z109" i="7"/>
  <c r="Y109" i="7" s="1"/>
  <c r="AA42" i="23"/>
  <c r="Z61" i="7"/>
  <c r="Y61" i="7" s="1"/>
  <c r="T61" i="7"/>
  <c r="S61" i="7" s="1"/>
  <c r="V61" i="7"/>
  <c r="U61" i="7" s="1"/>
  <c r="X61" i="7"/>
  <c r="W61" i="7" s="1"/>
  <c r="X89" i="7"/>
  <c r="W89" i="7" s="1"/>
  <c r="T89" i="7"/>
  <c r="S89" i="7" s="1"/>
  <c r="Z89" i="7"/>
  <c r="Y89" i="7" s="1"/>
  <c r="V89" i="7"/>
  <c r="U89" i="7" s="1"/>
  <c r="X56" i="23"/>
  <c r="W56" i="23" s="1"/>
  <c r="T56" i="23"/>
  <c r="S56" i="23" s="1"/>
  <c r="V56" i="23"/>
  <c r="U56" i="23" s="1"/>
  <c r="Z56" i="23"/>
  <c r="Y56" i="23" s="1"/>
  <c r="AA49" i="23"/>
  <c r="X31" i="7"/>
  <c r="W31" i="7" s="1"/>
  <c r="Z31" i="7"/>
  <c r="Y31" i="7" s="1"/>
  <c r="T31" i="7"/>
  <c r="S31" i="7" s="1"/>
  <c r="V31" i="7"/>
  <c r="U31" i="7" s="1"/>
  <c r="M127" i="7"/>
  <c r="AB127" i="7" s="1"/>
  <c r="Z55" i="23"/>
  <c r="Y55" i="23" s="1"/>
  <c r="T55" i="23"/>
  <c r="S55" i="23" s="1"/>
  <c r="X55" i="23"/>
  <c r="W55" i="23" s="1"/>
  <c r="V55" i="23"/>
  <c r="U55" i="23" s="1"/>
  <c r="AA81" i="23"/>
  <c r="AA66" i="7"/>
  <c r="V105" i="7"/>
  <c r="U105" i="7" s="1"/>
  <c r="Z69" i="23"/>
  <c r="Y69" i="23" s="1"/>
  <c r="M83" i="23"/>
  <c r="Z41" i="23"/>
  <c r="Y41" i="23" s="1"/>
  <c r="AG71" i="26"/>
  <c r="AD71" i="26"/>
  <c r="AC71" i="26" s="1"/>
  <c r="AG45" i="26"/>
  <c r="AD45" i="26"/>
  <c r="AC45" i="26" s="1"/>
  <c r="X68" i="26"/>
  <c r="W68" i="26" s="1"/>
  <c r="AB68" i="26"/>
  <c r="AA68" i="26" s="1"/>
  <c r="Z68" i="26"/>
  <c r="Y68" i="26" s="1"/>
  <c r="V68" i="26"/>
  <c r="U68" i="26" s="1"/>
  <c r="O54" i="26"/>
  <c r="AD52" i="26"/>
  <c r="AC52" i="26" s="1"/>
  <c r="AG52" i="26"/>
  <c r="AB75" i="26"/>
  <c r="AA75" i="26" s="1"/>
  <c r="X75" i="26"/>
  <c r="W75" i="26" s="1"/>
  <c r="Z75" i="26"/>
  <c r="Y75" i="26" s="1"/>
  <c r="V75" i="26"/>
  <c r="U75" i="26" s="1"/>
  <c r="AB11" i="26"/>
  <c r="AA11" i="26" s="1"/>
  <c r="Z11" i="26"/>
  <c r="Y11" i="26" s="1"/>
  <c r="X11" i="26"/>
  <c r="W11" i="26" s="1"/>
  <c r="V11" i="26"/>
  <c r="U11" i="26" s="1"/>
  <c r="O61" i="26"/>
  <c r="AD59" i="26"/>
  <c r="AC59" i="26" s="1"/>
  <c r="AG59" i="26"/>
  <c r="AB82" i="26"/>
  <c r="AA82" i="26" s="1"/>
  <c r="X82" i="26"/>
  <c r="W82" i="26" s="1"/>
  <c r="Z82" i="26"/>
  <c r="Y82" i="26" s="1"/>
  <c r="V82" i="26"/>
  <c r="U82" i="26" s="1"/>
  <c r="AB18" i="26"/>
  <c r="AA18" i="26" s="1"/>
  <c r="X18" i="26"/>
  <c r="W18" i="26" s="1"/>
  <c r="Z18" i="26"/>
  <c r="Y18" i="26" s="1"/>
  <c r="V18" i="26"/>
  <c r="U18" i="26" s="1"/>
  <c r="O68" i="26"/>
  <c r="AG73" i="26"/>
  <c r="AD73" i="26"/>
  <c r="AC73" i="26" s="1"/>
  <c r="AB89" i="26"/>
  <c r="AA89" i="26" s="1"/>
  <c r="X89" i="26"/>
  <c r="W89" i="26" s="1"/>
  <c r="Z89" i="26"/>
  <c r="Y89" i="26" s="1"/>
  <c r="V89" i="26"/>
  <c r="U89" i="26" s="1"/>
  <c r="AB25" i="26"/>
  <c r="AA25" i="26" s="1"/>
  <c r="X25" i="26"/>
  <c r="W25" i="26" s="1"/>
  <c r="Z25" i="26"/>
  <c r="Y25" i="26" s="1"/>
  <c r="V25" i="26"/>
  <c r="U25" i="26" s="1"/>
  <c r="O75" i="26"/>
  <c r="AH75" i="26" s="1"/>
  <c r="O10" i="26"/>
  <c r="AF93" i="26"/>
  <c r="AE93" i="26" s="1"/>
  <c r="AF30" i="26"/>
  <c r="AE30" i="26" s="1"/>
  <c r="AF27" i="26"/>
  <c r="AE27" i="26" s="1"/>
  <c r="AF38" i="26"/>
  <c r="AE38" i="26" s="1"/>
  <c r="AF20" i="26"/>
  <c r="AE20" i="26" s="1"/>
  <c r="I5" i="26"/>
  <c r="N1" i="26" a="1"/>
  <c r="N1" i="26" s="1"/>
  <c r="X152" i="7"/>
  <c r="W152" i="7" s="1"/>
  <c r="X28" i="7"/>
  <c r="W28" i="7" s="1"/>
  <c r="AA72" i="7"/>
  <c r="Z83" i="23"/>
  <c r="Y83" i="23" s="1"/>
  <c r="M62" i="23"/>
  <c r="V56" i="7"/>
  <c r="U56" i="7" s="1"/>
  <c r="M85" i="23"/>
  <c r="Z90" i="23"/>
  <c r="Y90" i="23" s="1"/>
  <c r="X95" i="7"/>
  <c r="W95" i="7" s="1"/>
  <c r="T21" i="7"/>
  <c r="S21" i="7" s="1"/>
  <c r="T144" i="7"/>
  <c r="S144" i="7" s="1"/>
  <c r="L6" i="7"/>
  <c r="N6" i="26"/>
  <c r="G6" i="7"/>
  <c r="G6" i="26"/>
  <c r="AJ100" i="26" l="1"/>
  <c r="AJ99" i="26"/>
  <c r="AJ96" i="26"/>
  <c r="AJ98" i="26"/>
  <c r="AH97" i="26"/>
  <c r="AI97" i="26" s="1"/>
  <c r="AI96" i="26"/>
  <c r="T96" i="26"/>
  <c r="T101" i="26"/>
  <c r="AI101" i="26"/>
  <c r="AI98" i="26"/>
  <c r="T99" i="26"/>
  <c r="T98" i="26"/>
  <c r="AI99" i="26"/>
  <c r="AH100" i="26"/>
  <c r="AI100" i="26" s="1"/>
  <c r="AJ97" i="26"/>
  <c r="AJ101" i="26"/>
  <c r="AD158" i="7"/>
  <c r="AC158" i="7"/>
  <c r="R158" i="7"/>
  <c r="AD161" i="7"/>
  <c r="AD160" i="7"/>
  <c r="AB160" i="7"/>
  <c r="AC160" i="7" s="1"/>
  <c r="AB159" i="7"/>
  <c r="AC159" i="7" s="1"/>
  <c r="R161" i="7"/>
  <c r="AC161" i="7"/>
  <c r="AD159" i="7"/>
  <c r="AD156" i="7"/>
  <c r="AC156" i="7"/>
  <c r="AD157" i="7"/>
  <c r="R156" i="7"/>
  <c r="AD155" i="7"/>
  <c r="AB155" i="7"/>
  <c r="AC155" i="7" s="1"/>
  <c r="AC157" i="7"/>
  <c r="R157" i="7"/>
  <c r="AD39" i="23"/>
  <c r="O2" i="23"/>
  <c r="AD144" i="7"/>
  <c r="AD135" i="7"/>
  <c r="AC86" i="23"/>
  <c r="AD142" i="7"/>
  <c r="AD92" i="23"/>
  <c r="AJ15" i="26"/>
  <c r="AC72" i="7"/>
  <c r="AD16" i="23"/>
  <c r="AH9" i="26"/>
  <c r="T9" i="26" s="1"/>
  <c r="O5" i="26"/>
  <c r="P5" i="26" s="1"/>
  <c r="AD77" i="23"/>
  <c r="AD55" i="7"/>
  <c r="AC77" i="23"/>
  <c r="AC142" i="7"/>
  <c r="AC20" i="23"/>
  <c r="R13" i="23"/>
  <c r="AD127" i="7"/>
  <c r="AD82" i="7"/>
  <c r="AD78" i="7"/>
  <c r="AC139" i="7"/>
  <c r="AD104" i="7"/>
  <c r="AD24" i="7"/>
  <c r="AC143" i="7"/>
  <c r="AC13" i="23"/>
  <c r="AD106" i="7"/>
  <c r="R101" i="7"/>
  <c r="AD88" i="7"/>
  <c r="AD28" i="23"/>
  <c r="AJ72" i="26"/>
  <c r="AD143" i="7"/>
  <c r="AD84" i="23"/>
  <c r="AJ42" i="26"/>
  <c r="AD125" i="7"/>
  <c r="AD17" i="7"/>
  <c r="AJ34" i="26"/>
  <c r="AD61" i="23"/>
  <c r="AD68" i="23"/>
  <c r="AD26" i="7"/>
  <c r="R66" i="23"/>
  <c r="AD80" i="23"/>
  <c r="AD79" i="23"/>
  <c r="AD26" i="23"/>
  <c r="AD38" i="23"/>
  <c r="AD87" i="23"/>
  <c r="AD98" i="7"/>
  <c r="AD56" i="23"/>
  <c r="AJ86" i="26"/>
  <c r="AD83" i="7"/>
  <c r="AD34" i="7"/>
  <c r="AD76" i="23"/>
  <c r="AI35" i="26"/>
  <c r="AI85" i="26"/>
  <c r="AD63" i="7"/>
  <c r="AD97" i="7"/>
  <c r="AC29" i="23"/>
  <c r="AC45" i="7"/>
  <c r="AC81" i="23"/>
  <c r="AJ30" i="26"/>
  <c r="AJ94" i="26"/>
  <c r="AD96" i="7"/>
  <c r="R112" i="7"/>
  <c r="AD91" i="7"/>
  <c r="AJ41" i="26"/>
  <c r="AD27" i="7"/>
  <c r="AJ45" i="26"/>
  <c r="AJ24" i="26"/>
  <c r="AC37" i="23"/>
  <c r="AD132" i="7"/>
  <c r="AJ51" i="26"/>
  <c r="AD100" i="7"/>
  <c r="R139" i="7"/>
  <c r="AD68" i="7"/>
  <c r="AD87" i="7"/>
  <c r="AD76" i="7"/>
  <c r="AJ46" i="26"/>
  <c r="AJ57" i="26"/>
  <c r="AJ50" i="26"/>
  <c r="AJ47" i="26"/>
  <c r="AJ17" i="26"/>
  <c r="AD71" i="7"/>
  <c r="AJ69" i="26"/>
  <c r="AD95" i="23"/>
  <c r="AD67" i="23"/>
  <c r="AD51" i="7"/>
  <c r="AJ54" i="26"/>
  <c r="AD119" i="7"/>
  <c r="AD46" i="7"/>
  <c r="AC101" i="7"/>
  <c r="AC69" i="7"/>
  <c r="R102" i="7"/>
  <c r="AC46" i="7"/>
  <c r="AD81" i="7"/>
  <c r="AD94" i="7"/>
  <c r="AC93" i="23"/>
  <c r="AC55" i="7"/>
  <c r="AD60" i="23"/>
  <c r="AC82" i="7"/>
  <c r="AD22" i="23"/>
  <c r="AD65" i="7"/>
  <c r="AJ43" i="26"/>
  <c r="R52" i="7"/>
  <c r="AD73" i="23"/>
  <c r="R72" i="7"/>
  <c r="AD35" i="7"/>
  <c r="AD47" i="7"/>
  <c r="AJ93" i="26"/>
  <c r="W5" i="7"/>
  <c r="AJ64" i="26"/>
  <c r="AD89" i="7"/>
  <c r="AC40" i="7"/>
  <c r="AD71" i="23"/>
  <c r="AD25" i="23"/>
  <c r="AD42" i="23"/>
  <c r="AJ28" i="26"/>
  <c r="AJ23" i="26"/>
  <c r="AJ16" i="26"/>
  <c r="AD54" i="23"/>
  <c r="AD137" i="7"/>
  <c r="AJ84" i="26"/>
  <c r="AC90" i="7"/>
  <c r="AD16" i="7"/>
  <c r="AD78" i="23"/>
  <c r="AJ65" i="26"/>
  <c r="AD70" i="7"/>
  <c r="AD72" i="23"/>
  <c r="AD66" i="7"/>
  <c r="AC62" i="7"/>
  <c r="AJ36" i="26"/>
  <c r="AJ18" i="26"/>
  <c r="AC69" i="23"/>
  <c r="AD31" i="7"/>
  <c r="AJ25" i="26"/>
  <c r="AJ82" i="26"/>
  <c r="AJ11" i="26"/>
  <c r="AD55" i="23"/>
  <c r="AD61" i="7"/>
  <c r="AD70" i="23"/>
  <c r="AD40" i="23"/>
  <c r="AD138" i="7"/>
  <c r="AD115" i="7"/>
  <c r="AD65" i="23"/>
  <c r="AD148" i="7"/>
  <c r="AD154" i="7"/>
  <c r="AI28" i="26"/>
  <c r="AD64" i="7"/>
  <c r="AD13" i="7"/>
  <c r="AD49" i="7"/>
  <c r="AD23" i="23"/>
  <c r="AD86" i="7"/>
  <c r="AD117" i="7"/>
  <c r="R77" i="7"/>
  <c r="AD23" i="7"/>
  <c r="AD150" i="7"/>
  <c r="AD134" i="7"/>
  <c r="AJ31" i="26"/>
  <c r="AD25" i="7"/>
  <c r="AD67" i="7"/>
  <c r="AD33" i="7"/>
  <c r="U5" i="7"/>
  <c r="AD44" i="23"/>
  <c r="AD57" i="7"/>
  <c r="AJ62" i="26"/>
  <c r="AC17" i="7"/>
  <c r="AC51" i="7"/>
  <c r="AJ91" i="26"/>
  <c r="AD21" i="7"/>
  <c r="AJ89" i="26"/>
  <c r="AD109" i="7"/>
  <c r="AD140" i="7"/>
  <c r="AD52" i="23"/>
  <c r="AJ29" i="26"/>
  <c r="AJ22" i="26"/>
  <c r="AD54" i="7"/>
  <c r="AD46" i="23"/>
  <c r="AD43" i="23"/>
  <c r="AC124" i="7"/>
  <c r="AJ49" i="26"/>
  <c r="AD131" i="7"/>
  <c r="AC24" i="23"/>
  <c r="AC98" i="7"/>
  <c r="AD37" i="7"/>
  <c r="AD122" i="7"/>
  <c r="AD21" i="23"/>
  <c r="AD42" i="7"/>
  <c r="AD27" i="23"/>
  <c r="AJ38" i="26"/>
  <c r="AD84" i="7"/>
  <c r="AJ53" i="26"/>
  <c r="Y5" i="7"/>
  <c r="AD114" i="7"/>
  <c r="AD74" i="7"/>
  <c r="AJ40" i="26"/>
  <c r="AD18" i="7"/>
  <c r="AD99" i="7"/>
  <c r="AC42" i="7"/>
  <c r="AJ75" i="26"/>
  <c r="AC73" i="7"/>
  <c r="AI79" i="26"/>
  <c r="AD39" i="7"/>
  <c r="AC107" i="7"/>
  <c r="AD30" i="23"/>
  <c r="AD103" i="7"/>
  <c r="AD29" i="23"/>
  <c r="AD45" i="7"/>
  <c r="AD41" i="7"/>
  <c r="AC31" i="23"/>
  <c r="AD43" i="7"/>
  <c r="AC36" i="7"/>
  <c r="AI87" i="26"/>
  <c r="AI73" i="26"/>
  <c r="AI66" i="26"/>
  <c r="AC79" i="7"/>
  <c r="AC147" i="7"/>
  <c r="AD53" i="7"/>
  <c r="AD11" i="7"/>
  <c r="AC27" i="23"/>
  <c r="AA5" i="26"/>
  <c r="AJ27" i="26"/>
  <c r="T91" i="26"/>
  <c r="AI84" i="26"/>
  <c r="T12" i="26"/>
  <c r="AJ70" i="26"/>
  <c r="AD58" i="23"/>
  <c r="AC53" i="23"/>
  <c r="AC75" i="23"/>
  <c r="AC89" i="23"/>
  <c r="AI31" i="26"/>
  <c r="AI24" i="26"/>
  <c r="AJ88" i="26"/>
  <c r="AI74" i="26"/>
  <c r="AC67" i="7"/>
  <c r="AD18" i="23"/>
  <c r="M5" i="23"/>
  <c r="AC58" i="7"/>
  <c r="AI51" i="26"/>
  <c r="AJ44" i="26"/>
  <c r="AJ37" i="26"/>
  <c r="AI94" i="26"/>
  <c r="AC56" i="23"/>
  <c r="AC55" i="23"/>
  <c r="AC48" i="7"/>
  <c r="AC137" i="7"/>
  <c r="AC63" i="23"/>
  <c r="AC72" i="23"/>
  <c r="R60" i="23"/>
  <c r="AE5" i="26"/>
  <c r="AI32" i="26"/>
  <c r="AD9" i="7"/>
  <c r="S5" i="7"/>
  <c r="AD15" i="7"/>
  <c r="AD34" i="23"/>
  <c r="AD113" i="7"/>
  <c r="AC100" i="7"/>
  <c r="AC126" i="7"/>
  <c r="AD12" i="7"/>
  <c r="AC15" i="23"/>
  <c r="AC68" i="23"/>
  <c r="AI93" i="26"/>
  <c r="R73" i="7"/>
  <c r="AD19" i="23"/>
  <c r="AC38" i="7"/>
  <c r="AD14" i="7"/>
  <c r="R121" i="7"/>
  <c r="AI47" i="26"/>
  <c r="AJ33" i="26"/>
  <c r="AD110" i="7"/>
  <c r="AC136" i="7"/>
  <c r="AD107" i="7"/>
  <c r="AD64" i="23"/>
  <c r="AD141" i="7"/>
  <c r="AC44" i="23"/>
  <c r="AI67" i="26"/>
  <c r="AI60" i="26"/>
  <c r="AI53" i="26"/>
  <c r="AI46" i="26"/>
  <c r="AD86" i="23"/>
  <c r="AC87" i="7"/>
  <c r="AD32" i="23"/>
  <c r="AC150" i="7"/>
  <c r="AD92" i="7"/>
  <c r="AC24" i="7"/>
  <c r="AC73" i="23"/>
  <c r="AD93" i="7"/>
  <c r="R152" i="7"/>
  <c r="AJ55" i="26"/>
  <c r="AI48" i="26"/>
  <c r="AI41" i="26"/>
  <c r="AI34" i="26"/>
  <c r="AD9" i="23"/>
  <c r="S5" i="23"/>
  <c r="AC88" i="7"/>
  <c r="AD50" i="7"/>
  <c r="AC95" i="7"/>
  <c r="AC91" i="7"/>
  <c r="AC120" i="7"/>
  <c r="AD111" i="7"/>
  <c r="AJ59" i="26"/>
  <c r="AI52" i="26"/>
  <c r="AC50" i="7"/>
  <c r="AC111" i="7"/>
  <c r="AC106" i="7"/>
  <c r="AC71" i="7"/>
  <c r="AJ63" i="26"/>
  <c r="AJ56" i="26"/>
  <c r="AI49" i="26"/>
  <c r="AC65" i="7"/>
  <c r="AD118" i="7"/>
  <c r="AI19" i="26"/>
  <c r="AJ83" i="26"/>
  <c r="R36" i="23"/>
  <c r="AD19" i="7"/>
  <c r="AD49" i="23"/>
  <c r="AD108" i="7"/>
  <c r="AC131" i="7"/>
  <c r="R95" i="23"/>
  <c r="R83" i="7"/>
  <c r="AJ71" i="26"/>
  <c r="R84" i="7"/>
  <c r="AC86" i="7"/>
  <c r="AB47" i="23"/>
  <c r="AC47" i="23" s="1"/>
  <c r="AJ10" i="26"/>
  <c r="AC115" i="7"/>
  <c r="AD96" i="23"/>
  <c r="AI65" i="26"/>
  <c r="AI58" i="26"/>
  <c r="AC149" i="7"/>
  <c r="AC50" i="23"/>
  <c r="AJ92" i="26"/>
  <c r="AC12" i="23"/>
  <c r="AD90" i="23"/>
  <c r="AD10" i="23"/>
  <c r="R77" i="23"/>
  <c r="AC109" i="7"/>
  <c r="AD69" i="7"/>
  <c r="R93" i="23"/>
  <c r="AC85" i="7"/>
  <c r="AI14" i="26"/>
  <c r="AJ79" i="26"/>
  <c r="T72" i="26"/>
  <c r="T65" i="26"/>
  <c r="AJ58" i="26"/>
  <c r="R28" i="7"/>
  <c r="AC102" i="7"/>
  <c r="AD123" i="7"/>
  <c r="AD149" i="7"/>
  <c r="AD80" i="7"/>
  <c r="T92" i="26"/>
  <c r="AJ21" i="26"/>
  <c r="AI13" i="26"/>
  <c r="AJ78" i="26"/>
  <c r="AC30" i="23"/>
  <c r="AD20" i="23"/>
  <c r="AC154" i="7"/>
  <c r="AD44" i="7"/>
  <c r="AC90" i="23"/>
  <c r="R41" i="7"/>
  <c r="R31" i="23"/>
  <c r="AD81" i="23"/>
  <c r="AD32" i="7"/>
  <c r="AD36" i="7"/>
  <c r="AC135" i="7"/>
  <c r="AI15" i="26"/>
  <c r="AJ80" i="26"/>
  <c r="AJ73" i="26"/>
  <c r="T66" i="26"/>
  <c r="R79" i="7"/>
  <c r="AC129" i="7"/>
  <c r="AD147" i="7"/>
  <c r="R53" i="7"/>
  <c r="R71" i="23"/>
  <c r="AD83" i="23"/>
  <c r="T27" i="26"/>
  <c r="AI20" i="26"/>
  <c r="AJ12" i="26"/>
  <c r="R116" i="7"/>
  <c r="R58" i="23"/>
  <c r="R17" i="23"/>
  <c r="R53" i="23"/>
  <c r="R75" i="23"/>
  <c r="AD13" i="23"/>
  <c r="AB89" i="7"/>
  <c r="AC89" i="7" s="1"/>
  <c r="AC56" i="7"/>
  <c r="R82" i="7"/>
  <c r="AJ95" i="26"/>
  <c r="T88" i="26"/>
  <c r="AI81" i="26"/>
  <c r="AJ74" i="26"/>
  <c r="AC25" i="23"/>
  <c r="AC132" i="7"/>
  <c r="R91" i="23"/>
  <c r="AD37" i="23"/>
  <c r="AD20" i="7"/>
  <c r="AB9" i="23"/>
  <c r="C12" i="18" s="1" a="1"/>
  <c r="R58" i="7"/>
  <c r="AC26" i="7"/>
  <c r="AB103" i="7"/>
  <c r="AC103" i="7" s="1"/>
  <c r="T51" i="26"/>
  <c r="T30" i="26"/>
  <c r="AC41" i="23"/>
  <c r="AD63" i="23"/>
  <c r="R135" i="7"/>
  <c r="AC152" i="7"/>
  <c r="AJ39" i="26"/>
  <c r="T32" i="26"/>
  <c r="AI89" i="26"/>
  <c r="AI18" i="26"/>
  <c r="AC52" i="7"/>
  <c r="AC9" i="7"/>
  <c r="AC153" i="7"/>
  <c r="R100" i="7"/>
  <c r="AD126" i="7"/>
  <c r="AC25" i="7"/>
  <c r="AC12" i="7"/>
  <c r="AD15" i="23"/>
  <c r="AI43" i="26"/>
  <c r="AI36" i="26"/>
  <c r="AI29" i="26"/>
  <c r="AD75" i="7"/>
  <c r="AC49" i="7"/>
  <c r="AD101" i="7"/>
  <c r="AB13" i="7"/>
  <c r="AC13" i="7" s="1"/>
  <c r="AD121" i="7"/>
  <c r="AD29" i="7"/>
  <c r="AB148" i="7"/>
  <c r="AC148" i="7" s="1"/>
  <c r="R85" i="7"/>
  <c r="T47" i="26"/>
  <c r="AH40" i="26"/>
  <c r="AI40" i="26" s="1"/>
  <c r="AJ26" i="26"/>
  <c r="AD136" i="7"/>
  <c r="AA5" i="23"/>
  <c r="AD139" i="7"/>
  <c r="AD116" i="7"/>
  <c r="AC35" i="7"/>
  <c r="R44" i="23"/>
  <c r="AC80" i="23"/>
  <c r="AC45" i="23"/>
  <c r="AC21" i="23"/>
  <c r="AC119" i="7"/>
  <c r="AC5" i="26"/>
  <c r="AJ67" i="26"/>
  <c r="AJ60" i="26"/>
  <c r="AC36" i="23"/>
  <c r="AD24" i="23"/>
  <c r="AB51" i="23"/>
  <c r="AC51" i="23" s="1"/>
  <c r="AC27" i="7"/>
  <c r="R92" i="23"/>
  <c r="AI55" i="26"/>
  <c r="AJ48" i="26"/>
  <c r="AB144" i="7"/>
  <c r="AC144" i="7" s="1"/>
  <c r="R88" i="7"/>
  <c r="R95" i="7"/>
  <c r="AC34" i="7"/>
  <c r="AC128" i="7"/>
  <c r="AD59" i="7"/>
  <c r="AD120" i="7"/>
  <c r="AB85" i="23"/>
  <c r="AC85" i="23" s="1"/>
  <c r="AB83" i="23"/>
  <c r="AC83" i="23" s="1"/>
  <c r="AB75" i="7"/>
  <c r="AC75" i="7" s="1"/>
  <c r="AC47" i="7"/>
  <c r="AD93" i="23"/>
  <c r="R30" i="7"/>
  <c r="AD151" i="7"/>
  <c r="AD94" i="23"/>
  <c r="AC10" i="7"/>
  <c r="R146" i="7"/>
  <c r="AB54" i="23"/>
  <c r="AC54" i="23" s="1"/>
  <c r="AC38" i="23"/>
  <c r="AJ19" i="26"/>
  <c r="T83" i="26"/>
  <c r="AJ76" i="26"/>
  <c r="AI69" i="26"/>
  <c r="R107" i="7"/>
  <c r="AB99" i="7"/>
  <c r="AC99" i="7" s="1"/>
  <c r="AC74" i="7"/>
  <c r="AC108" i="7"/>
  <c r="R131" i="7"/>
  <c r="AC95" i="23"/>
  <c r="AD73" i="7"/>
  <c r="T71" i="26"/>
  <c r="AH64" i="26"/>
  <c r="AI64" i="26" s="1"/>
  <c r="T50" i="26"/>
  <c r="AB60" i="7"/>
  <c r="AC60" i="7" s="1"/>
  <c r="AD36" i="23"/>
  <c r="R151" i="7"/>
  <c r="R111" i="7"/>
  <c r="R113" i="7"/>
  <c r="AB33" i="23"/>
  <c r="AC33" i="23" s="1"/>
  <c r="AC10" i="23"/>
  <c r="AC138" i="7"/>
  <c r="AI72" i="26"/>
  <c r="AC94" i="23"/>
  <c r="AD28" i="7"/>
  <c r="AD124" i="7"/>
  <c r="AJ85" i="26"/>
  <c r="AI78" i="26"/>
  <c r="Y5" i="26"/>
  <c r="AI75" i="26"/>
  <c r="AJ68" i="26"/>
  <c r="AH61" i="26"/>
  <c r="AI61" i="26" s="1"/>
  <c r="AH54" i="26"/>
  <c r="AI54" i="26" s="1"/>
  <c r="AC127" i="7"/>
  <c r="R109" i="7"/>
  <c r="R115" i="7"/>
  <c r="AC96" i="23"/>
  <c r="AC77" i="7"/>
  <c r="T14" i="26"/>
  <c r="T79" i="26"/>
  <c r="T58" i="26"/>
  <c r="AD102" i="7"/>
  <c r="R123" i="7"/>
  <c r="R149" i="7"/>
  <c r="AD133" i="7"/>
  <c r="AB39" i="7"/>
  <c r="AC39" i="7" s="1"/>
  <c r="R80" i="7"/>
  <c r="AB84" i="23"/>
  <c r="AC84" i="23" s="1"/>
  <c r="AJ35" i="26"/>
  <c r="AI92" i="26"/>
  <c r="T13" i="26"/>
  <c r="T78" i="26"/>
  <c r="AC81" i="7"/>
  <c r="AB28" i="23"/>
  <c r="AC28" i="23" s="1"/>
  <c r="R90" i="23"/>
  <c r="AD31" i="23"/>
  <c r="AD48" i="23"/>
  <c r="R36" i="7"/>
  <c r="AD145" i="7"/>
  <c r="AC60" i="23"/>
  <c r="T87" i="26"/>
  <c r="T15" i="26"/>
  <c r="AH80" i="26"/>
  <c r="AI80" i="26" s="1"/>
  <c r="T73" i="26"/>
  <c r="AJ66" i="26"/>
  <c r="AD112" i="7"/>
  <c r="AB82" i="23"/>
  <c r="AC82" i="23" s="1"/>
  <c r="R129" i="7"/>
  <c r="AC21" i="7"/>
  <c r="R147" i="7"/>
  <c r="AB11" i="7"/>
  <c r="AC11" i="7" s="1"/>
  <c r="R27" i="23"/>
  <c r="T20" i="26"/>
  <c r="T84" i="26"/>
  <c r="AH77" i="26"/>
  <c r="AI77" i="26" s="1"/>
  <c r="AI70" i="26"/>
  <c r="AB59" i="23"/>
  <c r="AC59" i="23" s="1"/>
  <c r="AD11" i="23"/>
  <c r="AD90" i="7"/>
  <c r="AD17" i="23"/>
  <c r="AD53" i="23"/>
  <c r="AD75" i="23"/>
  <c r="R89" i="23"/>
  <c r="R56" i="7"/>
  <c r="R69" i="23"/>
  <c r="AC146" i="7"/>
  <c r="AI95" i="26"/>
  <c r="T24" i="26"/>
  <c r="AH16" i="26"/>
  <c r="AI16" i="26" s="1"/>
  <c r="T81" i="26"/>
  <c r="AJ9" i="26"/>
  <c r="U5" i="26"/>
  <c r="T74" i="26"/>
  <c r="R86" i="23"/>
  <c r="R25" i="23"/>
  <c r="R132" i="7"/>
  <c r="R67" i="7"/>
  <c r="AD130" i="7"/>
  <c r="AC76" i="23"/>
  <c r="AC91" i="23"/>
  <c r="AD88" i="23"/>
  <c r="R52" i="23"/>
  <c r="R70" i="23"/>
  <c r="AB35" i="23"/>
  <c r="AC35" i="23" s="1"/>
  <c r="AC20" i="7"/>
  <c r="AD58" i="7"/>
  <c r="R26" i="7"/>
  <c r="AB57" i="23"/>
  <c r="AC57" i="23" s="1"/>
  <c r="R43" i="7"/>
  <c r="T94" i="26"/>
  <c r="R37" i="23"/>
  <c r="R12" i="23"/>
  <c r="R56" i="23"/>
  <c r="AD48" i="7"/>
  <c r="R137" i="7"/>
  <c r="R41" i="23"/>
  <c r="AB22" i="23"/>
  <c r="AC22" i="23" s="1"/>
  <c r="AD85" i="7"/>
  <c r="R72" i="23"/>
  <c r="AH39" i="26"/>
  <c r="AI39" i="26" s="1"/>
  <c r="AJ32" i="26"/>
  <c r="AI25" i="26"/>
  <c r="T89" i="26"/>
  <c r="T18" i="26"/>
  <c r="R153" i="7"/>
  <c r="AB16" i="23"/>
  <c r="AC16" i="23" s="1"/>
  <c r="AC66" i="23"/>
  <c r="AB61" i="23"/>
  <c r="AC61" i="23" s="1"/>
  <c r="R12" i="7"/>
  <c r="R68" i="23"/>
  <c r="AB14" i="23"/>
  <c r="AC14" i="23" s="1"/>
  <c r="AB140" i="7"/>
  <c r="AC140" i="7" s="1"/>
  <c r="AD152" i="7"/>
  <c r="T36" i="26"/>
  <c r="T29" i="26"/>
  <c r="T93" i="26"/>
  <c r="AI86" i="26"/>
  <c r="AD12" i="23"/>
  <c r="AB33" i="7"/>
  <c r="AC33" i="7" s="1"/>
  <c r="AD38" i="7"/>
  <c r="R49" i="7"/>
  <c r="AC121" i="7"/>
  <c r="AB29" i="7"/>
  <c r="AC29" i="7" s="1"/>
  <c r="AH90" i="26"/>
  <c r="AI90" i="26" s="1"/>
  <c r="AB145" i="7"/>
  <c r="AC145" i="7" s="1"/>
  <c r="AB110" i="7"/>
  <c r="AC110" i="7" s="1"/>
  <c r="R136" i="7"/>
  <c r="R35" i="7"/>
  <c r="AC141" i="7"/>
  <c r="AB42" i="23"/>
  <c r="AC42" i="23" s="1"/>
  <c r="AB22" i="7"/>
  <c r="AC22" i="7" s="1"/>
  <c r="AB26" i="23"/>
  <c r="AC26" i="23" s="1"/>
  <c r="R45" i="23"/>
  <c r="R119" i="7"/>
  <c r="T67" i="26"/>
  <c r="T60" i="26"/>
  <c r="T53" i="26"/>
  <c r="T46" i="26"/>
  <c r="R27" i="7"/>
  <c r="AB57" i="7"/>
  <c r="AC57" i="7" s="1"/>
  <c r="R150" i="7"/>
  <c r="AC92" i="7"/>
  <c r="AC70" i="7"/>
  <c r="AD47" i="23"/>
  <c r="AC92" i="23"/>
  <c r="R73" i="23"/>
  <c r="AC93" i="7"/>
  <c r="AB105" i="7"/>
  <c r="AC105" i="7" s="1"/>
  <c r="T55" i="26"/>
  <c r="T48" i="26"/>
  <c r="T41" i="26"/>
  <c r="T34" i="26"/>
  <c r="AD60" i="7"/>
  <c r="AB125" i="7"/>
  <c r="AC125" i="7" s="1"/>
  <c r="AB39" i="23"/>
  <c r="AC39" i="23" s="1"/>
  <c r="W5" i="23"/>
  <c r="AD95" i="7"/>
  <c r="AC78" i="23"/>
  <c r="R34" i="7"/>
  <c r="R128" i="7"/>
  <c r="R91" i="7"/>
  <c r="AI59" i="26"/>
  <c r="T52" i="26"/>
  <c r="AI45" i="26"/>
  <c r="AH38" i="26"/>
  <c r="AI38" i="26" s="1"/>
  <c r="AD69" i="23"/>
  <c r="R47" i="7"/>
  <c r="AD30" i="7"/>
  <c r="AC16" i="7"/>
  <c r="R23" i="7"/>
  <c r="AB122" i="7"/>
  <c r="AC122" i="7" s="1"/>
  <c r="AB74" i="23"/>
  <c r="AC74" i="23" s="1"/>
  <c r="R71" i="7"/>
  <c r="AG5" i="26"/>
  <c r="AI63" i="26"/>
  <c r="AI56" i="26"/>
  <c r="T49" i="26"/>
  <c r="AI42" i="26"/>
  <c r="AC68" i="7"/>
  <c r="AB117" i="7"/>
  <c r="AC117" i="7" s="1"/>
  <c r="AC118" i="7"/>
  <c r="AB46" i="23"/>
  <c r="AC46" i="23" s="1"/>
  <c r="R38" i="23"/>
  <c r="T19" i="26"/>
  <c r="AH11" i="26"/>
  <c r="AI11" i="26" s="1"/>
  <c r="AI76" i="26"/>
  <c r="AC19" i="7"/>
  <c r="AC83" i="7"/>
  <c r="AC84" i="7"/>
  <c r="R86" i="7"/>
  <c r="AC87" i="23"/>
  <c r="R51" i="7"/>
  <c r="R42" i="7"/>
  <c r="R50" i="7"/>
  <c r="R44" i="7"/>
  <c r="AB62" i="23"/>
  <c r="AC62" i="23" s="1"/>
  <c r="AH10" i="26"/>
  <c r="AI10" i="26" s="1"/>
  <c r="T75" i="26"/>
  <c r="AH68" i="26"/>
  <c r="AI68" i="26" s="1"/>
  <c r="AJ61" i="26"/>
  <c r="R127" i="7"/>
  <c r="R10" i="23"/>
  <c r="R138" i="7"/>
  <c r="AD62" i="23"/>
  <c r="R96" i="23"/>
  <c r="R69" i="7"/>
  <c r="R40" i="7"/>
  <c r="AJ14" i="26"/>
  <c r="AC28" i="7"/>
  <c r="R143" i="7"/>
  <c r="AC123" i="7"/>
  <c r="AB64" i="7"/>
  <c r="AC64" i="7" s="1"/>
  <c r="AD33" i="23"/>
  <c r="AA5" i="7"/>
  <c r="AB133" i="7"/>
  <c r="AC133" i="7" s="1"/>
  <c r="R46" i="7"/>
  <c r="AC80" i="7"/>
  <c r="AC44" i="7"/>
  <c r="AC43" i="7"/>
  <c r="W5" i="26"/>
  <c r="T35" i="26"/>
  <c r="T28" i="26"/>
  <c r="AH21" i="26"/>
  <c r="AI21" i="26" s="1"/>
  <c r="T85" i="26"/>
  <c r="AJ13" i="26"/>
  <c r="R30" i="23"/>
  <c r="R20" i="23"/>
  <c r="R154" i="7"/>
  <c r="R29" i="23"/>
  <c r="R45" i="7"/>
  <c r="AC41" i="7"/>
  <c r="AD10" i="7"/>
  <c r="AB48" i="23"/>
  <c r="AC48" i="23" s="1"/>
  <c r="R81" i="23"/>
  <c r="AB32" i="7"/>
  <c r="AC32" i="7" s="1"/>
  <c r="AD50" i="23"/>
  <c r="R24" i="23"/>
  <c r="AH23" i="26"/>
  <c r="AI23" i="26" s="1"/>
  <c r="AJ87" i="26"/>
  <c r="AD40" i="7"/>
  <c r="AD79" i="7"/>
  <c r="AD82" i="23"/>
  <c r="AD129" i="7"/>
  <c r="R21" i="7"/>
  <c r="AC53" i="7"/>
  <c r="AD62" i="7"/>
  <c r="R98" i="7"/>
  <c r="AC71" i="23"/>
  <c r="AI27" i="26"/>
  <c r="AI91" i="26"/>
  <c r="AJ20" i="26"/>
  <c r="AI12" i="26"/>
  <c r="AJ77" i="26"/>
  <c r="T70" i="26"/>
  <c r="AD59" i="23"/>
  <c r="AC58" i="23"/>
  <c r="AB11" i="23"/>
  <c r="AC11" i="23" s="1"/>
  <c r="R90" i="7"/>
  <c r="AB37" i="7"/>
  <c r="AC37" i="7" s="1"/>
  <c r="AC17" i="23"/>
  <c r="AD89" i="23"/>
  <c r="AD56" i="7"/>
  <c r="AD57" i="23"/>
  <c r="AD77" i="7"/>
  <c r="T31" i="26"/>
  <c r="T95" i="26"/>
  <c r="AI88" i="26"/>
  <c r="AJ81" i="26"/>
  <c r="AB130" i="7"/>
  <c r="AC130" i="7" s="1"/>
  <c r="R76" i="23"/>
  <c r="AD91" i="23"/>
  <c r="AB54" i="7"/>
  <c r="AC54" i="7" s="1"/>
  <c r="AB88" i="23"/>
  <c r="AC88" i="23" s="1"/>
  <c r="AC52" i="23"/>
  <c r="AB40" i="23"/>
  <c r="AC40" i="23" s="1"/>
  <c r="AB18" i="23"/>
  <c r="AC18" i="23" s="1"/>
  <c r="AC70" i="23"/>
  <c r="AD35" i="23"/>
  <c r="R20" i="7"/>
  <c r="U5" i="23"/>
  <c r="AH44" i="26"/>
  <c r="AI44" i="26" s="1"/>
  <c r="AH37" i="26"/>
  <c r="AI37" i="26" s="1"/>
  <c r="AI30" i="26"/>
  <c r="R55" i="7"/>
  <c r="R55" i="23"/>
  <c r="R48" i="7"/>
  <c r="AD41" i="23"/>
  <c r="R63" i="23"/>
  <c r="T25" i="26"/>
  <c r="AH82" i="26"/>
  <c r="AI82" i="26" s="1"/>
  <c r="R9" i="7"/>
  <c r="M5" i="7"/>
  <c r="AD153" i="7"/>
  <c r="AB15" i="7"/>
  <c r="AC15" i="7" s="1"/>
  <c r="AB34" i="23"/>
  <c r="AC34" i="23" s="1"/>
  <c r="AB63" i="7"/>
  <c r="AC63" i="7" s="1"/>
  <c r="R142" i="7"/>
  <c r="AD66" i="23"/>
  <c r="R126" i="7"/>
  <c r="AB114" i="7"/>
  <c r="AC114" i="7" s="1"/>
  <c r="AB134" i="7"/>
  <c r="AC134" i="7" s="1"/>
  <c r="R25" i="7"/>
  <c r="R15" i="23"/>
  <c r="AB78" i="7"/>
  <c r="AC78" i="7" s="1"/>
  <c r="AD14" i="23"/>
  <c r="T43" i="26"/>
  <c r="AH22" i="26"/>
  <c r="AI22" i="26" s="1"/>
  <c r="T86" i="26"/>
  <c r="AB19" i="23"/>
  <c r="AC19" i="23" s="1"/>
  <c r="R38" i="7"/>
  <c r="AB14" i="7"/>
  <c r="AC14" i="7" s="1"/>
  <c r="AB23" i="23"/>
  <c r="AC23" i="23" s="1"/>
  <c r="AD52" i="7"/>
  <c r="AB96" i="7"/>
  <c r="AC96" i="7" s="1"/>
  <c r="AH33" i="26"/>
  <c r="AI33" i="26" s="1"/>
  <c r="AH26" i="26"/>
  <c r="AI26" i="26" s="1"/>
  <c r="AJ90" i="26"/>
  <c r="R94" i="23"/>
  <c r="AD72" i="7"/>
  <c r="AB64" i="23"/>
  <c r="AC64" i="23" s="1"/>
  <c r="AB43" i="23"/>
  <c r="AC43" i="23" s="1"/>
  <c r="AB104" i="7"/>
  <c r="AC104" i="7" s="1"/>
  <c r="R141" i="7"/>
  <c r="AB97" i="7"/>
  <c r="AC97" i="7" s="1"/>
  <c r="Y5" i="23"/>
  <c r="AD22" i="7"/>
  <c r="R80" i="23"/>
  <c r="AD45" i="23"/>
  <c r="R21" i="23"/>
  <c r="AC113" i="7"/>
  <c r="AD51" i="23"/>
  <c r="R87" i="7"/>
  <c r="AB32" i="23"/>
  <c r="AC32" i="23" s="1"/>
  <c r="AB79" i="23"/>
  <c r="AC79" i="23" s="1"/>
  <c r="R92" i="7"/>
  <c r="AB31" i="7"/>
  <c r="AC31" i="7" s="1"/>
  <c r="R70" i="7"/>
  <c r="R24" i="7"/>
  <c r="R93" i="7"/>
  <c r="AD105" i="7"/>
  <c r="AB94" i="7"/>
  <c r="AC94" i="7" s="1"/>
  <c r="R78" i="23"/>
  <c r="AD128" i="7"/>
  <c r="AB59" i="7"/>
  <c r="AC59" i="7" s="1"/>
  <c r="R120" i="7"/>
  <c r="AC151" i="7"/>
  <c r="AH17" i="26"/>
  <c r="AI17" i="26" s="1"/>
  <c r="T59" i="26"/>
  <c r="AJ52" i="26"/>
  <c r="T45" i="26"/>
  <c r="AC116" i="7"/>
  <c r="AC30" i="7"/>
  <c r="R16" i="7"/>
  <c r="AC23" i="7"/>
  <c r="AB66" i="7"/>
  <c r="AC66" i="7" s="1"/>
  <c r="R106" i="7"/>
  <c r="AD74" i="23"/>
  <c r="R124" i="7"/>
  <c r="T63" i="26"/>
  <c r="T56" i="26"/>
  <c r="T42" i="26"/>
  <c r="R65" i="7"/>
  <c r="R68" i="7"/>
  <c r="AB61" i="7"/>
  <c r="AC61" i="7" s="1"/>
  <c r="R118" i="7"/>
  <c r="AB65" i="23"/>
  <c r="AC65" i="23" s="1"/>
  <c r="AB49" i="23"/>
  <c r="AC49" i="23" s="1"/>
  <c r="AI83" i="26"/>
  <c r="T76" i="26"/>
  <c r="T69" i="26"/>
  <c r="AH62" i="26"/>
  <c r="AI62" i="26" s="1"/>
  <c r="AC112" i="7"/>
  <c r="R19" i="7"/>
  <c r="R74" i="7"/>
  <c r="R108" i="7"/>
  <c r="AB76" i="7"/>
  <c r="AC76" i="7" s="1"/>
  <c r="AB18" i="7"/>
  <c r="AC18" i="7" s="1"/>
  <c r="R62" i="7"/>
  <c r="AI71" i="26"/>
  <c r="AH57" i="26"/>
  <c r="AI57" i="26" s="1"/>
  <c r="AI50" i="26"/>
  <c r="AB67" i="23"/>
  <c r="AC67" i="23" s="1"/>
  <c r="R17" i="7"/>
  <c r="R87" i="23"/>
  <c r="AD146" i="7"/>
  <c r="AD85" i="23"/>
  <c r="R10" i="7"/>
  <c r="R50" i="23"/>
  <c r="R81" i="7"/>
  <c r="T100" i="26" l="1"/>
  <c r="T97" i="26"/>
  <c r="R159" i="7"/>
  <c r="R160" i="7"/>
  <c r="R155" i="7"/>
  <c r="AI9" i="26"/>
  <c r="T54" i="26"/>
  <c r="R23" i="23"/>
  <c r="R63" i="7"/>
  <c r="T82" i="26"/>
  <c r="R125" i="7"/>
  <c r="R26" i="23"/>
  <c r="R64" i="23"/>
  <c r="R110" i="7"/>
  <c r="T57" i="26"/>
  <c r="R99" i="7"/>
  <c r="R54" i="23"/>
  <c r="T90" i="26"/>
  <c r="R13" i="7"/>
  <c r="R96" i="7"/>
  <c r="R97" i="7"/>
  <c r="R74" i="23"/>
  <c r="R140" i="7"/>
  <c r="R18" i="23"/>
  <c r="R51" i="23"/>
  <c r="R65" i="23"/>
  <c r="T37" i="26"/>
  <c r="R78" i="7"/>
  <c r="R61" i="23"/>
  <c r="C12" i="18"/>
  <c r="E12" i="18" s="1"/>
  <c r="I12" i="18" s="1"/>
  <c r="R82" i="23"/>
  <c r="R18" i="7"/>
  <c r="R57" i="7"/>
  <c r="R19" i="23"/>
  <c r="R39" i="7"/>
  <c r="T11" i="26"/>
  <c r="M4" i="7"/>
  <c r="R32" i="23"/>
  <c r="R57" i="23"/>
  <c r="R62" i="23"/>
  <c r="T62" i="26"/>
  <c r="R117" i="7"/>
  <c r="R105" i="7"/>
  <c r="R79" i="23"/>
  <c r="R49" i="23"/>
  <c r="R104" i="7"/>
  <c r="R75" i="7"/>
  <c r="R34" i="23"/>
  <c r="AB5" i="7"/>
  <c r="R5" i="7" s="1"/>
  <c r="R22" i="23"/>
  <c r="T44" i="26"/>
  <c r="R11" i="7"/>
  <c r="R103" i="7"/>
  <c r="R133" i="7"/>
  <c r="R28" i="23"/>
  <c r="T64" i="26"/>
  <c r="R76" i="7"/>
  <c r="R39" i="23"/>
  <c r="T26" i="26"/>
  <c r="R148" i="7"/>
  <c r="R134" i="7"/>
  <c r="AD5" i="7"/>
  <c r="R145" i="7"/>
  <c r="T16" i="26"/>
  <c r="R89" i="7"/>
  <c r="R37" i="7"/>
  <c r="T80" i="26"/>
  <c r="R32" i="7"/>
  <c r="T61" i="26"/>
  <c r="C11" i="18" a="1"/>
  <c r="C11" i="18" s="1"/>
  <c r="AI5" i="26"/>
  <c r="AI6" i="26" s="1"/>
  <c r="R67" i="23"/>
  <c r="R66" i="7"/>
  <c r="R59" i="7"/>
  <c r="R40" i="23"/>
  <c r="AJ5" i="26"/>
  <c r="C14" i="17"/>
  <c r="R60" i="7"/>
  <c r="C3" i="17"/>
  <c r="T33" i="26"/>
  <c r="T22" i="26"/>
  <c r="R15" i="7"/>
  <c r="AC5" i="7"/>
  <c r="AC9" i="23"/>
  <c r="AC5" i="23" s="1"/>
  <c r="AC6" i="23" s="1"/>
  <c r="AB5" i="23"/>
  <c r="R5" i="23" s="1"/>
  <c r="R88" i="23"/>
  <c r="R84" i="23"/>
  <c r="R83" i="23"/>
  <c r="R61" i="7"/>
  <c r="T17" i="26"/>
  <c r="C13" i="18" a="1"/>
  <c r="C13" i="18" s="1"/>
  <c r="R144" i="7"/>
  <c r="R42" i="23"/>
  <c r="R29" i="7"/>
  <c r="R114" i="7"/>
  <c r="M4" i="23"/>
  <c r="R54" i="7"/>
  <c r="R11" i="23"/>
  <c r="T77" i="26"/>
  <c r="R33" i="23"/>
  <c r="C14" i="18" a="1"/>
  <c r="C14" i="18" s="1"/>
  <c r="T39" i="26"/>
  <c r="R35" i="23"/>
  <c r="R59" i="23"/>
  <c r="O4" i="26"/>
  <c r="R94" i="7"/>
  <c r="R43" i="23"/>
  <c r="R48" i="23"/>
  <c r="R122" i="7"/>
  <c r="R31" i="7"/>
  <c r="R22" i="7"/>
  <c r="R14" i="7"/>
  <c r="R16" i="23"/>
  <c r="R64" i="7"/>
  <c r="T10" i="26"/>
  <c r="C29" i="18" s="1" a="1"/>
  <c r="T21" i="26"/>
  <c r="T68" i="26"/>
  <c r="R46" i="23"/>
  <c r="T38" i="26"/>
  <c r="R47" i="23"/>
  <c r="F35" i="24" a="1"/>
  <c r="F35" i="24" s="1"/>
  <c r="F42" i="24" a="1"/>
  <c r="F42" i="24" s="1"/>
  <c r="F34" i="24" a="1"/>
  <c r="F34" i="24" s="1"/>
  <c r="F37" i="24" a="1"/>
  <c r="F37" i="24" s="1"/>
  <c r="F38" i="24" a="1"/>
  <c r="F38" i="24" s="1"/>
  <c r="B16" i="24"/>
  <c r="B29" i="24"/>
  <c r="B23" i="24"/>
  <c r="B27" i="24"/>
  <c r="F36" i="24" a="1"/>
  <c r="F36" i="24" s="1"/>
  <c r="B22" i="24"/>
  <c r="B14" i="24"/>
  <c r="B25" i="24"/>
  <c r="B24" i="24"/>
  <c r="B15" i="24"/>
  <c r="B19" i="24"/>
  <c r="F40" i="24" a="1"/>
  <c r="F40" i="24" s="1"/>
  <c r="F41" i="24" a="1"/>
  <c r="F41" i="24" s="1"/>
  <c r="B28" i="24"/>
  <c r="AD5" i="23"/>
  <c r="B30" i="24"/>
  <c r="B26" i="24"/>
  <c r="B21" i="24"/>
  <c r="B17" i="24"/>
  <c r="F39" i="24" a="1"/>
  <c r="F39" i="24" s="1"/>
  <c r="B12" i="24"/>
  <c r="B10" i="24"/>
  <c r="B11" i="24"/>
  <c r="B13" i="24"/>
  <c r="B33" i="24" a="1"/>
  <c r="B33" i="24" s="1"/>
  <c r="B18" i="24"/>
  <c r="C9" i="18" a="1"/>
  <c r="C9" i="18" s="1"/>
  <c r="T40" i="26"/>
  <c r="R33" i="7"/>
  <c r="R14" i="23"/>
  <c r="R9" i="23"/>
  <c r="R130" i="7"/>
  <c r="AH5" i="26"/>
  <c r="T5" i="26" s="1"/>
  <c r="T23" i="26"/>
  <c r="R85" i="23"/>
  <c r="C29" i="18" l="1"/>
  <c r="C28" i="18" a="1"/>
  <c r="C28" i="18" s="1"/>
  <c r="C26" i="18" a="1"/>
  <c r="C26" i="18" s="1"/>
  <c r="F13" i="24" a="1"/>
  <c r="F13" i="24" s="1"/>
  <c r="I13" i="24" a="1"/>
  <c r="I13" i="24" s="1"/>
  <c r="H13" i="24" a="1"/>
  <c r="H13" i="24" s="1"/>
  <c r="N13" i="24" a="1"/>
  <c r="N13" i="24" s="1"/>
  <c r="L13" i="24" a="1"/>
  <c r="L13" i="24" s="1"/>
  <c r="G13" i="24" a="1"/>
  <c r="G13" i="24" s="1"/>
  <c r="O13" i="24" a="1"/>
  <c r="O13" i="24" s="1"/>
  <c r="K13" i="24" a="1"/>
  <c r="K13" i="24" s="1"/>
  <c r="J13" i="24" a="1"/>
  <c r="J13" i="24" s="1"/>
  <c r="J30" i="24" a="1"/>
  <c r="J30" i="24" s="1"/>
  <c r="O30" i="24" a="1"/>
  <c r="O30" i="24" s="1"/>
  <c r="I30" i="24" a="1"/>
  <c r="I30" i="24" s="1"/>
  <c r="G30" i="24" a="1"/>
  <c r="G30" i="24" s="1"/>
  <c r="N30" i="24" a="1"/>
  <c r="N30" i="24" s="1"/>
  <c r="H30" i="24" a="1"/>
  <c r="H30" i="24" s="1"/>
  <c r="K30" i="24" a="1"/>
  <c r="K30" i="24" s="1"/>
  <c r="F30" i="24" a="1"/>
  <c r="F30" i="24" s="1"/>
  <c r="L30" i="24" a="1"/>
  <c r="L30" i="24" s="1"/>
  <c r="C15" i="18"/>
  <c r="E9" i="18"/>
  <c r="F11" i="24" a="1"/>
  <c r="F11" i="24" s="1"/>
  <c r="N11" i="24" a="1"/>
  <c r="N11" i="24" s="1"/>
  <c r="L11" i="24" a="1"/>
  <c r="L11" i="24" s="1"/>
  <c r="O11" i="24" a="1"/>
  <c r="O11" i="24" s="1"/>
  <c r="H11" i="24" a="1"/>
  <c r="H11" i="24" s="1"/>
  <c r="G11" i="24" a="1"/>
  <c r="G11" i="24" s="1"/>
  <c r="I11" i="24" a="1"/>
  <c r="I11" i="24" s="1"/>
  <c r="E11" i="24" a="1"/>
  <c r="E11" i="24" s="1"/>
  <c r="J11" i="24" a="1"/>
  <c r="J11" i="24" s="1"/>
  <c r="K11" i="24" a="1"/>
  <c r="K11" i="24" s="1"/>
  <c r="O17" i="24" a="1"/>
  <c r="O17" i="24" s="1"/>
  <c r="H17" i="24" a="1"/>
  <c r="H17" i="24" s="1"/>
  <c r="G17" i="24" a="1"/>
  <c r="G17" i="24" s="1"/>
  <c r="I17" i="24" a="1"/>
  <c r="I17" i="24" s="1"/>
  <c r="L17" i="24" a="1"/>
  <c r="L17" i="24" s="1"/>
  <c r="J17" i="24" a="1"/>
  <c r="J17" i="24" s="1"/>
  <c r="F17" i="24" a="1"/>
  <c r="F17" i="24" s="1"/>
  <c r="N17" i="24" a="1"/>
  <c r="N17" i="24" s="1"/>
  <c r="K17" i="24" a="1"/>
  <c r="K17" i="24" s="1"/>
  <c r="I19" i="24" a="1"/>
  <c r="I19" i="24" s="1"/>
  <c r="K19" i="24" a="1"/>
  <c r="K19" i="24" s="1"/>
  <c r="N19" i="24" a="1"/>
  <c r="N19" i="24" s="1"/>
  <c r="G19" i="24" a="1"/>
  <c r="G19" i="24" s="1"/>
  <c r="F19" i="24" a="1"/>
  <c r="F19" i="24" s="1"/>
  <c r="O19" i="24" a="1"/>
  <c r="O19" i="24" s="1"/>
  <c r="H19" i="24" a="1"/>
  <c r="H19" i="24" s="1"/>
  <c r="J19" i="24" a="1"/>
  <c r="J19" i="24" s="1"/>
  <c r="L19" i="24" a="1"/>
  <c r="L19" i="24" s="1"/>
  <c r="I14" i="24" a="1"/>
  <c r="I14" i="24" s="1"/>
  <c r="O14" i="24" a="1"/>
  <c r="O14" i="24" s="1"/>
  <c r="H14" i="24" a="1"/>
  <c r="H14" i="24" s="1"/>
  <c r="J14" i="24" a="1"/>
  <c r="J14" i="24" s="1"/>
  <c r="K14" i="24" a="1"/>
  <c r="K14" i="24" s="1"/>
  <c r="F14" i="24" a="1"/>
  <c r="F14" i="24" s="1"/>
  <c r="N14" i="24" a="1"/>
  <c r="N14" i="24" s="1"/>
  <c r="G14" i="24" a="1"/>
  <c r="G14" i="24" s="1"/>
  <c r="L14" i="24" a="1"/>
  <c r="L14" i="24" s="1"/>
  <c r="J23" i="24" a="1"/>
  <c r="J23" i="24" s="1"/>
  <c r="L23" i="24" a="1"/>
  <c r="L23" i="24" s="1"/>
  <c r="F23" i="24" a="1"/>
  <c r="F23" i="24" s="1"/>
  <c r="O23" i="24" a="1"/>
  <c r="O23" i="24" s="1"/>
  <c r="K23" i="24" a="1"/>
  <c r="K23" i="24" s="1"/>
  <c r="H23" i="24" a="1"/>
  <c r="H23" i="24" s="1"/>
  <c r="N23" i="24" a="1"/>
  <c r="N23" i="24" s="1"/>
  <c r="G23" i="24" a="1"/>
  <c r="G23" i="24" s="1"/>
  <c r="I23" i="24" a="1"/>
  <c r="I23" i="24" s="1"/>
  <c r="C24" i="18" a="1"/>
  <c r="C24" i="18" s="1"/>
  <c r="C30" i="18" a="1"/>
  <c r="C30" i="18" s="1"/>
  <c r="F18" i="24" a="1"/>
  <c r="F18" i="24" s="1"/>
  <c r="J18" i="24" a="1"/>
  <c r="J18" i="24" s="1"/>
  <c r="N18" i="24" a="1"/>
  <c r="N18" i="24" s="1"/>
  <c r="L18" i="24" a="1"/>
  <c r="L18" i="24" s="1"/>
  <c r="O18" i="24" a="1"/>
  <c r="O18" i="24" s="1"/>
  <c r="K18" i="24" a="1"/>
  <c r="K18" i="24" s="1"/>
  <c r="I18" i="24" a="1"/>
  <c r="I18" i="24" s="1"/>
  <c r="H18" i="24" a="1"/>
  <c r="H18" i="24" s="1"/>
  <c r="G18" i="24" a="1"/>
  <c r="G18" i="24" s="1"/>
  <c r="F10" i="24" a="1"/>
  <c r="F10" i="24" s="1"/>
  <c r="D10" i="24" a="1"/>
  <c r="D10" i="24" s="1"/>
  <c r="D31" i="24" s="1"/>
  <c r="K10" i="24" a="1"/>
  <c r="K10" i="24" s="1"/>
  <c r="N10" i="24" a="1"/>
  <c r="N10" i="24" s="1"/>
  <c r="H10" i="24" a="1"/>
  <c r="H10" i="24" s="1"/>
  <c r="E10" i="24" a="1"/>
  <c r="E10" i="24" s="1"/>
  <c r="G10" i="24" a="1"/>
  <c r="G10" i="24" s="1"/>
  <c r="I10" i="24" a="1"/>
  <c r="I10" i="24" s="1"/>
  <c r="O10" i="24" a="1"/>
  <c r="O10" i="24" s="1"/>
  <c r="L10" i="24" a="1"/>
  <c r="L10" i="24" s="1"/>
  <c r="J10" i="24" a="1"/>
  <c r="J10" i="24" s="1"/>
  <c r="O21" i="24" a="1"/>
  <c r="O21" i="24" s="1"/>
  <c r="H21" i="24" a="1"/>
  <c r="H21" i="24" s="1"/>
  <c r="K21" i="24" a="1"/>
  <c r="K21" i="24" s="1"/>
  <c r="I21" i="24" a="1"/>
  <c r="I21" i="24" s="1"/>
  <c r="J21" i="24" a="1"/>
  <c r="J21" i="24" s="1"/>
  <c r="F21" i="24" a="1"/>
  <c r="F21" i="24" s="1"/>
  <c r="N21" i="24" a="1"/>
  <c r="N21" i="24" s="1"/>
  <c r="G21" i="24" a="1"/>
  <c r="G21" i="24" s="1"/>
  <c r="L21" i="24" a="1"/>
  <c r="L21" i="24" s="1"/>
  <c r="N28" i="24" a="1"/>
  <c r="N28" i="24" s="1"/>
  <c r="I28" i="24" a="1"/>
  <c r="I28" i="24" s="1"/>
  <c r="J28" i="24" a="1"/>
  <c r="J28" i="24" s="1"/>
  <c r="L28" i="24" a="1"/>
  <c r="L28" i="24" s="1"/>
  <c r="G28" i="24" a="1"/>
  <c r="G28" i="24" s="1"/>
  <c r="K28" i="24" a="1"/>
  <c r="K28" i="24" s="1"/>
  <c r="F28" i="24" a="1"/>
  <c r="F28" i="24" s="1"/>
  <c r="O28" i="24" a="1"/>
  <c r="O28" i="24" s="1"/>
  <c r="H28" i="24" a="1"/>
  <c r="H28" i="24" s="1"/>
  <c r="N15" i="24" a="1"/>
  <c r="N15" i="24" s="1"/>
  <c r="J15" i="24" a="1"/>
  <c r="J15" i="24" s="1"/>
  <c r="K15" i="24" a="1"/>
  <c r="K15" i="24" s="1"/>
  <c r="H15" i="24" a="1"/>
  <c r="H15" i="24" s="1"/>
  <c r="G15" i="24" a="1"/>
  <c r="G15" i="24" s="1"/>
  <c r="L15" i="24" a="1"/>
  <c r="L15" i="24" s="1"/>
  <c r="F15" i="24" a="1"/>
  <c r="F15" i="24" s="1"/>
  <c r="I15" i="24" a="1"/>
  <c r="I15" i="24" s="1"/>
  <c r="O15" i="24" a="1"/>
  <c r="O15" i="24" s="1"/>
  <c r="G22" i="24" a="1"/>
  <c r="G22" i="24" s="1"/>
  <c r="J22" i="24" a="1"/>
  <c r="J22" i="24" s="1"/>
  <c r="K22" i="24" a="1"/>
  <c r="K22" i="24" s="1"/>
  <c r="N22" i="24" a="1"/>
  <c r="N22" i="24" s="1"/>
  <c r="I22" i="24" a="1"/>
  <c r="I22" i="24" s="1"/>
  <c r="L22" i="24" a="1"/>
  <c r="L22" i="24" s="1"/>
  <c r="F22" i="24" a="1"/>
  <c r="F22" i="24" s="1"/>
  <c r="O22" i="24" a="1"/>
  <c r="O22" i="24" s="1"/>
  <c r="H22" i="24" a="1"/>
  <c r="H22" i="24" s="1"/>
  <c r="N29" i="24" a="1"/>
  <c r="N29" i="24" s="1"/>
  <c r="G29" i="24" a="1"/>
  <c r="G29" i="24" s="1"/>
  <c r="J29" i="24" a="1"/>
  <c r="J29" i="24" s="1"/>
  <c r="F29" i="24" a="1"/>
  <c r="F29" i="24" s="1"/>
  <c r="O29" i="24" a="1"/>
  <c r="O29" i="24" s="1"/>
  <c r="L29" i="24" a="1"/>
  <c r="L29" i="24" s="1"/>
  <c r="K29" i="24" a="1"/>
  <c r="K29" i="24" s="1"/>
  <c r="H29" i="24" a="1"/>
  <c r="H29" i="24" s="1"/>
  <c r="I29" i="24" a="1"/>
  <c r="I29" i="24" s="1"/>
  <c r="E13" i="18"/>
  <c r="I13" i="18" s="1"/>
  <c r="AC7" i="7"/>
  <c r="AC6" i="7"/>
  <c r="C4" i="17"/>
  <c r="C25" i="18" a="1"/>
  <c r="C25" i="18" s="1"/>
  <c r="C27" i="18" a="1"/>
  <c r="C27" i="18" s="1"/>
  <c r="F12" i="18"/>
  <c r="N25" i="24" a="1"/>
  <c r="N25" i="24" s="1"/>
  <c r="G25" i="24" a="1"/>
  <c r="G25" i="24" s="1"/>
  <c r="J25" i="24" a="1"/>
  <c r="J25" i="24" s="1"/>
  <c r="F25" i="24" a="1"/>
  <c r="F25" i="24" s="1"/>
  <c r="K25" i="24" a="1"/>
  <c r="K25" i="24" s="1"/>
  <c r="I25" i="24" a="1"/>
  <c r="I25" i="24" s="1"/>
  <c r="L25" i="24" a="1"/>
  <c r="L25" i="24" s="1"/>
  <c r="O25" i="24" a="1"/>
  <c r="O25" i="24" s="1"/>
  <c r="H25" i="24" a="1"/>
  <c r="H25" i="24" s="1"/>
  <c r="L27" i="24" a="1"/>
  <c r="L27" i="24" s="1"/>
  <c r="G27" i="24" a="1"/>
  <c r="G27" i="24" s="1"/>
  <c r="F27" i="24" a="1"/>
  <c r="F27" i="24" s="1"/>
  <c r="O27" i="24" a="1"/>
  <c r="O27" i="24" s="1"/>
  <c r="H27" i="24" a="1"/>
  <c r="H27" i="24" s="1"/>
  <c r="K27" i="24" a="1"/>
  <c r="K27" i="24" s="1"/>
  <c r="N27" i="24" a="1"/>
  <c r="N27" i="24" s="1"/>
  <c r="I27" i="24" a="1"/>
  <c r="I27" i="24" s="1"/>
  <c r="J27" i="24" a="1"/>
  <c r="J27" i="24" s="1"/>
  <c r="N33" i="24" a="1"/>
  <c r="N33" i="24" s="1"/>
  <c r="N43" i="24" s="1"/>
  <c r="I33" i="24" a="1"/>
  <c r="I33" i="24" s="1"/>
  <c r="I43" i="24" s="1"/>
  <c r="H33" i="24" a="1"/>
  <c r="H33" i="24" s="1"/>
  <c r="H43" i="24" s="1"/>
  <c r="F33" i="24" a="1"/>
  <c r="F33" i="24" s="1"/>
  <c r="F43" i="24" s="1"/>
  <c r="D33" i="24" a="1"/>
  <c r="D33" i="24" s="1"/>
  <c r="D43" i="24" s="1"/>
  <c r="L33" i="24" a="1"/>
  <c r="L33" i="24" s="1"/>
  <c r="L43" i="24" s="1"/>
  <c r="E33" i="24" a="1"/>
  <c r="E33" i="24" s="1"/>
  <c r="E43" i="24" s="1"/>
  <c r="G33" i="24" a="1"/>
  <c r="G33" i="24" s="1"/>
  <c r="G43" i="24" s="1"/>
  <c r="O33" i="24" a="1"/>
  <c r="O33" i="24" s="1"/>
  <c r="O43" i="24" s="1"/>
  <c r="K33" i="24" a="1"/>
  <c r="K33" i="24" s="1"/>
  <c r="K43" i="24" s="1"/>
  <c r="J33" i="24" a="1"/>
  <c r="J33" i="24" s="1"/>
  <c r="J43" i="24" s="1"/>
  <c r="F12" i="24" a="1"/>
  <c r="F12" i="24" s="1"/>
  <c r="E12" i="24" a="1"/>
  <c r="E12" i="24" s="1"/>
  <c r="K12" i="24" a="1"/>
  <c r="K12" i="24" s="1"/>
  <c r="G12" i="24" a="1"/>
  <c r="G12" i="24" s="1"/>
  <c r="J12" i="24" a="1"/>
  <c r="J12" i="24" s="1"/>
  <c r="N12" i="24" a="1"/>
  <c r="N12" i="24" s="1"/>
  <c r="H12" i="24" a="1"/>
  <c r="H12" i="24" s="1"/>
  <c r="I12" i="24" a="1"/>
  <c r="I12" i="24" s="1"/>
  <c r="O12" i="24" a="1"/>
  <c r="O12" i="24" s="1"/>
  <c r="L12" i="24" a="1"/>
  <c r="L12" i="24" s="1"/>
  <c r="N26" i="24" a="1"/>
  <c r="N26" i="24" s="1"/>
  <c r="H26" i="24" a="1"/>
  <c r="H26" i="24" s="1"/>
  <c r="K26" i="24" a="1"/>
  <c r="K26" i="24" s="1"/>
  <c r="J26" i="24" a="1"/>
  <c r="J26" i="24" s="1"/>
  <c r="G26" i="24" a="1"/>
  <c r="G26" i="24" s="1"/>
  <c r="F26" i="24" a="1"/>
  <c r="F26" i="24" s="1"/>
  <c r="O26" i="24" a="1"/>
  <c r="O26" i="24" s="1"/>
  <c r="L26" i="24" a="1"/>
  <c r="L26" i="24" s="1"/>
  <c r="I26" i="24" a="1"/>
  <c r="I26" i="24" s="1"/>
  <c r="N24" i="24" a="1"/>
  <c r="N24" i="24" s="1"/>
  <c r="G24" i="24" a="1"/>
  <c r="G24" i="24" s="1"/>
  <c r="I24" i="24" a="1"/>
  <c r="I24" i="24" s="1"/>
  <c r="H24" i="24" a="1"/>
  <c r="H24" i="24" s="1"/>
  <c r="K24" i="24" a="1"/>
  <c r="K24" i="24" s="1"/>
  <c r="F24" i="24" a="1"/>
  <c r="F24" i="24" s="1"/>
  <c r="J24" i="24" a="1"/>
  <c r="J24" i="24" s="1"/>
  <c r="L24" i="24" a="1"/>
  <c r="L24" i="24" s="1"/>
  <c r="O24" i="24" a="1"/>
  <c r="O24" i="24" s="1"/>
  <c r="N16" i="24" a="1"/>
  <c r="N16" i="24" s="1"/>
  <c r="J16" i="24" a="1"/>
  <c r="J16" i="24" s="1"/>
  <c r="I16" i="24" a="1"/>
  <c r="I16" i="24" s="1"/>
  <c r="L16" i="24" a="1"/>
  <c r="L16" i="24" s="1"/>
  <c r="F16" i="24" a="1"/>
  <c r="F16" i="24" s="1"/>
  <c r="G16" i="24" a="1"/>
  <c r="G16" i="24" s="1"/>
  <c r="H16" i="24" a="1"/>
  <c r="H16" i="24" s="1"/>
  <c r="K16" i="24" a="1"/>
  <c r="K16" i="24" s="1"/>
  <c r="O16" i="24" a="1"/>
  <c r="O16" i="24" s="1"/>
  <c r="E14" i="18"/>
  <c r="I14" i="18" s="1"/>
  <c r="E11" i="18"/>
  <c r="I11" i="18" s="1"/>
  <c r="F13" i="18" l="1"/>
  <c r="F14" i="18"/>
  <c r="O31" i="24"/>
  <c r="H31" i="24"/>
  <c r="F31" i="24"/>
  <c r="E15" i="18"/>
  <c r="I9" i="18"/>
  <c r="I31" i="24"/>
  <c r="N31" i="24"/>
  <c r="C31" i="18"/>
  <c r="C34" i="18" s="1"/>
  <c r="AJ6" i="26"/>
  <c r="B20" i="18"/>
  <c r="F11" i="18"/>
  <c r="J31" i="24"/>
  <c r="G31" i="24"/>
  <c r="K31" i="24"/>
  <c r="I24" i="18"/>
  <c r="L31" i="24"/>
  <c r="E31" i="24"/>
  <c r="F9" i="18"/>
  <c r="F15" i="18" l="1"/>
  <c r="C15" i="17" l="1"/>
  <c r="C19" i="17" l="1"/>
  <c r="C21" i="17" s="1"/>
  <c r="C17" i="17"/>
  <c r="C18" i="17" s="1"/>
  <c r="C16" i="17"/>
</calcChain>
</file>

<file path=xl/sharedStrings.xml><?xml version="1.0" encoding="utf-8"?>
<sst xmlns="http://schemas.openxmlformats.org/spreadsheetml/2006/main" count="8218" uniqueCount="1750">
  <si>
    <t>Параметры:</t>
  </si>
  <si>
    <t>Отбор:</t>
  </si>
  <si>
    <t>Документ</t>
  </si>
  <si>
    <t>Контрагент</t>
  </si>
  <si>
    <t>Дата</t>
  </si>
  <si>
    <t>Подразделение</t>
  </si>
  <si>
    <t>Вид операции</t>
  </si>
  <si>
    <t>Договор.Наименование</t>
  </si>
  <si>
    <t>2. Долг &gt; 45 дней и &lt; 3-х месяцев</t>
  </si>
  <si>
    <t>3. Долг ≥ 3 и &lt; 6 месяцев</t>
  </si>
  <si>
    <t>4. Долг ≥ 6 и &lt; 9 месяцев</t>
  </si>
  <si>
    <t>6. Долг &gt; 12 месяцев</t>
  </si>
  <si>
    <t>Сумма авансов</t>
  </si>
  <si>
    <t>Сумма депозита</t>
  </si>
  <si>
    <t>Итого</t>
  </si>
  <si>
    <t>Сумма</t>
  </si>
  <si>
    <t>Dr.Martens</t>
  </si>
  <si>
    <t>Основной договор</t>
  </si>
  <si>
    <t>ОПТ Havaianas</t>
  </si>
  <si>
    <t>EUR</t>
  </si>
  <si>
    <t>ОПТ Converse</t>
  </si>
  <si>
    <t>Havaianas</t>
  </si>
  <si>
    <t>Converse</t>
  </si>
  <si>
    <t>UGG</t>
  </si>
  <si>
    <t>Orbico Style spolka z ograniczona odpowiedzialnoscia</t>
  </si>
  <si>
    <t>Реализация товаров и услуг УТ000000707 от 06.05.2019 15:03:31</t>
  </si>
  <si>
    <t>06.05.2019 15:03:31</t>
  </si>
  <si>
    <t>Экспорт</t>
  </si>
  <si>
    <t>продажа, комиссия</t>
  </si>
  <si>
    <t>Реализация товаров и услуг УТ000000731 от 13.05.2019 10:38:50</t>
  </si>
  <si>
    <t>13.05.2019 10:38:50</t>
  </si>
  <si>
    <t>Saucony</t>
  </si>
  <si>
    <t>Платежное поручение входящее БПБП0002194 от 05.04.2019 23:55:59</t>
  </si>
  <si>
    <t>АЛЬФА ООО</t>
  </si>
  <si>
    <t>05.04.2019 23:55:59</t>
  </si>
  <si>
    <t>ОПТ Сток Saucony</t>
  </si>
  <si>
    <t>Оплата от покупателя</t>
  </si>
  <si>
    <t>№ 381/2019 от 26.03.2019</t>
  </si>
  <si>
    <t>Депозит CON SP21</t>
  </si>
  <si>
    <t>Депозит CON SU21</t>
  </si>
  <si>
    <t>депозит DRM SS21</t>
  </si>
  <si>
    <t>Атлет ООО</t>
  </si>
  <si>
    <t>Депозит CON FA21</t>
  </si>
  <si>
    <t>Платежное поручение входящее БПБП0007225 от 18.11.2019 23:59:59</t>
  </si>
  <si>
    <t>БРЕНД АУТЛЕТ ООО</t>
  </si>
  <si>
    <t>18.11.2019 23:59:59</t>
  </si>
  <si>
    <t>ОПТ Дисконт</t>
  </si>
  <si>
    <t>Счет-договор №360/2019 от 15.11.19</t>
  </si>
  <si>
    <t>Бренд Стрит ООО</t>
  </si>
  <si>
    <t>№ 435/2020 от 16.09.2020</t>
  </si>
  <si>
    <t>Реализация товаров и услуг УТ000033232 от 14.12.2020 14:18:49</t>
  </si>
  <si>
    <t>14.12.2020 14:18:49</t>
  </si>
  <si>
    <t>ОПТ Сток Converse</t>
  </si>
  <si>
    <t>Платежное поручение входящее УТ000000015 от 29.01.2020 23:59:59</t>
  </si>
  <si>
    <t>Бутик ООО</t>
  </si>
  <si>
    <t>29.01.2020 23:59:59</t>
  </si>
  <si>
    <t>ОПТ UGG</t>
  </si>
  <si>
    <t>№ 316/2017 от 01.06.2017</t>
  </si>
  <si>
    <t>Платежное поручение входящее 00BF-002672 от 30.10.2020 17:00:00</t>
  </si>
  <si>
    <t>30.10.2020 17:00:00</t>
  </si>
  <si>
    <t>БШ Стор ООО</t>
  </si>
  <si>
    <t>Депозит CON FA20</t>
  </si>
  <si>
    <t>Депозит CON FW21</t>
  </si>
  <si>
    <t>депозит DRM FH20</t>
  </si>
  <si>
    <t>Депозит DRM SS21</t>
  </si>
  <si>
    <t>Депозит SAU AW21</t>
  </si>
  <si>
    <t>Депозит SAU SS21</t>
  </si>
  <si>
    <t>№ 323/2017 от 28.11.17</t>
  </si>
  <si>
    <t>Платежное поручение входящее БПБП0002736 от 13.07.2020 23:59:59</t>
  </si>
  <si>
    <t>Вайлдберриз ООО</t>
  </si>
  <si>
    <t>13.07.2020 23:59:59</t>
  </si>
  <si>
    <t>№ 07/11 от 07.11.2016</t>
  </si>
  <si>
    <t>Реализация товаров и услуг УТ000019970 от 17.07.2020 19:55:24</t>
  </si>
  <si>
    <t>17.07.2020 19:55:24</t>
  </si>
  <si>
    <t>Договор 212/2014 от 01.10.2014</t>
  </si>
  <si>
    <t>Оферта</t>
  </si>
  <si>
    <t>ОПТ Saucony</t>
  </si>
  <si>
    <t>Отчет комиссионера о продажах УТ000000184 от 06.09.2020 23:50:30</t>
  </si>
  <si>
    <t>06.09.2020 23:50:30</t>
  </si>
  <si>
    <t>Отчет комиссионера о продажах УТ000000186 от 06.09.2020 23:50:32</t>
  </si>
  <si>
    <t>06.09.2020 23:50:32</t>
  </si>
  <si>
    <t>Реализация товаров и услуг УТ000030730 от 30.10.2020 15:54:34</t>
  </si>
  <si>
    <t>30.10.2020 15:54:34</t>
  </si>
  <si>
    <t>Документ расчетов с контрагентом (ручной учет) УТ000000002 от 30.11.2020 12:00:00</t>
  </si>
  <si>
    <t>30.11.2020 12:00:00</t>
  </si>
  <si>
    <t>ОПТ Сток Havaianas</t>
  </si>
  <si>
    <t>Реализация товаров и услуг УТ000033242 от 14.12.2020 19:03:30</t>
  </si>
  <si>
    <t>14.12.2020 19:03:30</t>
  </si>
  <si>
    <t>ОПТ Сток UGG</t>
  </si>
  <si>
    <t>Отчет комиссионера о продажах УТ000000065 от 27.01.2021 23:50:26</t>
  </si>
  <si>
    <t>27.01.2021 23:50:26</t>
  </si>
  <si>
    <t>Отчет комиссионера о продажах УТ000000066 от 27.01.2021 23:50:27</t>
  </si>
  <si>
    <t>27.01.2021 23:50:27</t>
  </si>
  <si>
    <t>Платежное поручение входящее БПБП0002007 от 07.05.2018 23:59:59</t>
  </si>
  <si>
    <t>Джинсовая Симфония ООО</t>
  </si>
  <si>
    <t>07.05.2018 23:59:59</t>
  </si>
  <si>
    <t>ОПТ Сток</t>
  </si>
  <si>
    <t>№ 321/2017 от 01.11.2017</t>
  </si>
  <si>
    <t>ИНТЕРМОДЕ ООО</t>
  </si>
  <si>
    <t>Интернет Решения ООО</t>
  </si>
  <si>
    <t>Депозит HAV SS21</t>
  </si>
  <si>
    <t>ИР-П 215/15 от 21.04.2015</t>
  </si>
  <si>
    <t>ОПТ Dr.Martens</t>
  </si>
  <si>
    <t>Интерстеп ДВ ООО</t>
  </si>
  <si>
    <t>депозит CON FA21</t>
  </si>
  <si>
    <t>ИП Алемасова-Жижко Екатерина Викторовна</t>
  </si>
  <si>
    <t>ИП Бабарскова Екатерина Николаевна</t>
  </si>
  <si>
    <t>ОПТ Сток Dr.Martens</t>
  </si>
  <si>
    <t>061/2012 от 15 июня 2012</t>
  </si>
  <si>
    <t>ИП Базылевич Андрей Сергеевич</t>
  </si>
  <si>
    <t>Депозит SAU SS19</t>
  </si>
  <si>
    <t>ИП Борисов Евгений Евгеньевич</t>
  </si>
  <si>
    <t>Депозит CON SP17</t>
  </si>
  <si>
    <t>Депозит CON SP20</t>
  </si>
  <si>
    <t>ИП Брюкова Анна Александровна</t>
  </si>
  <si>
    <t>ИП Бтемирова Ольга Александровна</t>
  </si>
  <si>
    <t>ИП Гагарин Никита Валерьевич</t>
  </si>
  <si>
    <t>ИП Гапон Юлия Николаевна</t>
  </si>
  <si>
    <t>Депозит DRM FH18</t>
  </si>
  <si>
    <t>ИП Гультяев Виталий Анатольевич</t>
  </si>
  <si>
    <t>ИП Давыдов Али Косимович</t>
  </si>
  <si>
    <t>ИП Ермолин Иван Юрьевич</t>
  </si>
  <si>
    <t>Платежное поручение входящее БПБП0006749 от 28.10.2019 23:59:59</t>
  </si>
  <si>
    <t>28.10.2019 23:59:59</t>
  </si>
  <si>
    <t>№ 403/2019 от 01.10.2019</t>
  </si>
  <si>
    <t>ИП Журавлев Андрей  Васильевич</t>
  </si>
  <si>
    <t>№ 385/2019 от 27.05.2019</t>
  </si>
  <si>
    <t>ИП Земцова Наталья Демьяновна</t>
  </si>
  <si>
    <t>Депозит CON SU18</t>
  </si>
  <si>
    <t>Возврат товаров от покупателя УТ000000466 от 03.12.2018 13:35:35</t>
  </si>
  <si>
    <t>ИП Зубова Ульяна Константиновна</t>
  </si>
  <si>
    <t>03.12.2018 13:35:35</t>
  </si>
  <si>
    <t>№ 365/2018 от 30.10.2018</t>
  </si>
  <si>
    <t>ИП Иванов Милен Атанасов</t>
  </si>
  <si>
    <t>ИП Исхакова Татьяна Алексеевна</t>
  </si>
  <si>
    <t>ИП Калинин Олег Владимирович</t>
  </si>
  <si>
    <t>ИП Катков Игорь Евгеньевич</t>
  </si>
  <si>
    <t>ИП Кравченко Владимир Геннадиевич</t>
  </si>
  <si>
    <t>ИП Крячко Сергей Владимирович</t>
  </si>
  <si>
    <t>депозит CON SP21</t>
  </si>
  <si>
    <t>ИП Кулагина Екатерина Владимировна</t>
  </si>
  <si>
    <t>Депозит SAU SS20</t>
  </si>
  <si>
    <t>ИП Левин Антон Николаевич</t>
  </si>
  <si>
    <t>ИП Лохова Юлия Сергеевна</t>
  </si>
  <si>
    <t>№ 404/2019 от 08.10.2019</t>
  </si>
  <si>
    <t>ИП Максимов Андрей Викторович</t>
  </si>
  <si>
    <t>15.01.2021 17:00:00</t>
  </si>
  <si>
    <t>410/2019 от 29.11.2019</t>
  </si>
  <si>
    <t>ИП Марин Сергей Валериевич</t>
  </si>
  <si>
    <t>ИП Мельник Андрей Анатольевич</t>
  </si>
  <si>
    <t>ИП Михальчук Олег Александрович</t>
  </si>
  <si>
    <t>Депозит CON SP19</t>
  </si>
  <si>
    <t>ИП Неганов Дмитрий Витальевич</t>
  </si>
  <si>
    <t>Депозит SAU FA21</t>
  </si>
  <si>
    <t>ИП Никольская Екатерина Николаевна</t>
  </si>
  <si>
    <t>Депозит CON SU20</t>
  </si>
  <si>
    <t>ИП Осипов Тарас Евгеньевич</t>
  </si>
  <si>
    <t>Платежное поручение входящее БПБП0005108 от 19.08.2019 23:55:59</t>
  </si>
  <si>
    <t>ИП Пилюгина Юлия Юрьевна</t>
  </si>
  <si>
    <t>19.08.2019 23:55:59</t>
  </si>
  <si>
    <t>251/2015 от 23.07.2015</t>
  </si>
  <si>
    <t>Платежное поручение входящее УТ000000112 от 31.08.2019 23:59:59</t>
  </si>
  <si>
    <t>31.08.2019 23:59:59</t>
  </si>
  <si>
    <t>Реализация товаров и услуг УТ000030115 от 21.10.2020 12:08:24</t>
  </si>
  <si>
    <t>ИП Пушин Алексей Николаевич</t>
  </si>
  <si>
    <t>21.10.2020 12:08:24</t>
  </si>
  <si>
    <t>№ 372/2018 от 20.12.2018</t>
  </si>
  <si>
    <t>Платежное поручение входящее 00BF-001664 от 22.09.2020 23:03:50</t>
  </si>
  <si>
    <t>ИП Рыжков Михаил Николаевич</t>
  </si>
  <si>
    <t>22.09.2020 23:03:50</t>
  </si>
  <si>
    <t>№ 173Б/2014 от 01.06.2014</t>
  </si>
  <si>
    <t>Реализация товаров и услуг УТ000031485 от 17.11.2020 12:23:12</t>
  </si>
  <si>
    <t>17.11.2020 12:23:12</t>
  </si>
  <si>
    <t>ИП Серебрянников Андрей Евгеньевич</t>
  </si>
  <si>
    <t>Платежное поручение входящее БПБП0002198 от 16.05.2018 23:59:59</t>
  </si>
  <si>
    <t>ИП Снигерева Галина Васильевна</t>
  </si>
  <si>
    <t>16.05.2018 23:59:59</t>
  </si>
  <si>
    <t>048/2012 от 10 марта 2012</t>
  </si>
  <si>
    <t>ИП Стрелкова Валентина Владимировна</t>
  </si>
  <si>
    <t>Реализация товаров и услуг УТ000002322 от 17.02.2020 11:38:25</t>
  </si>
  <si>
    <t>ИП Харитонов Сергей Владимирович</t>
  </si>
  <si>
    <t>17.02.2020 11:38:25</t>
  </si>
  <si>
    <t>№ 416/2020 от 4 февраля 2020 года</t>
  </si>
  <si>
    <t>ИП Швец Ольга Владимировна</t>
  </si>
  <si>
    <t>ИП Шенкман Илья Олегович</t>
  </si>
  <si>
    <t>ИП Щербакова Полина Леонидовна</t>
  </si>
  <si>
    <t>№429/2020 от 22.06.2020</t>
  </si>
  <si>
    <t>Реализация товаров и услуг УТ000033222 от 14.12.2020 13:25:39</t>
  </si>
  <si>
    <t>14.12.2020 13:25:39</t>
  </si>
  <si>
    <t>Реализация товаров и услуг УТ000033223 от 14.12.2020 13:26:06</t>
  </si>
  <si>
    <t>14.12.2020 13:26:06</t>
  </si>
  <si>
    <t>Реализация товаров и услуг УТ000034154 от 24.12.2020 12:54:13</t>
  </si>
  <si>
    <t>24.12.2020 12:54:13</t>
  </si>
  <si>
    <t>Реализация товаров и услуг УТ000034155 от 24.12.2020 13:02:04</t>
  </si>
  <si>
    <t>24.12.2020 13:02:04</t>
  </si>
  <si>
    <t>Реализация товаров и услуг УТ000034148 от 24.12.2020 13:33:19</t>
  </si>
  <si>
    <t>24.12.2020 13:33:19</t>
  </si>
  <si>
    <t>Реализация товаров и услуг УТ000034153 от 24.12.2020 13:35:31</t>
  </si>
  <si>
    <t>24.12.2020 13:35:31</t>
  </si>
  <si>
    <t>Реализация товаров и услуг УТ000034151 от 24.12.2020 13:39:19</t>
  </si>
  <si>
    <t>24.12.2020 13:39:19</t>
  </si>
  <si>
    <t>Реализация товаров и услуг УТ000034150 от 24.12.2020 13:40:26</t>
  </si>
  <si>
    <t>24.12.2020 13:40:26</t>
  </si>
  <si>
    <t>Реализация товаров и услуг УТ000034147 от 24.12.2020 13:42:33</t>
  </si>
  <si>
    <t>24.12.2020 13:42:33</t>
  </si>
  <si>
    <t>Реализация товаров и услуг УТ000034152 от 24.12.2020 13:46:11</t>
  </si>
  <si>
    <t>24.12.2020 13:46:11</t>
  </si>
  <si>
    <t>Реализация товаров и услуг УТ000000055 от 15.01.2021 10:43:26</t>
  </si>
  <si>
    <t>15.01.2021 10:43:26</t>
  </si>
  <si>
    <t>Реализация товаров и услуг УТ000000056 от 15.01.2021 10:44:48</t>
  </si>
  <si>
    <t>15.01.2021 10:44:48</t>
  </si>
  <si>
    <t>Отчет комиссионера о продажах УТ000000013 от 31.07.2014 13:03:34</t>
  </si>
  <si>
    <t>Кеды Вегас</t>
  </si>
  <si>
    <t>31.07.2014 13:03:34</t>
  </si>
  <si>
    <t>№ 096/2013</t>
  </si>
  <si>
    <t>Отчет комиссионера о продажах УТ000000015 от 24.09.2014 13:04:13</t>
  </si>
  <si>
    <t>24.09.2014 13:04:13</t>
  </si>
  <si>
    <t>Отчет комиссионера о продажах УТ000000016 от 31.10.2014 15:24:05</t>
  </si>
  <si>
    <t>31.10.2014 15:24:05</t>
  </si>
  <si>
    <t>Отчет комиссионера о продажах УТ000000017 от 31.10.2014 17:57:12</t>
  </si>
  <si>
    <t>31.10.2014 17:57:12</t>
  </si>
  <si>
    <t>Отчет комиссионера о продажах УТ000000001 от 12.01.2015 11:30:05</t>
  </si>
  <si>
    <t>12.01.2015 11:30:05</t>
  </si>
  <si>
    <t>Отчет комиссионера о продажах УТ000000002 от 19.02.2015 15:16:40</t>
  </si>
  <si>
    <t>19.02.2015 15:16:40</t>
  </si>
  <si>
    <t>Отчет комиссионера о продажах УТ000000004 от 03.03.2015 15:01:57</t>
  </si>
  <si>
    <t>03.03.2015 15:01:57</t>
  </si>
  <si>
    <t>Отчет комиссионера о продажах УТ000000003 от 03.03.2015 15:15:28</t>
  </si>
  <si>
    <t>03.03.2015 15:15:28</t>
  </si>
  <si>
    <t>Корректировка долга УТ000000179 от 30.09.2015 14:45:51</t>
  </si>
  <si>
    <t>30.09.2015 14:45:51</t>
  </si>
  <si>
    <t>списание задолженности</t>
  </si>
  <si>
    <t>Платежное поручение входящее БПБП0000525 от 20.02.2016 23:59:59</t>
  </si>
  <si>
    <t>20.02.2016 23:59:59</t>
  </si>
  <si>
    <t>Платежное поручение входящее БПБП0001206 от 11.04.2016 23:59:59</t>
  </si>
  <si>
    <t>11.04.2016 23:59:59</t>
  </si>
  <si>
    <t>Платежное поручение входящее БПБП0001818 от 17.05.2016 23:59:59</t>
  </si>
  <si>
    <t>17.05.2016 23:59:59</t>
  </si>
  <si>
    <t>Комкад ООО</t>
  </si>
  <si>
    <t>Концепт ООО</t>
  </si>
  <si>
    <t>Купишуз ООО</t>
  </si>
  <si>
    <t>Депозит UGG SS20</t>
  </si>
  <si>
    <t>Депозит UGG SS21</t>
  </si>
  <si>
    <t>Договор №032/2012 от 01 марта 2012</t>
  </si>
  <si>
    <t>Реализация товаров и услуг УТ000032161 от 30.11.2020 16:55:25</t>
  </si>
  <si>
    <t>30.11.2020 16:55:25</t>
  </si>
  <si>
    <t>Платежное поручение входящее 00BF-000343 от 15.01.2021 17:00:00</t>
  </si>
  <si>
    <t>Реализация товаров и услуг УТ000001661 от 26.01.2021 14:56:45</t>
  </si>
  <si>
    <t>26.01.2021 14:56:45</t>
  </si>
  <si>
    <t>Платежное поручение входящее 00BF-003765 от 08.12.2020 17:00:00</t>
  </si>
  <si>
    <t>Макалу ООО</t>
  </si>
  <si>
    <t>08.12.2020 17:00:00</t>
  </si>
  <si>
    <t>Платежное поручение входящее БПБП0005463 от 03.09.2019 23:59:59</t>
  </si>
  <si>
    <t>Мамси ООО</t>
  </si>
  <si>
    <t>03.09.2019 23:59:59</t>
  </si>
  <si>
    <t>№ 379/2019 от 25.02.2019</t>
  </si>
  <si>
    <t>МЕГАПОЛИС77 ООО</t>
  </si>
  <si>
    <t>Межрегиональное операционное УФК (ФТС России) Тверская таможня</t>
  </si>
  <si>
    <t>МИДГАРД ООО</t>
  </si>
  <si>
    <t>МобилТранс ООО</t>
  </si>
  <si>
    <t>Москва Карго ООО</t>
  </si>
  <si>
    <t>Платежное поручение входящее БПБП0004770 от 18.09.2018 23:59:59</t>
  </si>
  <si>
    <t>Мосье Башмаков ООО</t>
  </si>
  <si>
    <t>18.09.2018 23:59:59</t>
  </si>
  <si>
    <t>№ 346/2018 от 13.06.18</t>
  </si>
  <si>
    <t>Мультибрэнд ООО</t>
  </si>
  <si>
    <t>НайсУан ООО</t>
  </si>
  <si>
    <t>ОганСпорт ООО</t>
  </si>
  <si>
    <t>депозит SAU AW21</t>
  </si>
  <si>
    <t>Оптикал Саплайс ООО</t>
  </si>
  <si>
    <t>Реализация товаров и услуг УТ000032946 от 10.12.2020 14:53:39</t>
  </si>
  <si>
    <t>ОФФПРАЙС ООО</t>
  </si>
  <si>
    <t>10.12.2020 14:53:39</t>
  </si>
  <si>
    <t>ПАО "ТД "Холдинг-Центр"</t>
  </si>
  <si>
    <t>Перспектива ООО</t>
  </si>
  <si>
    <t>Перфект Трэйд ООО</t>
  </si>
  <si>
    <t>Престиж ООО</t>
  </si>
  <si>
    <t>Приват Трэйд ООО</t>
  </si>
  <si>
    <t>№ К 130-04-20 от 7 мая 2020 г.</t>
  </si>
  <si>
    <t>Призма ООО</t>
  </si>
  <si>
    <t>РАНДЕВУ ООО</t>
  </si>
  <si>
    <t>депозит CON SU21</t>
  </si>
  <si>
    <t>депозит SAU SS21</t>
  </si>
  <si>
    <t>депозит UGG SS21</t>
  </si>
  <si>
    <t>418/2020 от 10.02.20</t>
  </si>
  <si>
    <t>Реинвент ООО</t>
  </si>
  <si>
    <t>Реализация товаров и услуг УТ000004807 от 23.03.2020 12:13:51</t>
  </si>
  <si>
    <t>23.03.2020 12:13:51</t>
  </si>
  <si>
    <t>Договор № 195/2014 от 01.08.2014</t>
  </si>
  <si>
    <t>Русмарин-Логистика-Н ООО</t>
  </si>
  <si>
    <t>Руссо Транс ООО</t>
  </si>
  <si>
    <t>Руста-Брокер ТК ООО</t>
  </si>
  <si>
    <t>Синяя Гусеница ООО</t>
  </si>
  <si>
    <t>№ 236/2015 от 27.04.2015</t>
  </si>
  <si>
    <t>СкейтСкай ООО</t>
  </si>
  <si>
    <t>Депозит CON SP18</t>
  </si>
  <si>
    <t>СТАФ ФО ЛАЙФ ООО</t>
  </si>
  <si>
    <t>депозит DRM FW20</t>
  </si>
  <si>
    <t>СТОКМАНН АО</t>
  </si>
  <si>
    <t>Платежное поручение входящее 00BF-001690 от 23.09.2020 23:02:26</t>
  </si>
  <si>
    <t>ТОО DSL PARTNERS</t>
  </si>
  <si>
    <t>23.09.2020 23:02:26</t>
  </si>
  <si>
    <t>412/2019 от 20.12.2019</t>
  </si>
  <si>
    <t>Платежное поручение входящее 00BF-002575 от 27.10.2020 17:00:00</t>
  </si>
  <si>
    <t>27.10.2020 17:00:00</t>
  </si>
  <si>
    <t>Платежное поручение входящее 00BF-003989 от 15.12.2020 17:00:00</t>
  </si>
  <si>
    <t>15.12.2020 17:00:00</t>
  </si>
  <si>
    <t>Платежное поручение входящее БПБП0000006 от 12.01.2021 0:00:00</t>
  </si>
  <si>
    <t>12.01.2021 0:00:00</t>
  </si>
  <si>
    <t>Платежное поручение входящее БПБП0000906 от 11.02.2020 2:35:59</t>
  </si>
  <si>
    <t>Торговый дом ЦУМ ОАО</t>
  </si>
  <si>
    <t>11.02.2020 2:35:59</t>
  </si>
  <si>
    <t>0067/ДП00039381 от 06.04.2016</t>
  </si>
  <si>
    <t>Реализация товаров и услуг УТ000030440 от 27.10.2020 18:42:25</t>
  </si>
  <si>
    <t>27.10.2020 18:42:25</t>
  </si>
  <si>
    <t>Траектория ООО</t>
  </si>
  <si>
    <t>Депозит CON PEAK SU21</t>
  </si>
  <si>
    <t>Документ расчетов с контрагентом (ручной учет) УТ000000093 от 31.12.2014 23:59:59</t>
  </si>
  <si>
    <t>Фолис ЗАО</t>
  </si>
  <si>
    <t>31.12.2014 23:59:59</t>
  </si>
  <si>
    <t>Корректировка долга УТ000000170 от 31.08.2015 23:59:59</t>
  </si>
  <si>
    <t>31.08.2015 23:59:59</t>
  </si>
  <si>
    <t>проведение взаимозачета</t>
  </si>
  <si>
    <t>Основной договор2</t>
  </si>
  <si>
    <t>Фолис Лтд ООО</t>
  </si>
  <si>
    <t>депозит SAU FH21</t>
  </si>
  <si>
    <t>Фортис групп ООО</t>
  </si>
  <si>
    <t>Центральный универмаг ООО</t>
  </si>
  <si>
    <t>ЧЕРИКО-групп ООО</t>
  </si>
  <si>
    <t>Депозит CON FA18</t>
  </si>
  <si>
    <t>Шереметьево Карго ОАО</t>
  </si>
  <si>
    <t>Эко Полимер М ООО</t>
  </si>
  <si>
    <t>Nonconform</t>
  </si>
  <si>
    <t>ЭФ.ЭС. МАКЕНЗИ ООО</t>
  </si>
  <si>
    <t>ЮСИМИ ООО</t>
  </si>
  <si>
    <t>Doc Type</t>
  </si>
  <si>
    <t>Row Labels</t>
  </si>
  <si>
    <t>Deposit</t>
  </si>
  <si>
    <t>Grand Total</t>
  </si>
  <si>
    <t>(All)</t>
  </si>
  <si>
    <t>(blank)</t>
  </si>
  <si>
    <t>Column Labels</t>
  </si>
  <si>
    <t>Credit Days Nominal</t>
  </si>
  <si>
    <t>Due Date</t>
  </si>
  <si>
    <t>OVRDS Days</t>
  </si>
  <si>
    <t>Credit Days</t>
  </si>
  <si>
    <t>Customer</t>
  </si>
  <si>
    <t>Stock</t>
  </si>
  <si>
    <t>Regular</t>
  </si>
  <si>
    <t>Чеширский КОТ ООО</t>
  </si>
  <si>
    <t>Extra Credit Days (TYPE IN)</t>
  </si>
  <si>
    <t>1-14 days</t>
  </si>
  <si>
    <t>15-30 days</t>
  </si>
  <si>
    <t>31-45 days</t>
  </si>
  <si>
    <t>46-90 days</t>
  </si>
  <si>
    <t>91-180 days</t>
  </si>
  <si>
    <t>180+ days</t>
  </si>
  <si>
    <t>From</t>
  </si>
  <si>
    <t>To</t>
  </si>
  <si>
    <t>Ranges for Weekly</t>
  </si>
  <si>
    <t>Ranges for Monthly</t>
  </si>
  <si>
    <t>3 - 6 months</t>
  </si>
  <si>
    <t>6 - 9 months</t>
  </si>
  <si>
    <t>9 - 12 months</t>
  </si>
  <si>
    <t>&gt;12 months</t>
  </si>
  <si>
    <t>Current</t>
  </si>
  <si>
    <t>Days Range Weekly</t>
  </si>
  <si>
    <t>Days Range Monthly</t>
  </si>
  <si>
    <t>Sum of Итого</t>
  </si>
  <si>
    <t>Brand</t>
  </si>
  <si>
    <t>CON</t>
  </si>
  <si>
    <t>DRM</t>
  </si>
  <si>
    <t>HAV</t>
  </si>
  <si>
    <t>SAU</t>
  </si>
  <si>
    <t>Havainas</t>
  </si>
  <si>
    <t>Дисконт</t>
  </si>
  <si>
    <t>Сток</t>
  </si>
  <si>
    <t>Multi</t>
  </si>
  <si>
    <t>Сток Converse</t>
  </si>
  <si>
    <t>Сток Dr.Martens</t>
  </si>
  <si>
    <t>Сток Saucony</t>
  </si>
  <si>
    <t>Сток UGG</t>
  </si>
  <si>
    <t>Сток Havaianas</t>
  </si>
  <si>
    <t>Check PLEASE</t>
  </si>
  <si>
    <t>Amount</t>
  </si>
  <si>
    <t>Advance</t>
  </si>
  <si>
    <t>9 to 12 months</t>
  </si>
  <si>
    <t>Net Advance</t>
  </si>
  <si>
    <t>Leftover</t>
  </si>
  <si>
    <t>Base Ageing</t>
  </si>
  <si>
    <t>Adjusted Ageing</t>
  </si>
  <si>
    <t>Total</t>
  </si>
  <si>
    <t>Check Formulas COPIED till END of ARRAY &gt;&gt;&gt;</t>
  </si>
  <si>
    <t>&lt;&lt;&lt; Do not delete formulas</t>
  </si>
  <si>
    <t>COPY FORMULAS TILL END OF PIVOT TABLE &gt;&gt;&gt;</t>
  </si>
  <si>
    <t>Brand Temp</t>
  </si>
  <si>
    <t>Multibrand</t>
  </si>
  <si>
    <t>Sum of Amount</t>
  </si>
  <si>
    <t>Unknown</t>
  </si>
  <si>
    <t>ПОДРАЗДЕЛЕНИЕ</t>
  </si>
  <si>
    <t>БРЕНД</t>
  </si>
  <si>
    <t>БРЕНД (предварительный)</t>
  </si>
  <si>
    <t>БРЕНД FINAL</t>
  </si>
  <si>
    <t>Total Prepay-t</t>
  </si>
  <si>
    <t>Ageing for Provision/Orbico</t>
  </si>
  <si>
    <t>Trade receivables GROSS (BS Line 244) 3rd party</t>
  </si>
  <si>
    <t>Trade receivables VALUE ADJUSTEMENT (BS Line 245) 3rd party</t>
  </si>
  <si>
    <t>Trade receivables NET (BS Line 244) 3rd party</t>
  </si>
  <si>
    <t>Trade receivables OVERDUE (part of BS line 244) 3rd party</t>
  </si>
  <si>
    <t>Trade receivables NOT DUE YET (part of BS line 244) 3rd party</t>
  </si>
  <si>
    <t>Trade receivabels RISKY  (&gt;80% risky) (part of BS line 244) 3rd party - PROVISIONED</t>
  </si>
  <si>
    <t>Trade receivabels RISKY  (&gt;80% risky) (part of BS line 244) 3rd party - NOT PROVISIONED</t>
  </si>
  <si>
    <t>Trade receivabels RISKY  (&gt;80% risky) (part of BS line 244) 3rd party - TOTAL</t>
  </si>
  <si>
    <t>Бренд для Депозита</t>
  </si>
  <si>
    <t xml:space="preserve">Overdue 91-180 </t>
  </si>
  <si>
    <t>Overdue 181+</t>
  </si>
  <si>
    <t>Manual:</t>
  </si>
  <si>
    <t>Provision</t>
  </si>
  <si>
    <t>AR</t>
  </si>
  <si>
    <t>Range</t>
  </si>
  <si>
    <t>%</t>
  </si>
  <si>
    <t>1. Долг ≤ 45 дней</t>
  </si>
  <si>
    <t>Реализация товаров и услуг УТ000000457 от 03.04.2019 9:57:25</t>
  </si>
  <si>
    <t>03.04.2019 9:57:25</t>
  </si>
  <si>
    <t>09/2012 от 01 марта 2012</t>
  </si>
  <si>
    <t>Реализация товаров и услуг УТ000002973 от 26.08.2019 9:29:40</t>
  </si>
  <si>
    <t>26.08.2019 9:29:40</t>
  </si>
  <si>
    <t>Реализация товаров и услуг УТ000005089 от 29.10.2019 9:37:14</t>
  </si>
  <si>
    <t>29.10.2019 9:37:14</t>
  </si>
  <si>
    <t xml:space="preserve">№ 221/2015 </t>
  </si>
  <si>
    <t>Реализация товаров и услуг УТ000002391 от 05.02.2021 14:32:08</t>
  </si>
  <si>
    <t>05.02.2021 14:32:08</t>
  </si>
  <si>
    <t>Реализация товаров и услуг УТ000002390 от 05.02.2021 14:34:05</t>
  </si>
  <si>
    <t>05.02.2021 14:34:05</t>
  </si>
  <si>
    <t>Реализация товаров и услуг УТ000002392 от 05.02.2021 14:38:34</t>
  </si>
  <si>
    <t>05.02.2021 14:38:34</t>
  </si>
  <si>
    <t>Реализация товаров и услуг УТ000002397 от 06.02.2021 10:50:28</t>
  </si>
  <si>
    <t>06.02.2021 10:50:28</t>
  </si>
  <si>
    <t>Реализация товаров и услуг УТ000002408 от 08.02.2021 13:54:46</t>
  </si>
  <si>
    <t>08.02.2021 13:54:46</t>
  </si>
  <si>
    <t>Реализация товаров и услуг УТ000002409 от 08.02.2021 13:57:17</t>
  </si>
  <si>
    <t>08.02.2021 13:57:17</t>
  </si>
  <si>
    <t>Реализация товаров и услуг УТ000002411 от 08.02.2021 18:02:51</t>
  </si>
  <si>
    <t>08.02.2021 18:02:51</t>
  </si>
  <si>
    <t>Реализация товаров и услуг УТ000002412 от 08.02.2021 18:07:19</t>
  </si>
  <si>
    <t>08.02.2021 18:07:19</t>
  </si>
  <si>
    <t>Реализация товаров и услуг УТ000002436 от 12.02.2021 10:04:17</t>
  </si>
  <si>
    <t>12.02.2021 10:04:17</t>
  </si>
  <si>
    <t>Реализация товаров и услуг УТ000002437 от 12.02.2021 11:33:06</t>
  </si>
  <si>
    <t>12.02.2021 11:33:06</t>
  </si>
  <si>
    <t>Реализация товаров и услуг УТ000002438 от 12.02.2021 11:35:17</t>
  </si>
  <si>
    <t>12.02.2021 11:35:17</t>
  </si>
  <si>
    <t>Реализация товаров и услуг УТ000002441 от 12.02.2021 12:41:32</t>
  </si>
  <si>
    <t>12.02.2021 12:41:32</t>
  </si>
  <si>
    <t>Реализация товаров и услуг УТ000002442 от 12.02.2021 12:42:57</t>
  </si>
  <si>
    <t>12.02.2021 12:42:57</t>
  </si>
  <si>
    <t>Реализация товаров и услуг УТ000002443 от 12.02.2021 12:44:09</t>
  </si>
  <si>
    <t>12.02.2021 12:44:09</t>
  </si>
  <si>
    <t>Реализация товаров и услуг УТ000002444 от 12.02.2021 12:45:03</t>
  </si>
  <si>
    <t>12.02.2021 12:45:03</t>
  </si>
  <si>
    <t>Платежное поручение входящее 00BF-001044 от 12.02.2021 17:00:00</t>
  </si>
  <si>
    <t>12.02.2021 17:00:00</t>
  </si>
  <si>
    <t>Реализация товаров и услуг УТ000002448 от 14.02.2021 16:32:53</t>
  </si>
  <si>
    <t>14.02.2021 16:32:53</t>
  </si>
  <si>
    <t>Реализация товаров и услуг УТ000002449 от 14.02.2021 16:35:13</t>
  </si>
  <si>
    <t>14.02.2021 16:35:13</t>
  </si>
  <si>
    <t>Реализация товаров и услуг УТ000002450 от 14.02.2021 16:36:29</t>
  </si>
  <si>
    <t>14.02.2021 16:36:29</t>
  </si>
  <si>
    <t>Реализация товаров и услуг УТ000002459 от 15.02.2021 12:18:01</t>
  </si>
  <si>
    <t>15.02.2021 12:18:01</t>
  </si>
  <si>
    <t>Платежное поручение входящее 00BF-001133 от 15.02.2021 16:00:00</t>
  </si>
  <si>
    <t>15.02.2021 16:00:00</t>
  </si>
  <si>
    <t>Реализация товаров и услуг УТ000002481 от 18.02.2021 10:24:11</t>
  </si>
  <si>
    <t>18.02.2021 10:24:11</t>
  </si>
  <si>
    <t>Реализация товаров и услуг УТ000002485 от 18.02.2021 10:47:27</t>
  </si>
  <si>
    <t>18.02.2021 10:47:27</t>
  </si>
  <si>
    <t>Реализация товаров и услуг УТ000002487 от 18.02.2021 12:28:03</t>
  </si>
  <si>
    <t>18.02.2021 12:28:03</t>
  </si>
  <si>
    <t>Реализация товаров и услуг УТ000003362 от 18.02.2021 15:17:42</t>
  </si>
  <si>
    <t>18.02.2021 15:17:42</t>
  </si>
  <si>
    <t>Реализация товаров и услуг УТ000003363 от 18.02.2021 15:21:27</t>
  </si>
  <si>
    <t>18.02.2021 15:21:27</t>
  </si>
  <si>
    <t>Реализация товаров и услуг УТ000003430 от 19.02.2021 10:42:21</t>
  </si>
  <si>
    <t>19.02.2021 10:42:21</t>
  </si>
  <si>
    <t>Реализация товаров и услуг УТ000003436 от 19.02.2021 16:17:02</t>
  </si>
  <si>
    <t>19.02.2021 16:17:02</t>
  </si>
  <si>
    <t>Реализация товаров и услуг УТ000003437 от 19.02.2021 17:04:35</t>
  </si>
  <si>
    <t>19.02.2021 17:04:35</t>
  </si>
  <si>
    <t>Реализация товаров и услуг УТ000003438 от 19.02.2021 17:16:51</t>
  </si>
  <si>
    <t>19.02.2021 17:16:51</t>
  </si>
  <si>
    <t>Реализация товаров и услуг УТ000003835 от 24.02.2021 14:36:07</t>
  </si>
  <si>
    <t>24.02.2021 14:36:07</t>
  </si>
  <si>
    <t>№149/2013 От 01.10.2013</t>
  </si>
  <si>
    <t>Реализация товаров и услуг УТ000003836 от 24.02.2021 15:12:16</t>
  </si>
  <si>
    <t>24.02.2021 15:12:16</t>
  </si>
  <si>
    <t>Реализация товаров и услуг УТ000003902 от 25.02.2021 9:50:53</t>
  </si>
  <si>
    <t>25.02.2021 9:50:53</t>
  </si>
  <si>
    <t>Реализация товаров и услуг УТ000003917 от 25.02.2021 14:04:49</t>
  </si>
  <si>
    <t>25.02.2021 14:04:49</t>
  </si>
  <si>
    <t>Платежное поручение входящее 00BF-001404 от 25.02.2021 17:00:00</t>
  </si>
  <si>
    <t>25.02.2021 17:00:00</t>
  </si>
  <si>
    <t>Реализация товаров и услуг УТ000004002 от 26.02.2021 12:36:09</t>
  </si>
  <si>
    <t>26.02.2021 12:36:09</t>
  </si>
  <si>
    <t>Реализация товаров и услуг УТ000004003 от 26.02.2021 12:37:37</t>
  </si>
  <si>
    <t>26.02.2021 12:37:37</t>
  </si>
  <si>
    <t>Реализация товаров и услуг УТ000004004 от 26.02.2021 12:42:38</t>
  </si>
  <si>
    <t>26.02.2021 12:42:38</t>
  </si>
  <si>
    <t>Реализация товаров и услуг УТ000004005 от 26.02.2021 12:45:43</t>
  </si>
  <si>
    <t>26.02.2021 12:45:43</t>
  </si>
  <si>
    <t>Реализация товаров и услуг УТ000004006 от 26.02.2021 12:48:13</t>
  </si>
  <si>
    <t>26.02.2021 12:48:13</t>
  </si>
  <si>
    <t>Реализация товаров и услуг УТ000004007 от 26.02.2021 12:49:27</t>
  </si>
  <si>
    <t>26.02.2021 12:49:27</t>
  </si>
  <si>
    <t>Реализация товаров и услуг УТ000004008 от 26.02.2021 12:50:48</t>
  </si>
  <si>
    <t>26.02.2021 12:50:48</t>
  </si>
  <si>
    <t>Реализация товаров и услуг УТ000004012 от 26.02.2021 14:20:48</t>
  </si>
  <si>
    <t>26.02.2021 14:20:48</t>
  </si>
  <si>
    <t>Отчет комиссионера о продажах УТ000000111 от 27.02.2021 0:00:00</t>
  </si>
  <si>
    <t>27.02.2021 0:00:00</t>
  </si>
  <si>
    <t>Отчет комиссионера о продажах УТ000000112 от 27.02.2021 0:00:00</t>
  </si>
  <si>
    <t>Отчет комиссионера о продажах УТ000000117 от 27.02.2021 23:55:16</t>
  </si>
  <si>
    <t>27.02.2021 23:55:16</t>
  </si>
  <si>
    <t>Отчет комиссионера о продажах УТ000000118 от 27.02.2021 23:55:17</t>
  </si>
  <si>
    <t>27.02.2021 23:55:17</t>
  </si>
  <si>
    <t>Отчет комиссионера о продажах УТ000000123 от 27.02.2021 23:55:21</t>
  </si>
  <si>
    <t>27.02.2021 23:55:21</t>
  </si>
  <si>
    <t>Отчет комиссионера о продажах УТ000000124 от 27.02.2021 23:55:22</t>
  </si>
  <si>
    <t>27.02.2021 23:55:22</t>
  </si>
  <si>
    <t>Отчет комиссионера о продажах УТ000000129 от 27.02.2021 23:55:27</t>
  </si>
  <si>
    <t>27.02.2021 23:55:27</t>
  </si>
  <si>
    <t>Отчет комиссионера о продажах УТ000000130 от 27.02.2021 23:55:28</t>
  </si>
  <si>
    <t>27.02.2021 23:55:28</t>
  </si>
  <si>
    <t>Реализация товаров и услуг УТ000004174 от 01.03.2021 8:20:47</t>
  </si>
  <si>
    <t>01.03.2021 8:20:47</t>
  </si>
  <si>
    <t>Реализация товаров и услуг УТ000004184 от 01.03.2021 13:29:20</t>
  </si>
  <si>
    <t>01.03.2021 13:29:20</t>
  </si>
  <si>
    <t>Реализация товаров и услуг УТ000004188 от 01.03.2021 17:29:32</t>
  </si>
  <si>
    <t>01.03.2021 17:29:32</t>
  </si>
  <si>
    <t>Реализация товаров и услуг УТ000004189 от 01.03.2021 17:38:50</t>
  </si>
  <si>
    <t>01.03.2021 17:38:50</t>
  </si>
  <si>
    <t>Реализация товаров и услуг УТ000004191 от 01.03.2021 18:21:41</t>
  </si>
  <si>
    <t>01.03.2021 18:21:41</t>
  </si>
  <si>
    <t>Реализация товаров и услуг УТ000004192 от 01.03.2021 18:50:29</t>
  </si>
  <si>
    <t>01.03.2021 18:50:29</t>
  </si>
  <si>
    <t>Реализация товаров и услуг УТ000004239 от 02.03.2021 8:20:42</t>
  </si>
  <si>
    <t>02.03.2021 8:20:42</t>
  </si>
  <si>
    <t>Реализация товаров и услуг УТ000004240 от 02.03.2021 8:37:49</t>
  </si>
  <si>
    <t>02.03.2021 8:37:49</t>
  </si>
  <si>
    <t>Платежное поручение входящее 00BF-001556 от 03.03.2021 17:00:00</t>
  </si>
  <si>
    <t>Бубновый валет ООО</t>
  </si>
  <si>
    <t>03.03.2021 17:00:00</t>
  </si>
  <si>
    <t>№ 336/2018 от 08.05.2018</t>
  </si>
  <si>
    <t>Реализация товаров и услуг УТ000004312 от 04.03.2021 9:40:14</t>
  </si>
  <si>
    <t>04.03.2021 9:40:14</t>
  </si>
  <si>
    <t>Реализация товаров и услуг УТ000004313 от 04.03.2021 10:16:52</t>
  </si>
  <si>
    <t>04.03.2021 10:16:52</t>
  </si>
  <si>
    <t>Реализация товаров и услуг УТ000004316 от 04.03.2021 11:26:38</t>
  </si>
  <si>
    <t>04.03.2021 11:26:38</t>
  </si>
  <si>
    <t>Реализация товаров и услуг УТ000004793 от 09.03.2021 14:53:59</t>
  </si>
  <si>
    <t>09.03.2021 14:53:59</t>
  </si>
  <si>
    <t>Реализация товаров и услуг УТ000004861 от 10.03.2021 9:33:30</t>
  </si>
  <si>
    <t>10.03.2021 9:33:30</t>
  </si>
  <si>
    <t>Реализация товаров и услуг УТ000004862 от 10.03.2021 9:57:22</t>
  </si>
  <si>
    <t>10.03.2021 9:57:22</t>
  </si>
  <si>
    <t>Реализация товаров и услуг УТ000004863 от 10.03.2021 10:00:28</t>
  </si>
  <si>
    <t>10.03.2021 10:00:28</t>
  </si>
  <si>
    <t>Реализация товаров и услуг УТ000004867 от 10.03.2021 11:49:23</t>
  </si>
  <si>
    <t>10.03.2021 11:49:23</t>
  </si>
  <si>
    <t>Реализация товаров и услуг УТ000004872 от 10.03.2021 12:03:44</t>
  </si>
  <si>
    <t>10.03.2021 12:03:44</t>
  </si>
  <si>
    <t>Реализация товаров и услуг УТ000004873 от 10.03.2021 12:07:54</t>
  </si>
  <si>
    <t>10.03.2021 12:07:54</t>
  </si>
  <si>
    <t>Реализация товаров и услуг УТ000004874 от 10.03.2021 12:09:05</t>
  </si>
  <si>
    <t>10.03.2021 12:09:05</t>
  </si>
  <si>
    <t>Реализация товаров и услуг УТ000004936 от 11.03.2021 9:37:20</t>
  </si>
  <si>
    <t>11.03.2021 9:37:20</t>
  </si>
  <si>
    <t>Реализация товаров и услуг УТ000004937 от 11.03.2021 9:48:05</t>
  </si>
  <si>
    <t>11.03.2021 9:48:05</t>
  </si>
  <si>
    <t>Реализация товаров и услуг УТ000004995 от 12.03.2021 9:18:45</t>
  </si>
  <si>
    <t>12.03.2021 9:18:45</t>
  </si>
  <si>
    <t>Реализация товаров и услуг УТ000004996 от 12.03.2021 9:29:06</t>
  </si>
  <si>
    <t>12.03.2021 9:29:06</t>
  </si>
  <si>
    <t>Реализация товаров и услуг УТ000004997 от 12.03.2021 9:35:57</t>
  </si>
  <si>
    <t>12.03.2021 9:35:57</t>
  </si>
  <si>
    <t>Реализация товаров и услуг УТ000005002 от 12.03.2021 10:34:06</t>
  </si>
  <si>
    <t>12.03.2021 10:34:06</t>
  </si>
  <si>
    <t>Реализация товаров и услуг УТ000005003 от 12.03.2021 13:22:44</t>
  </si>
  <si>
    <t>12.03.2021 13:22:44</t>
  </si>
  <si>
    <t>Реализация товаров и услуг УТ000005170 от 15.03.2021 10:59:01</t>
  </si>
  <si>
    <t>15.03.2021 10:59:01</t>
  </si>
  <si>
    <t>Реализация товаров и услуг УТ000005266 от 16.03.2021 11:57:48</t>
  </si>
  <si>
    <t>16.03.2021 11:57:48</t>
  </si>
  <si>
    <t>258/2015 от 21.08.2015</t>
  </si>
  <si>
    <t>Реализация товаров и услуг УТ000005267 от 16.03.2021 12:01:44</t>
  </si>
  <si>
    <t>16.03.2021 12:01:44</t>
  </si>
  <si>
    <t>Реализация товаров и услуг УТ000005429 от 18.03.2021 11:02:50</t>
  </si>
  <si>
    <t>18.03.2021 11:02:50</t>
  </si>
  <si>
    <t>Реализация товаров и услуг УТ000005432 от 18.03.2021 13:46:10</t>
  </si>
  <si>
    <t>18.03.2021 13:46:10</t>
  </si>
  <si>
    <t>Реализация товаров и услуг УТ000005482 от 19.03.2021 9:28:50</t>
  </si>
  <si>
    <t>19.03.2021 9:28:50</t>
  </si>
  <si>
    <t>Реализация товаров и услуг УТ000005483 от 19.03.2021 9:31:01</t>
  </si>
  <si>
    <t>19.03.2021 9:31:01</t>
  </si>
  <si>
    <t>Реализация товаров и услуг УТ000005486 от 19.03.2021 11:02:30</t>
  </si>
  <si>
    <t>19.03.2021 11:02:30</t>
  </si>
  <si>
    <t>Реализация товаров и услуг УТ000005734 от 22.03.2021 10:52:25</t>
  </si>
  <si>
    <t>22.03.2021 10:52:25</t>
  </si>
  <si>
    <t>Реализация товаров и услуг УТ000005735 от 22.03.2021 10:54:31</t>
  </si>
  <si>
    <t>22.03.2021 10:54:31</t>
  </si>
  <si>
    <t>Реализация товаров и услуг УТ000005736 от 22.03.2021 10:55:32</t>
  </si>
  <si>
    <t>22.03.2021 10:55:32</t>
  </si>
  <si>
    <t>Реализация товаров и услуг УТ000005737 от 22.03.2021 10:57:04</t>
  </si>
  <si>
    <t>22.03.2021 10:57:04</t>
  </si>
  <si>
    <t>Реализация товаров и услуг УТ000005743 от 22.03.2021 11:26:28</t>
  </si>
  <si>
    <t>22.03.2021 11:26:28</t>
  </si>
  <si>
    <t>Платежное поручение входящее 00BF-002052 от 22.03.2021 17:00:00</t>
  </si>
  <si>
    <t>22.03.2021 17:00:00</t>
  </si>
  <si>
    <t>Реализация товаров и услуг УТ000005778 от 23.03.2021 9:14:50</t>
  </si>
  <si>
    <t>23.03.2021 9:14:50</t>
  </si>
  <si>
    <t>Реализация товаров и услуг УТ000005779 от 23.03.2021 9:17:10</t>
  </si>
  <si>
    <t>23.03.2021 9:17:10</t>
  </si>
  <si>
    <t>Реализация товаров и услуг УТ000005782 от 23.03.2021 9:30:41</t>
  </si>
  <si>
    <t>23.03.2021 9:30:41</t>
  </si>
  <si>
    <t>Реализация товаров и услуг УТ000005784 от 23.03.2021 11:47:47</t>
  </si>
  <si>
    <t>23.03.2021 11:47:47</t>
  </si>
  <si>
    <t>Реализация товаров и услуг УТ000005787 от 23.03.2021 14:20:14</t>
  </si>
  <si>
    <t>23.03.2021 14:20:14</t>
  </si>
  <si>
    <t>Реализация товаров и услуг УТ000005792 от 23.03.2021 15:02:19</t>
  </si>
  <si>
    <t>23.03.2021 15:02:19</t>
  </si>
  <si>
    <t>Платежное поручение входящее 00BF-002074 от 23.03.2021 17:00:00</t>
  </si>
  <si>
    <t>23.03.2021 17:00:00</t>
  </si>
  <si>
    <t>Платежное поручение входящее 00BF-002076 от 23.03.2021 17:00:00</t>
  </si>
  <si>
    <t>№ 350/2018 от 21.06.18</t>
  </si>
  <si>
    <t>Реализация товаров и услуг УТ000005867 от 24.03.2021 17:03:10</t>
  </si>
  <si>
    <t>24.03.2021 17:03:10</t>
  </si>
  <si>
    <t>Реализация товаров и услуг УТ000005932 от 25.03.2021 13:28:45</t>
  </si>
  <si>
    <t>25.03.2021 13:28:45</t>
  </si>
  <si>
    <t>Реализация товаров и услуг УТ000005933 от 25.03.2021 13:31:18</t>
  </si>
  <si>
    <t>25.03.2021 13:31:18</t>
  </si>
  <si>
    <t>Реализация товаров и услуг УТ000005934 от 25.03.2021 13:33:47</t>
  </si>
  <si>
    <t>25.03.2021 13:33:47</t>
  </si>
  <si>
    <t>Реализация товаров и услуг УТ000005935 от 25.03.2021 13:36:57</t>
  </si>
  <si>
    <t>25.03.2021 13:36:57</t>
  </si>
  <si>
    <t>Реализация товаров и услуг УТ000005981 от 26.03.2021 9:16:46</t>
  </si>
  <si>
    <t>26.03.2021 9:16:46</t>
  </si>
  <si>
    <t>Реализация товаров и услуг УТ000005985 от 26.03.2021 13:38:36</t>
  </si>
  <si>
    <t>26.03.2021 13:38:36</t>
  </si>
  <si>
    <t>Реализация товаров и услуг УТ000005987 от 26.03.2021 15:49:53</t>
  </si>
  <si>
    <t>26.03.2021 15:49:53</t>
  </si>
  <si>
    <t>Реализация товаров и услуг УТ000005986 от 26.03.2021 15:49:55</t>
  </si>
  <si>
    <t>26.03.2021 15:49:55</t>
  </si>
  <si>
    <t>Реализация товаров и услуг УТ000005988 от 26.03.2021 16:22:25</t>
  </si>
  <si>
    <t>26.03.2021 16:22:25</t>
  </si>
  <si>
    <t>Реализация товаров и услуг УТ000005989 от 26.03.2021 16:24:03</t>
  </si>
  <si>
    <t>26.03.2021 16:24:03</t>
  </si>
  <si>
    <t>Реализация товаров и услуг УТ000005990 от 26.03.2021 16:25:27</t>
  </si>
  <si>
    <t>26.03.2021 16:25:27</t>
  </si>
  <si>
    <t>Реализация товаров и услуг УТ000006279 от 30.03.2021 8:59:41</t>
  </si>
  <si>
    <t>30.03.2021 8:59:41</t>
  </si>
  <si>
    <t>Реализация товаров и услуг УТ000006280 от 30.03.2021 9:01:09</t>
  </si>
  <si>
    <t>30.03.2021 9:01:09</t>
  </si>
  <si>
    <t>Реализация товаров и услуг УТ000006281 от 30.03.2021 9:18:12</t>
  </si>
  <si>
    <t>30.03.2021 9:18:12</t>
  </si>
  <si>
    <t>Реализация товаров и услуг УТ000006286 от 30.03.2021 10:14:59</t>
  </si>
  <si>
    <t>30.03.2021 10:14:59</t>
  </si>
  <si>
    <t>Реализация товаров и услуг УТ000006287 от 30.03.2021 10:15:16</t>
  </si>
  <si>
    <t>30.03.2021 10:15:16</t>
  </si>
  <si>
    <t>Реализация товаров и услуг УТ000006288 от 30.03.2021 10:16:00</t>
  </si>
  <si>
    <t>30.03.2021 10:16:00</t>
  </si>
  <si>
    <t>Реализация товаров и услуг УТ000006285 от 30.03.2021 11:12:52</t>
  </si>
  <si>
    <t>30.03.2021 11:12:52</t>
  </si>
  <si>
    <t>Отчет комиссионера о продажах УТ000000178 от 30.03.2021 15:07:42</t>
  </si>
  <si>
    <t>30.03.2021 15:07:42</t>
  </si>
  <si>
    <t>Отчет комиссионера о продажах УТ000000197 от 30.03.2021 15:07:43</t>
  </si>
  <si>
    <t>30.03.2021 15:07:43</t>
  </si>
  <si>
    <t>Отчет комиссионера о продажах УТ000000179 от 30.03.2021 15:26:02</t>
  </si>
  <si>
    <t>30.03.2021 15:26:02</t>
  </si>
  <si>
    <t>Отчет комиссионера о продажах УТ000000198 от 30.03.2021 15:26:03</t>
  </si>
  <si>
    <t>30.03.2021 15:26:03</t>
  </si>
  <si>
    <t>Отчет комиссионера о продажах УТ000000199 от 30.03.2021 15:46:32</t>
  </si>
  <si>
    <t>30.03.2021 15:46:32</t>
  </si>
  <si>
    <t>Отчет комиссионера о продажах УТ000000185 от 30.03.2021 17:56:23</t>
  </si>
  <si>
    <t>30.03.2021 17:56:23</t>
  </si>
  <si>
    <t>Отчет комиссионера о продажах УТ000000186 от 30.03.2021 17:57:22</t>
  </si>
  <si>
    <t>30.03.2021 17:57:22</t>
  </si>
  <si>
    <t>Отчет комиссионера о продажах УТ000000187 от 30.03.2021 17:58:23</t>
  </si>
  <si>
    <t>30.03.2021 17:58:23</t>
  </si>
  <si>
    <t>Отчет комиссионера о продажах УТ000000188 от 30.03.2021 18:13:38</t>
  </si>
  <si>
    <t>30.03.2021 18:13:38</t>
  </si>
  <si>
    <t>Отчет комиссионера о продажах УТ000000192 от 30.03.2021 22:30:41</t>
  </si>
  <si>
    <t>30.03.2021 22:30:41</t>
  </si>
  <si>
    <t>Отчет комиссионера о продажах УТ000000193 от 30.03.2021 22:48:45</t>
  </si>
  <si>
    <t>30.03.2021 22:48:45</t>
  </si>
  <si>
    <t>Отчет комиссионера о продажах УТ000000194 от 30.03.2021 23:16:55</t>
  </si>
  <si>
    <t>30.03.2021 23:16:55</t>
  </si>
  <si>
    <t>Реализация товаров и услуг УТ000006414 от 31.03.2021 0:00:00</t>
  </si>
  <si>
    <t>31.03.2021 0:00:00</t>
  </si>
  <si>
    <t>Реализация товаров и услуг УТ000006400 от 31.03.2021 10:03:41</t>
  </si>
  <si>
    <t>31.03.2021 10:03:41</t>
  </si>
  <si>
    <t>Реализация товаров и услуг УТ000006401 от 31.03.2021 10:05:11</t>
  </si>
  <si>
    <t>31.03.2021 10:05:11</t>
  </si>
  <si>
    <t>Реализация товаров и услуг УТ000006402 от 31.03.2021 10:08:17</t>
  </si>
  <si>
    <t>31.03.2021 10:08:17</t>
  </si>
  <si>
    <t>Реализация товаров и услуг УТ000006415 от 31.03.2021 16:33:58</t>
  </si>
  <si>
    <t>31.03.2021 16:33:58</t>
  </si>
  <si>
    <t>Реализация товаров и услуг УТ000006416 от 31.03.2021 16:35:27</t>
  </si>
  <si>
    <t>31.03.2021 16:35:27</t>
  </si>
  <si>
    <t>Реализация товаров и услуг УТ000006417 от 31.03.2021 16:37:12</t>
  </si>
  <si>
    <t>31.03.2021 16:37:12</t>
  </si>
  <si>
    <t>Корректировка долга УТ000000064 от 31.03.2021 23:50:11</t>
  </si>
  <si>
    <t>31.03.2021 23:50:11</t>
  </si>
  <si>
    <t>перенос задолженности</t>
  </si>
  <si>
    <t>Платежное поручение исходящее УТ000000003 от 31.03.2021 23:50:12</t>
  </si>
  <si>
    <t>31.03.2021 23:50:12</t>
  </si>
  <si>
    <t>Оплата поставщику</t>
  </si>
  <si>
    <t>Платежное поручение исходящее УТ000000004 от 31.03.2021 23:50:13</t>
  </si>
  <si>
    <t>31.03.2021 23:50:13</t>
  </si>
  <si>
    <t>Платежное поручение исходящее УТ000000005 от 31.03.2021 23:50:14</t>
  </si>
  <si>
    <t>31.03.2021 23:50:14</t>
  </si>
  <si>
    <t>Платежное поручение исходящее УТ000000006 от 31.03.2021 23:50:15</t>
  </si>
  <si>
    <t>31.03.2021 23:50:15</t>
  </si>
  <si>
    <t>Лестейт ООО</t>
  </si>
  <si>
    <t>депозит SAU FW21</t>
  </si>
  <si>
    <t>депозит DRM AW21</t>
  </si>
  <si>
    <t>Депозит DRM AW21</t>
  </si>
  <si>
    <t>Депозит UGG AW21</t>
  </si>
  <si>
    <t>ИП Блинов Олег Александрович</t>
  </si>
  <si>
    <t>ИП Верхолаз Наталья Владимировна</t>
  </si>
  <si>
    <t>Депозит DRM FW21</t>
  </si>
  <si>
    <t>Депозит UGG FW 21</t>
  </si>
  <si>
    <t>ИП Гоголь Виктория Валерьевна</t>
  </si>
  <si>
    <t>Депозит SAU FW21</t>
  </si>
  <si>
    <t>ИП Зубова Татьяна Борисовна</t>
  </si>
  <si>
    <t>ИП Косинов Денис Вадимович</t>
  </si>
  <si>
    <t>КАЛИПСО ООО</t>
  </si>
  <si>
    <t>Депозит UGG FW21</t>
  </si>
  <si>
    <t>депозит DRM FW21</t>
  </si>
  <si>
    <t xml:space="preserve">Депозит DRM FH19 </t>
  </si>
  <si>
    <t>депозит CON FA 21</t>
  </si>
  <si>
    <t>Депозит DRM AW21 PEAK</t>
  </si>
  <si>
    <t>Реализация товаров и услуг УТ000031152 от 09.11.2020 11:44:24</t>
  </si>
  <si>
    <t>09.11.2020 11:44:24</t>
  </si>
  <si>
    <t>Реализация товаров и услуг УТ000031909 от 26.11.2020 10:56:14</t>
  </si>
  <si>
    <t>26.11.2020 10:56:14</t>
  </si>
  <si>
    <t>Реализация товаров и услуг УТ000002381 от 04.02.2021 12:22:51</t>
  </si>
  <si>
    <t>04.02.2021 12:22:51</t>
  </si>
  <si>
    <t>Платежное поручение входящее 00BF-001585 от 04.03.2021 17:00:00</t>
  </si>
  <si>
    <t>04.03.2021 17:00:00</t>
  </si>
  <si>
    <t>Реализация товаров и услуг УТ000005259 от 16.03.2021 10:06:33</t>
  </si>
  <si>
    <t>16.03.2021 10:06:33</t>
  </si>
  <si>
    <t>Реализация товаров и услуг УТ000005261 от 16.03.2021 10:07:04</t>
  </si>
  <si>
    <t>16.03.2021 10:07:04</t>
  </si>
  <si>
    <t>Реализация товаров и услуг УТ000005262 от 16.03.2021 10:07:34</t>
  </si>
  <si>
    <t>16.03.2021 10:07:34</t>
  </si>
  <si>
    <t>Реализация товаров и услуг УТ000005260 от 16.03.2021 10:41:29</t>
  </si>
  <si>
    <t>16.03.2021 10:41:29</t>
  </si>
  <si>
    <t>Реализация товаров и услуг УТ000005354 от 17.03.2021 9:34:41</t>
  </si>
  <si>
    <t>17.03.2021 9:34:41</t>
  </si>
  <si>
    <t>Реализация товаров и услуг УТ000005745 от 22.03.2021 15:38:55</t>
  </si>
  <si>
    <t>22.03.2021 15:38:55</t>
  </si>
  <si>
    <t>Реализация товаров и услуг УТ000005747 от 22.03.2021 16:30:55</t>
  </si>
  <si>
    <t>22.03.2021 16:30:55</t>
  </si>
  <si>
    <t>Реализация товаров и услуг УТ000005748 от 22.03.2021 16:31:03</t>
  </si>
  <si>
    <t>22.03.2021 16:31:03</t>
  </si>
  <si>
    <t>Платежное поручение входящее 00BF-002271 от 31.03.2021 17:00:00</t>
  </si>
  <si>
    <t>31.03.2021 17:00:00</t>
  </si>
  <si>
    <t>Реализация товаров и услуг УТ000006494 от 01.04.2021 9:15:58</t>
  </si>
  <si>
    <t>01.04.2021 9:15:58</t>
  </si>
  <si>
    <t>433/2020 от 13.08.2020</t>
  </si>
  <si>
    <t>ИП Сайпов Дайтбек Магомедхабибович</t>
  </si>
  <si>
    <t>Розничный покупатель Converse com</t>
  </si>
  <si>
    <t>ООО "Орбико Стайл"</t>
  </si>
  <si>
    <t>Выводимые данные:</t>
  </si>
  <si>
    <t>БУ (данные бухгалтерского учета)</t>
  </si>
  <si>
    <t>Счет</t>
  </si>
  <si>
    <t>Сальдо на начало периода</t>
  </si>
  <si>
    <t>Обороты за период</t>
  </si>
  <si>
    <t>Сальдо на конец периода</t>
  </si>
  <si>
    <t>Контрагенты</t>
  </si>
  <si>
    <t>Дебет</t>
  </si>
  <si>
    <t>Кредит</t>
  </si>
  <si>
    <t>62</t>
  </si>
  <si>
    <t>Калипсо ООО</t>
  </si>
  <si>
    <t>Розничный покупатель  NCF Аутлет БД</t>
  </si>
  <si>
    <t>Розничный покупатель DM Атриум</t>
  </si>
  <si>
    <t>Розничный покупатель DM Галерея СПБ</t>
  </si>
  <si>
    <t>Розничный покупатель DM Метрополис</t>
  </si>
  <si>
    <t>Розничный покупатель UGG Атриум</t>
  </si>
  <si>
    <t>Розничный покупатель UGG Метрополис</t>
  </si>
  <si>
    <t>Розничный покупатель Wildberries</t>
  </si>
  <si>
    <t>Розничный покупатель Авиапарк</t>
  </si>
  <si>
    <t>Розничный покупатель Атриум</t>
  </si>
  <si>
    <t>Розничный покупатель Аутлет Белая Дача</t>
  </si>
  <si>
    <t>Розничный покупатель Аутлет Пулково СПБ</t>
  </si>
  <si>
    <t>Розничный покупатель Галерея СПБ</t>
  </si>
  <si>
    <t>Розничный покупатель Европейский</t>
  </si>
  <si>
    <t>Розничный покупатель Метрополис</t>
  </si>
  <si>
    <t>Розничный покупатель Охотный Ряд</t>
  </si>
  <si>
    <t>Склад-магазин DM Атриум</t>
  </si>
  <si>
    <t>Склад-магазин DM Галерея (Санкт-Петербург)</t>
  </si>
  <si>
    <t>Склад-магазин DM Метрополис</t>
  </si>
  <si>
    <t>Склад-магазин NCF Аутлет Белая Дача</t>
  </si>
  <si>
    <t>Склад-магазин NCF Горизонт (Ростов)</t>
  </si>
  <si>
    <t>Склад-магазин UGG Атриум</t>
  </si>
  <si>
    <t>Склад-магазин UGG Метрополис</t>
  </si>
  <si>
    <t>Склад-магазин Авиапарк</t>
  </si>
  <si>
    <t>Склад-магазин Атриум</t>
  </si>
  <si>
    <t>Склад-магазин Аутлет Белая Дача</t>
  </si>
  <si>
    <t>Склад-магазин Аутлет-Пулково (Санкт-Петербург)</t>
  </si>
  <si>
    <t>Склад-магазин Галерея (Санкт-Петербург)</t>
  </si>
  <si>
    <t>Склад-магазин Европейский</t>
  </si>
  <si>
    <t>Склад-магазин Манеж</t>
  </si>
  <si>
    <t>Склад-магазин Метрополис</t>
  </si>
  <si>
    <t>NET Amount</t>
  </si>
  <si>
    <t>per UT</t>
  </si>
  <si>
    <t>Var</t>
  </si>
  <si>
    <t>End of Prior Week</t>
  </si>
  <si>
    <t>Cash-in</t>
  </si>
  <si>
    <t>Sales</t>
  </si>
  <si>
    <t>Last Week</t>
  </si>
  <si>
    <t>Prepayment</t>
  </si>
  <si>
    <t>Due Next Week</t>
  </si>
  <si>
    <t>Реализация товаров и услуг</t>
  </si>
  <si>
    <t>Платежное поручение входящее</t>
  </si>
  <si>
    <t>Week Start</t>
  </si>
  <si>
    <t>Week End</t>
  </si>
  <si>
    <t>Doc Date</t>
  </si>
  <si>
    <t>ВЗЯТЬ ИЗ ДРУГОГО ИСТОЧНИКА</t>
  </si>
  <si>
    <t>Total Receivables</t>
  </si>
  <si>
    <t>Top 10 Clients by AR</t>
  </si>
  <si>
    <t>Top 10 Clients by OVRD</t>
  </si>
  <si>
    <t>Total OVRD</t>
  </si>
  <si>
    <t>Total EoW</t>
  </si>
  <si>
    <t>Current EoW</t>
  </si>
  <si>
    <t>OVRD EoW</t>
  </si>
  <si>
    <t>Реализация товаров и услуг УТ000006502 от 01.04.2021 17:54:26</t>
  </si>
  <si>
    <t>01.04.2021 17:54:26</t>
  </si>
  <si>
    <t>Реализация товаров и услуг УТ000006573 от 02.04.2021 11:50:20</t>
  </si>
  <si>
    <t>02.04.2021 11:50:20</t>
  </si>
  <si>
    <t>Реализация товаров и услуг УТ000006887 от 06.04.2021 11:11:20</t>
  </si>
  <si>
    <t>06.04.2021 11:11:20</t>
  </si>
  <si>
    <t>Реализация товаров и услуг УТ000006888 от 06.04.2021 11:13:46</t>
  </si>
  <si>
    <t>06.04.2021 11:13:46</t>
  </si>
  <si>
    <t>Реализация товаров и услуг УТ000006889 от 06.04.2021 11:15:16</t>
  </si>
  <si>
    <t>06.04.2021 11:15:16</t>
  </si>
  <si>
    <t>Реализация товаров и услуг УТ000006890 от 06.04.2021 11:31:17</t>
  </si>
  <si>
    <t>06.04.2021 11:31:17</t>
  </si>
  <si>
    <t>Реализация товаров и услуг УТ000006984 от 07.04.2021 9:41:24</t>
  </si>
  <si>
    <t>07.04.2021 9:41:24</t>
  </si>
  <si>
    <t>Реализация товаров и услуг УТ000006985 от 07.04.2021 9:43:50</t>
  </si>
  <si>
    <t>07.04.2021 9:43:50</t>
  </si>
  <si>
    <t>Реализация товаров и услуг УТ000006986 от 07.04.2021 9:45:37</t>
  </si>
  <si>
    <t>07.04.2021 9:45:37</t>
  </si>
  <si>
    <t>Реализация товаров и услуг УТ000007075 от 08.04.2021 14:24:21</t>
  </si>
  <si>
    <t>08.04.2021 14:24:21</t>
  </si>
  <si>
    <t>Реализация товаров и услуг УТ000007088 от 08.04.2021 17:20:04</t>
  </si>
  <si>
    <t>08.04.2021 17:20:04</t>
  </si>
  <si>
    <t>Реализация товаров и услуг УТ000007089 от 08.04.2021 17:21:58</t>
  </si>
  <si>
    <t>08.04.2021 17:21:58</t>
  </si>
  <si>
    <t>Реализация товаров и услуг УТ000007090 от 08.04.2021 17:24:47</t>
  </si>
  <si>
    <t>08.04.2021 17:24:47</t>
  </si>
  <si>
    <t>Реализация товаров и услуг УТ000007175 от 09.04.2021 11:55:03</t>
  </si>
  <si>
    <t>09.04.2021 11:55:03</t>
  </si>
  <si>
    <t>Реализация товаров и услуг УТ000007415 от 12.04.2021 11:09:36</t>
  </si>
  <si>
    <t>12.04.2021 11:09:36</t>
  </si>
  <si>
    <t>Реализация товаров и услуг УТ000007417 от 12.04.2021 11:34:11</t>
  </si>
  <si>
    <t>12.04.2021 11:34:11</t>
  </si>
  <si>
    <t>Реализация товаров и услуг УТ000007418 от 12.04.2021 11:36:01</t>
  </si>
  <si>
    <t>12.04.2021 11:36:01</t>
  </si>
  <si>
    <t>Реализация товаров и услуг УТ000007416 от 12.04.2021 11:40:15</t>
  </si>
  <si>
    <t>12.04.2021 11:40:15</t>
  </si>
  <si>
    <t>Платежное поручение входящее 00BF-002577 от 12.04.2021 17:00:00</t>
  </si>
  <si>
    <t>12.04.2021 17:00:00</t>
  </si>
  <si>
    <t>306/2017 от 27.02.2017</t>
  </si>
  <si>
    <t>ИП Моисеев Антон Александрович</t>
  </si>
  <si>
    <t>Платежное поручение входящее УТ000000082 от 13.04.2021 23:41:08</t>
  </si>
  <si>
    <t>13.04.2021 23:41:08</t>
  </si>
  <si>
    <t>№ 018/2012 от 19 марта 2012</t>
  </si>
  <si>
    <t>Реализация товаров и услуг УТ000007663 от 14.04.2021 9:37:31</t>
  </si>
  <si>
    <t>14.04.2021 9:37:31</t>
  </si>
  <si>
    <t>Реализация товаров и услуг УТ000007696 от 14.04.2021 16:32:24</t>
  </si>
  <si>
    <t>14.04.2021 16:32:24</t>
  </si>
  <si>
    <t>Реализация товаров и услуг УТ000007691 от 14.04.2021 16:37:41</t>
  </si>
  <si>
    <t>14.04.2021 16:37:41</t>
  </si>
  <si>
    <t>Реализация товаров и услуг УТ000007801 от 15.04.2021 9:37:25</t>
  </si>
  <si>
    <t>15.04.2021 9:37:25</t>
  </si>
  <si>
    <t>Реализация товаров и услуг УТ000007835 от 15.04.2021 18:42:45</t>
  </si>
  <si>
    <t>15.04.2021 18:42:45</t>
  </si>
  <si>
    <t>Реализация товаров и услуг УТ000007928 от 16.04.2021 10:31:43</t>
  </si>
  <si>
    <t>16.04.2021 10:31:43</t>
  </si>
  <si>
    <t>Реализация товаров и услуг УТ000007929 от 16.04.2021 10:33:58</t>
  </si>
  <si>
    <t>16.04.2021 10:33:58</t>
  </si>
  <si>
    <t>Реализация товаров и услуг УТ000007930 от 16.04.2021 10:35:25</t>
  </si>
  <si>
    <t>16.04.2021 10:35:25</t>
  </si>
  <si>
    <t>Реализация товаров и услуг УТ000007931 от 16.04.2021 10:36:26</t>
  </si>
  <si>
    <t>16.04.2021 10:36:26</t>
  </si>
  <si>
    <t>Реализация товаров и услуг УТ000007932 от 16.04.2021 10:37:35</t>
  </si>
  <si>
    <t>16.04.2021 10:37:35</t>
  </si>
  <si>
    <t>Реализация товаров и услуг УТ000007933 от 16.04.2021 10:38:43</t>
  </si>
  <si>
    <t>16.04.2021 10:38:43</t>
  </si>
  <si>
    <t>Реализация товаров и услуг УТ000007934 от 16.04.2021 10:39:42</t>
  </si>
  <si>
    <t>16.04.2021 10:39:42</t>
  </si>
  <si>
    <t>Реализация товаров и услуг УТ000007935 от 16.04.2021 10:40:58</t>
  </si>
  <si>
    <t>16.04.2021 10:40:58</t>
  </si>
  <si>
    <t>19.04.2021 17:00:00</t>
  </si>
  <si>
    <t>Платежное поручение входящее 00BF-002772 от 19.04.2021 17:00:00</t>
  </si>
  <si>
    <t>№242/2015 от 18.06.2015</t>
  </si>
  <si>
    <t>Реализация товаров и услуг УТ000032158 от 30.11.2020 16:52:35</t>
  </si>
  <si>
    <t>30.11.2020 16:52:35</t>
  </si>
  <si>
    <t>Реализация товаров и услуг УТ000008413 от 20.04.2021 9:31:01</t>
  </si>
  <si>
    <t>20.04.2021 9:31:01</t>
  </si>
  <si>
    <t>Реализация товаров и услуг УТ000008535 от 21.04.2021 10:49:43</t>
  </si>
  <si>
    <t>21.04.2021 10:49:43</t>
  </si>
  <si>
    <t>Реализация товаров и услуг УТ000008536 от 21.04.2021 10:50:15</t>
  </si>
  <si>
    <t>21.04.2021 10:50:15</t>
  </si>
  <si>
    <t>Реализация товаров и услуг УТ000008538 от 21.04.2021 11:10:13</t>
  </si>
  <si>
    <t>21.04.2021 11:10:13</t>
  </si>
  <si>
    <t>Реализация товаров и услуг УТ000008539 от 21.04.2021 11:12:09</t>
  </si>
  <si>
    <t>21.04.2021 11:12:09</t>
  </si>
  <si>
    <t>Реализация товаров и услуг УТ000008542 от 21.04.2021 13:06:26</t>
  </si>
  <si>
    <t>21.04.2021 13:06:26</t>
  </si>
  <si>
    <t>Реализация товаров и услуг УТ000008543 от 21.04.2021 13:06:33</t>
  </si>
  <si>
    <t>21.04.2021 13:06:33</t>
  </si>
  <si>
    <t>Реализация товаров и услуг УТ000008559 от 21.04.2021 18:33:20</t>
  </si>
  <si>
    <t>21.04.2021 18:33:20</t>
  </si>
  <si>
    <t>Реализация товаров и услуг УТ000008560 от 21.04.2021 18:33:34</t>
  </si>
  <si>
    <t>21.04.2021 18:33:34</t>
  </si>
  <si>
    <t>Реализация товаров и услуг УТ000008661 от 22.04.2021 10:43:28</t>
  </si>
  <si>
    <t>22.04.2021 10:43:28</t>
  </si>
  <si>
    <t>Реализация товаров и услуг УТ000008663 от 22.04.2021 10:46:59</t>
  </si>
  <si>
    <t>22.04.2021 10:46:59</t>
  </si>
  <si>
    <t>Реализация товаров и услуг УТ000008664 от 22.04.2021 10:48:30</t>
  </si>
  <si>
    <t>22.04.2021 10:48:30</t>
  </si>
  <si>
    <t>Платежное поручение входящее 00BF-002869 от 22.04.2021 17:00:00</t>
  </si>
  <si>
    <t>22.04.2021 17:00:00</t>
  </si>
  <si>
    <t>Реализация товаров и услуг УТ000008763 от 23.04.2021 11:34:37</t>
  </si>
  <si>
    <t>23.04.2021 11:34:37</t>
  </si>
  <si>
    <t>Реализация товаров и услуг УТ000008765 от 23.04.2021 11:55:38</t>
  </si>
  <si>
    <t>23.04.2021 11:55:38</t>
  </si>
  <si>
    <t>№ 283/2016 от 18.05.2016</t>
  </si>
  <si>
    <t>Реализация товаров и услуг УТ000008766 от 23.04.2021 11:57:18</t>
  </si>
  <si>
    <t>23.04.2021 11:57:18</t>
  </si>
  <si>
    <t>Реализация товаров и услуг УТ000008764 от 23.04.2021 12:36:46</t>
  </si>
  <si>
    <t>23.04.2021 12:36:46</t>
  </si>
  <si>
    <t>Реализация товаров и услуг УТ000008771 от 23.04.2021 14:08:20</t>
  </si>
  <si>
    <t>23.04.2021 14:08:20</t>
  </si>
  <si>
    <t>Платежное поручение входящее УТ000000107 от 23.04.2021 23:50:07</t>
  </si>
  <si>
    <t>23.04.2021 23:50:07</t>
  </si>
  <si>
    <t>Реализация товаров и услуг УТ000009019 от 26.04.2021 10:06:54</t>
  </si>
  <si>
    <t>26.04.2021 10:06:54</t>
  </si>
  <si>
    <t>Реализация товаров и услуг УТ000009020 от 26.04.2021 10:08:13</t>
  </si>
  <si>
    <t>26.04.2021 10:08:13</t>
  </si>
  <si>
    <t>Реализация товаров и услуг УТ000009021 от 26.04.2021 10:10:56</t>
  </si>
  <si>
    <t>26.04.2021 10:10:56</t>
  </si>
  <si>
    <t>Реализация товаров и услуг УТ000009022 от 26.04.2021 10:13:23</t>
  </si>
  <si>
    <t>26.04.2021 10:13:23</t>
  </si>
  <si>
    <t>Реализация товаров и услуг УТ000009134 от 27.04.2021 10:41:26</t>
  </si>
  <si>
    <t>27.04.2021 10:41:26</t>
  </si>
  <si>
    <t>Реализация товаров и услуг УТ000009135 от 27.04.2021 10:41:36</t>
  </si>
  <si>
    <t>27.04.2021 10:41:36</t>
  </si>
  <si>
    <t>Реализация товаров и услуг УТ000009137 от 27.04.2021 10:43:17</t>
  </si>
  <si>
    <t>27.04.2021 10:43:17</t>
  </si>
  <si>
    <t>Реализация товаров и услуг УТ000009144 от 27.04.2021 13:33:21</t>
  </si>
  <si>
    <t>27.04.2021 13:33:21</t>
  </si>
  <si>
    <t>Реализация товаров и услуг УТ000009143 от 27.04.2021 13:38:42</t>
  </si>
  <si>
    <t>27.04.2021 13:38:42</t>
  </si>
  <si>
    <t>Реализация товаров и услуг УТ000009262 от 28.04.2021 15:59:25</t>
  </si>
  <si>
    <t>28.04.2021 15:59:25</t>
  </si>
  <si>
    <t>Реализация товаров и услуг УТ000009264 от 28.04.2021 16:07:29</t>
  </si>
  <si>
    <t>28.04.2021 16:07:29</t>
  </si>
  <si>
    <t>Реализация товаров и услуг УТ000009266 от 28.04.2021 17:07:02</t>
  </si>
  <si>
    <t>28.04.2021 17:07:02</t>
  </si>
  <si>
    <t>Реализация товаров и услуг УТ000009263 от 28.04.2021 17:24:39</t>
  </si>
  <si>
    <t>28.04.2021 17:24:39</t>
  </si>
  <si>
    <t>Реализация товаров и услуг УТ000009252 от 28.04.2021 17:34:57</t>
  </si>
  <si>
    <t>28.04.2021 17:34:57</t>
  </si>
  <si>
    <t>Реализация товаров и услуг УТ000009352 от 29.04.2021 9:51:16</t>
  </si>
  <si>
    <t>29.04.2021 9:51:16</t>
  </si>
  <si>
    <t>Реализация товаров и услуг УТ000009353 от 29.04.2021 9:52:24</t>
  </si>
  <si>
    <t>29.04.2021 9:52:24</t>
  </si>
  <si>
    <t>Реализация товаров и услуг УТ000009354 от 29.04.2021 9:53:29</t>
  </si>
  <si>
    <t>29.04.2021 9:53:29</t>
  </si>
  <si>
    <t>Реализация товаров и услуг УТ000009355 от 29.04.2021 9:54:20</t>
  </si>
  <si>
    <t>29.04.2021 9:54:20</t>
  </si>
  <si>
    <t>Реализация товаров и услуг УТ000009356 от 29.04.2021 9:55:17</t>
  </si>
  <si>
    <t>29.04.2021 9:55:17</t>
  </si>
  <si>
    <t>Реализация товаров и услуг УТ000009357 от 29.04.2021 9:56:15</t>
  </si>
  <si>
    <t>29.04.2021 9:56:15</t>
  </si>
  <si>
    <t>Реализация товаров и услуг УТ000009358 от 29.04.2021 9:57:11</t>
  </si>
  <si>
    <t>29.04.2021 9:57:11</t>
  </si>
  <si>
    <t>Реализация товаров и услуг УТ000009359 от 29.04.2021 9:58:08</t>
  </si>
  <si>
    <t>29.04.2021 9:58:08</t>
  </si>
  <si>
    <t>Реализация товаров и услуг УТ000009360 от 29.04.2021 9:59:16</t>
  </si>
  <si>
    <t>29.04.2021 9:59:16</t>
  </si>
  <si>
    <t>Реализация товаров и услуг УТ000009375 от 29.04.2021 18:38:39</t>
  </si>
  <si>
    <t>29.04.2021 18:38:39</t>
  </si>
  <si>
    <t>Реализация товаров и услуг УТ000009414 от 29.04.2021 23:21:13</t>
  </si>
  <si>
    <t>29.04.2021 23:21:13</t>
  </si>
  <si>
    <t>Реализация товаров и услуг УТ000009454 от 30.04.2021 9:45:46</t>
  </si>
  <si>
    <t>30.04.2021 9:45:46</t>
  </si>
  <si>
    <t>Реализация товаров и услуг УТ000009455 от 30.04.2021 9:53:50</t>
  </si>
  <si>
    <t>30.04.2021 9:53:50</t>
  </si>
  <si>
    <t>Отчет комиссионера о продажах УТ000000232 от 30.04.2021 17:21:57</t>
  </si>
  <si>
    <t>30.04.2021 17:21:57</t>
  </si>
  <si>
    <t>Отчет комиссионера о продажах УТ000000233 от 30.04.2021 17:23:13</t>
  </si>
  <si>
    <t>30.04.2021 17:23:13</t>
  </si>
  <si>
    <t>Отчет комиссионера о продажах УТ000000234 от 30.04.2021 17:25:16</t>
  </si>
  <si>
    <t>30.04.2021 17:25:16</t>
  </si>
  <si>
    <t>Отчет комиссионера о продажах УТ000000235 от 30.04.2021 17:26:34</t>
  </si>
  <si>
    <t>30.04.2021 17:26:34</t>
  </si>
  <si>
    <t>Отчет комиссионера о продажах УТ000000240 от 30.04.2021 18:18:35</t>
  </si>
  <si>
    <t>30.04.2021 18:18:35</t>
  </si>
  <si>
    <t>Отчет комиссионера о продажах УТ000000243 от 30.04.2021 18:58:12</t>
  </si>
  <si>
    <t>30.04.2021 18:58:12</t>
  </si>
  <si>
    <t>Отчет комиссионера о продажах УТ000000244 от 30.04.2021 19:01:34</t>
  </si>
  <si>
    <t>30.04.2021 19:01:34</t>
  </si>
  <si>
    <t>Контрагент: не включает ORBICO POLAND &lt;&lt;&lt; НЕ ЗАБУДЬ!</t>
  </si>
  <si>
    <t>Other 10-20</t>
  </si>
  <si>
    <t>Negative</t>
  </si>
  <si>
    <t>Positive</t>
  </si>
  <si>
    <t>65 + Schedule</t>
  </si>
  <si>
    <t>Итог</t>
  </si>
  <si>
    <t>(Все)</t>
  </si>
  <si>
    <t>(несколько элементов)</t>
  </si>
  <si>
    <t>№ 221/2015</t>
  </si>
  <si>
    <t>Депозит DRM FH19</t>
  </si>
  <si>
    <t>Converse Inc.</t>
  </si>
  <si>
    <t>Интернет Решения ООО не исп.</t>
  </si>
  <si>
    <t>ИП Марин Дмитрий Валериевич</t>
  </si>
  <si>
    <t>ИП Марина Яна Анатольевна</t>
  </si>
  <si>
    <t>ИП Маркарян Арсен Владимирович</t>
  </si>
  <si>
    <t>Розничный покупатель NCF Галерея НСК</t>
  </si>
  <si>
    <t>Розничный покупатель NCF Мега Теплый Стан</t>
  </si>
  <si>
    <t>Склад-магазин NCF Галерея НСК</t>
  </si>
  <si>
    <t>Склад-магазин NCF Мега Теплый Стан</t>
  </si>
  <si>
    <t>ЭКИПЦЕНТР</t>
  </si>
  <si>
    <t>ЭКИПЦЕНТР ООО</t>
  </si>
  <si>
    <t>Названия столбцов</t>
  </si>
  <si>
    <t>Названия строк</t>
  </si>
  <si>
    <t>Общий итог</t>
  </si>
  <si>
    <t>(пусто)</t>
  </si>
  <si>
    <t>Договор.Вид договора Не равно "С поставщиком" И
Контрагент.Это розничный покупатель Равно "Нет" И
Контрагент Не равно "Фолис ЗАО"</t>
  </si>
  <si>
    <t>Not covered</t>
  </si>
  <si>
    <t>Реализация товаров и услуг УТ000009787 от 05.05.2021 9:10:37</t>
  </si>
  <si>
    <t>05.05.2021 9:10:37</t>
  </si>
  <si>
    <t>Реализация товаров и услуг УТ000009788 от 05.05.2021 9:14:06</t>
  </si>
  <si>
    <t>05.05.2021 9:14:06</t>
  </si>
  <si>
    <t>Реализация товаров и услуг УТ000009791 от 05.05.2021 9:23:42</t>
  </si>
  <si>
    <t>05.05.2021 9:23:42</t>
  </si>
  <si>
    <t>Реализация товаров и услуг УТ000009793 от 05.05.2021 9:54:48</t>
  </si>
  <si>
    <t>05.05.2021 9:54:48</t>
  </si>
  <si>
    <t>Реализация товаров и услуг УТ000009794 от 05.05.2021 9:56:16</t>
  </si>
  <si>
    <t>05.05.2021 9:56:16</t>
  </si>
  <si>
    <t>Реализация товаров и услуг УТ000009795 от 05.05.2021 9:58:02</t>
  </si>
  <si>
    <t>05.05.2021 9:58:02</t>
  </si>
  <si>
    <t>Реализация товаров и услуг УТ000009789 от 05.05.2021 10:23:25</t>
  </si>
  <si>
    <t>05.05.2021 10:23:25</t>
  </si>
  <si>
    <t>Реализация товаров и услуг УТ000009806 от 05.05.2021 11:50:52</t>
  </si>
  <si>
    <t>05.05.2021 11:50:52</t>
  </si>
  <si>
    <t>Реализация товаров и услуг УТ000009807 от 05.05.2021 11:56:56</t>
  </si>
  <si>
    <t>05.05.2021 11:56:56</t>
  </si>
  <si>
    <t>Реализация товаров и услуг УТ000009809 от 05.05.2021 13:20:00</t>
  </si>
  <si>
    <t>05.05.2021 13:20:00</t>
  </si>
  <si>
    <t>Реализация товаров и услуг УТ000009900 от 06.05.2021 16:41:16</t>
  </si>
  <si>
    <t>06.05.2021 16:41:16</t>
  </si>
  <si>
    <t>Реализация товаров и услуг УТ000009967 от 07.05.2021 12:19:20</t>
  </si>
  <si>
    <t>07.05.2021 12:19:20</t>
  </si>
  <si>
    <t>Реализация товаров и услуг УТ000010295 от 11.05.2021 14:38:55</t>
  </si>
  <si>
    <t>11.05.2021 14:38:55</t>
  </si>
  <si>
    <t>Реализация товаров и услуг УТ000010408 от 12.05.2021 12:24:47</t>
  </si>
  <si>
    <t>12.05.2021 12:24:47</t>
  </si>
  <si>
    <t>Реализация товаров и услуг УТ000010517 от 13.05.2021 11:17:12</t>
  </si>
  <si>
    <t>13.05.2021 11:17:12</t>
  </si>
  <si>
    <t>Реализация товаров и услуг УТ000010518 от 13.05.2021 11:18:37</t>
  </si>
  <si>
    <t>13.05.2021 11:18:37</t>
  </si>
  <si>
    <t>депозит UGG FW21</t>
  </si>
  <si>
    <t>Реализация товаров и услуг УТ000006002 от 10.04.2020 17:06:22</t>
  </si>
  <si>
    <t>10.04.2020 17:06:22</t>
  </si>
  <si>
    <t>Реализация товаров и услуг УТ000023465 от 14.08.2020 19:02:18</t>
  </si>
  <si>
    <t>14.08.2020 19:02:18</t>
  </si>
  <si>
    <t>Реализация товаров и услуг УТ000025279 от 28.08.2020 16:25:28</t>
  </si>
  <si>
    <t>28.08.2020 16:25:28</t>
  </si>
  <si>
    <t>Реализация товаров и услуг УТ000029703 от 16.10.2020 16:37:08</t>
  </si>
  <si>
    <t>16.10.2020 16:37:08</t>
  </si>
  <si>
    <t>Платежное поручение входящее 00BF-002451 от 07.04.2021 17:00:00</t>
  </si>
  <si>
    <t>07.04.2021 17:00:00</t>
  </si>
  <si>
    <t>Реализация товаров и услуг УТ000009792 от 05.05.2021 10:22:40</t>
  </si>
  <si>
    <t>05.05.2021 10:22:40</t>
  </si>
  <si>
    <t>Реализация товаров и услуг УТ000009790 от 05.05.2021 10:23:42</t>
  </si>
  <si>
    <t>05.05.2021 10:23:42</t>
  </si>
  <si>
    <t>Платежное поручение входящее УТ000000121 от 07.05.2021 23:50:06</t>
  </si>
  <si>
    <t>07.05.2021 23:50:06</t>
  </si>
  <si>
    <t>Реализация товаров и услуг УТ000010620 от 14.05.2021 9:40:51</t>
  </si>
  <si>
    <t>14.05.2021 9:40:51</t>
  </si>
  <si>
    <t>Реализация товаров и услуг УТ000010621 от 14.05.2021 9:44:24</t>
  </si>
  <si>
    <t>14.05.2021 9:44:24</t>
  </si>
  <si>
    <t>Реализация товаров и услуг УТ000010623 от 14.05.2021 9:58:59</t>
  </si>
  <si>
    <t>14.05.2021 9:58:59</t>
  </si>
  <si>
    <t>Реализация товаров и услуг УТ000010624 от 14.05.2021 10:01:12</t>
  </si>
  <si>
    <t>14.05.2021 10:01:12</t>
  </si>
  <si>
    <t>Реализация товаров и услуг УТ000010625 от 14.05.2021 10:28:11</t>
  </si>
  <si>
    <t>14.05.2021 10:28:11</t>
  </si>
  <si>
    <t>Реализация товаров и услуг УТ000010622 от 14.05.2021 10:47:10</t>
  </si>
  <si>
    <t>14.05.2021 10:47:10</t>
  </si>
  <si>
    <t>Реализация товаров и услуг УТ000010901 от 17.05.2021 17:24:29</t>
  </si>
  <si>
    <t>17.05.2021 17:24:29</t>
  </si>
  <si>
    <t>Реализация товаров и услуг УТ000010903 от 17.05.2021 17:24:53</t>
  </si>
  <si>
    <t>17.05.2021 17:24:53</t>
  </si>
  <si>
    <t>Реализация товаров и услуг УТ000010902 от 17.05.2021 17:40:52</t>
  </si>
  <si>
    <t>17.05.2021 17:40:52</t>
  </si>
  <si>
    <t>Реализация товаров и услуг УТ000011176 от 19.05.2021 13:04:26</t>
  </si>
  <si>
    <t>19.05.2021 13:04:26</t>
  </si>
  <si>
    <t>Реализация товаров и услуг УТ000011177 от 19.05.2021 13:05:44</t>
  </si>
  <si>
    <t>19.05.2021 13:05:44</t>
  </si>
  <si>
    <t>Реализация товаров и услуг УТ000011179 от 19.05.2021 13:34:36</t>
  </si>
  <si>
    <t>19.05.2021 13:34:36</t>
  </si>
  <si>
    <t>Реализация товаров и услуг УТ000011308 от 20.05.2021 12:10:50</t>
  </si>
  <si>
    <t>20.05.2021 12:10:50</t>
  </si>
  <si>
    <t>Реализация товаров и услуг УТ000011309 от 20.05.2021 12:12:33</t>
  </si>
  <si>
    <t>20.05.2021 12:12:33</t>
  </si>
  <si>
    <t>Реализация товаров и услуг УТ000011310 от 20.05.2021 13:02:50</t>
  </si>
  <si>
    <t>20.05.2021 13:02:50</t>
  </si>
  <si>
    <t>Реализация товаров и услуг УТ000011317 от 20.05.2021 16:20:39</t>
  </si>
  <si>
    <t>20.05.2021 16:20:39</t>
  </si>
  <si>
    <t>Реализация товаров и услуг УТ000011318 от 20.05.2021 16:42:46</t>
  </si>
  <si>
    <t>20.05.2021 16:42:46</t>
  </si>
  <si>
    <t>Платежное поручение входящее 00BF-003567 от 20.05.2021 17:00:00</t>
  </si>
  <si>
    <t>Профи Трейд ООО</t>
  </si>
  <si>
    <t>20.05.2021 17:00:00</t>
  </si>
  <si>
    <t>№ 295/2016 от 14.12.2016</t>
  </si>
  <si>
    <t>Платежное поручение входящее 00BF-003568 от 20.05.2021 17:00:00</t>
  </si>
  <si>
    <t>413/2019 от 23.12.2020</t>
  </si>
  <si>
    <t>Реализация товаров и услуг УТ000011709 от 24.05.2021 11:14:29</t>
  </si>
  <si>
    <t>24.05.2021 11:14:29</t>
  </si>
  <si>
    <t>24.05.2021 17:00:00</t>
  </si>
  <si>
    <t>Платежное поручение входящее 00BF-003652 от 24.05.2021 17:00:00</t>
  </si>
  <si>
    <t>ПУЛЬС КЛД ООО</t>
  </si>
  <si>
    <t>для WB для оферты проставить +250 дней</t>
  </si>
  <si>
    <t>Период: 31.05.2021</t>
  </si>
  <si>
    <t>Реализация товаров и услуг УТ000011815 от 25.05.2021 11:10:39</t>
  </si>
  <si>
    <t>25.05.2021 11:10:39</t>
  </si>
  <si>
    <t>Реализация товаров и услуг УТ000011814 от 25.05.2021 11:12:39</t>
  </si>
  <si>
    <t>25.05.2021 11:12:39</t>
  </si>
  <si>
    <t>Реализация товаров и услуг УТ000011816 от 25.05.2021 13:40:15</t>
  </si>
  <si>
    <t>25.05.2021 13:40:15</t>
  </si>
  <si>
    <t>Реализация товаров и услуг УТ000011948 от 26.05.2021 12:49:04</t>
  </si>
  <si>
    <t>26.05.2021 12:49:04</t>
  </si>
  <si>
    <t>Реализация товаров и услуг УТ000011949 от 26.05.2021 12:51:56</t>
  </si>
  <si>
    <t>26.05.2021 12:51:56</t>
  </si>
  <si>
    <t>Реализация товаров и услуг УТ000011950 от 26.05.2021 12:54:58</t>
  </si>
  <si>
    <t>26.05.2021 12:54:58</t>
  </si>
  <si>
    <t>Реализация товаров и услуг УТ000011951 от 26.05.2021 13:07:48</t>
  </si>
  <si>
    <t>26.05.2021 13:07:48</t>
  </si>
  <si>
    <t>Реализация товаров и услуг УТ000011953 от 26.05.2021 13:08:01</t>
  </si>
  <si>
    <t>26.05.2021 13:08:01</t>
  </si>
  <si>
    <t>Реализация товаров и услуг УТ000011954 от 26.05.2021 13:12:23</t>
  </si>
  <si>
    <t>26.05.2021 13:12:23</t>
  </si>
  <si>
    <t>Реализация товаров и услуг УТ000011952 от 26.05.2021 14:59:23</t>
  </si>
  <si>
    <t>26.05.2021 14:59:23</t>
  </si>
  <si>
    <t>Реализация товаров и услуг УТ000012069 от 27.05.2021 18:45:23</t>
  </si>
  <si>
    <t>27.05.2021 18:45:23</t>
  </si>
  <si>
    <t>Реализация товаров и услуг УТ000012070 от 27.05.2021 18:52:21</t>
  </si>
  <si>
    <t>27.05.2021 18:52:21</t>
  </si>
  <si>
    <t>Реализация товаров и услуг УТ000012160 от 28.05.2021 10:15:41</t>
  </si>
  <si>
    <t>28.05.2021 10:15:41</t>
  </si>
  <si>
    <t>Реализация товаров и услуг УТ000012162 от 28.05.2021 10:22:24</t>
  </si>
  <si>
    <t>28.05.2021 10:22:24</t>
  </si>
  <si>
    <t>Реализация товаров и услуг УТ000012161 от 28.05.2021 12:37:53</t>
  </si>
  <si>
    <t>28.05.2021 12:37:53</t>
  </si>
  <si>
    <t>Отчет комиссионера о продажах УТ000000271 от 31.05.2021 12:57:59</t>
  </si>
  <si>
    <t>31.05.2021 12:57:59</t>
  </si>
  <si>
    <t>Отчет комиссионера о продажах УТ000000272 от 31.05.2021 12:59:11</t>
  </si>
  <si>
    <t>31.05.2021 12:59:11</t>
  </si>
  <si>
    <t>Отчет комиссионера о продажах УТ000000273 от 31.05.2021 13:00:28</t>
  </si>
  <si>
    <t>31.05.2021 13:00:28</t>
  </si>
  <si>
    <t>Отчет комиссионера о продажах УТ000000274 от 31.05.2021 13:02:17</t>
  </si>
  <si>
    <t>31.05.2021 13:02:17</t>
  </si>
  <si>
    <t>Отчет комиссионера о продажах УТ000000279 от 31.05.2021 15:08:56</t>
  </si>
  <si>
    <t>31.05.2021 15:08:56</t>
  </si>
  <si>
    <t>Отчет комиссионера о продажах УТ000000280 от 31.05.2021 15:11:03</t>
  </si>
  <si>
    <t>31.05.2021 15:11:03</t>
  </si>
  <si>
    <t>Отчет комиссионера о продажах УТ000000281 от 31.05.2021 15:15:08</t>
  </si>
  <si>
    <t>31.05.2021 15:15:08</t>
  </si>
  <si>
    <t>Платежное поручение входящее 00BF-003839 от 31.05.2021 17:00:00</t>
  </si>
  <si>
    <t>31.05.2021 17:00:00</t>
  </si>
  <si>
    <t>Платежное поручение входящее 00BF-003841 от 31.05.2021 17:00:00</t>
  </si>
  <si>
    <t>Депозит DRM FH21</t>
  </si>
  <si>
    <t>депозит UGG FH21</t>
  </si>
  <si>
    <t>Advance = deposit</t>
  </si>
  <si>
    <t>!!!Добавить</t>
  </si>
  <si>
    <t>вставить как значение</t>
  </si>
  <si>
    <t>Total for WCAP</t>
  </si>
  <si>
    <t xml:space="preserve">очищать и </t>
  </si>
  <si>
    <t>ВСЕГО</t>
  </si>
  <si>
    <t>Total Balance</t>
  </si>
  <si>
    <t>previous month</t>
  </si>
  <si>
    <t>check IFRS</t>
  </si>
  <si>
    <t>IFRS model</t>
  </si>
  <si>
    <t>ИП Гоголь Александр Владимирович</t>
  </si>
  <si>
    <t>ИП Пинкин Александр Александрович</t>
  </si>
  <si>
    <t>Розничный покупатель Галерея НСК</t>
  </si>
  <si>
    <t>Оборотно-сальдовая ведомость по счету 62 за Май 2021 г.</t>
  </si>
  <si>
    <t>Есть файлы</t>
  </si>
  <si>
    <t>Номер</t>
  </si>
  <si>
    <t>Валюта</t>
  </si>
  <si>
    <t>Счет-фактура</t>
  </si>
  <si>
    <t>Склад</t>
  </si>
  <si>
    <t>Дата вх.</t>
  </si>
  <si>
    <t>Номер вх.</t>
  </si>
  <si>
    <t>Оригинал</t>
  </si>
  <si>
    <t>СФ оригинал</t>
  </si>
  <si>
    <t>Комментарий</t>
  </si>
  <si>
    <t>Ответственный</t>
  </si>
  <si>
    <t>Состояние ЭДО</t>
  </si>
  <si>
    <t>212/2014 от 01.10.2014г.</t>
  </si>
  <si>
    <t>12.05.2021</t>
  </si>
  <si>
    <t>00BF-001737</t>
  </si>
  <si>
    <t>руб.</t>
  </si>
  <si>
    <t>Проведен</t>
  </si>
  <si>
    <t>Услуги</t>
  </si>
  <si>
    <t>CON-XXX-WHLS</t>
  </si>
  <si>
    <t>Да</t>
  </si>
  <si>
    <t>фотографии</t>
  </si>
  <si>
    <t>Зотова Олеся Николаевна</t>
  </si>
  <si>
    <t>24.05.2021</t>
  </si>
  <si>
    <t>00BF-001744</t>
  </si>
  <si>
    <t>27.05.2021</t>
  </si>
  <si>
    <t>00BF-001745</t>
  </si>
  <si>
    <t>Договор оферты</t>
  </si>
  <si>
    <t>01.05.2021</t>
  </si>
  <si>
    <t>00BF-001727</t>
  </si>
  <si>
    <t>CON-XXX-XXXX</t>
  </si>
  <si>
    <t>25.04.2021</t>
  </si>
  <si>
    <t>Вознаграждение</t>
  </si>
  <si>
    <t>00BF-001728</t>
  </si>
  <si>
    <t>02.05.2021</t>
  </si>
  <si>
    <t>00BF-001729</t>
  </si>
  <si>
    <t>00BF-001730</t>
  </si>
  <si>
    <t>Логистика</t>
  </si>
  <si>
    <t>00BF-001731</t>
  </si>
  <si>
    <t>Логистика, хранение</t>
  </si>
  <si>
    <t>00BF-001732</t>
  </si>
  <si>
    <t>09.05.2021</t>
  </si>
  <si>
    <t>00BF-001733</t>
  </si>
  <si>
    <t>00BF-001734</t>
  </si>
  <si>
    <t>00BF-001735</t>
  </si>
  <si>
    <t>00BF-001736</t>
  </si>
  <si>
    <t>16.05.2021</t>
  </si>
  <si>
    <t>00BF-001738</t>
  </si>
  <si>
    <t>00BF-001739</t>
  </si>
  <si>
    <t>00BF-001740</t>
  </si>
  <si>
    <t>00BF-001741</t>
  </si>
  <si>
    <t>23.05.2021</t>
  </si>
  <si>
    <t>00BF-001742</t>
  </si>
  <si>
    <t>00BF-001743</t>
  </si>
  <si>
    <t>00BF-001746</t>
  </si>
  <si>
    <t>00BF-001747</t>
  </si>
  <si>
    <t>30.05.2021</t>
  </si>
  <si>
    <t>00BF-001748</t>
  </si>
  <si>
    <t>00BF-001749</t>
  </si>
  <si>
    <t>00BF-001750</t>
  </si>
  <si>
    <t>00BF-001751</t>
  </si>
  <si>
    <t>Оборотно-сальдовая ведомость по счету 76 за Май 2021 г.</t>
  </si>
  <si>
    <t>76</t>
  </si>
  <si>
    <t>76.02</t>
  </si>
  <si>
    <t>&lt;...&gt;</t>
  </si>
  <si>
    <t>76.05</t>
  </si>
  <si>
    <t>Межрегиональное операционное УФК (ФТС России) Владивостокская таможня</t>
  </si>
  <si>
    <t>МОУ ФК (ФТС России)</t>
  </si>
  <si>
    <t>УФК по г.Москве (ФТС России) (Шереметьевская)</t>
  </si>
  <si>
    <t>УФК по г.Москве (ФТС России) Внуковская таможня</t>
  </si>
  <si>
    <t>УФК по г.Москве (ФТС России) Выборгская таможня</t>
  </si>
  <si>
    <t>УФК по г.Москве (ФТС России) Московская таможня</t>
  </si>
  <si>
    <t>Цветной Централ Маркет ООО</t>
  </si>
  <si>
    <t>Период</t>
  </si>
  <si>
    <t>Аналитика Дт</t>
  </si>
  <si>
    <t>Аналитика Кт</t>
  </si>
  <si>
    <t>Поступление (акт, накладная, УПД) 00BF-001727 от 01.05.2021 7:00:00
Вознаграждение комиссионера по вх.д. 0425051058 от 25.04.2021</t>
  </si>
  <si>
    <t>CON-XXX-WHLS
14.5 Комиссионное вознаграждение</t>
  </si>
  <si>
    <t>&lt;...&gt;
Вайлдберриз ООО
Договор оферты
Поступление (акт, накладная, УПД) 00BF-001727 от 01.05.2021 7:00:00</t>
  </si>
  <si>
    <t>44.01</t>
  </si>
  <si>
    <t>60.01</t>
  </si>
  <si>
    <t>HAV-XXX-WHLS
14.5 Комиссионное вознаграждение</t>
  </si>
  <si>
    <t>HAV-XXX-WHLS</t>
  </si>
  <si>
    <t>SAU-XXX-WHLS
14.5 Комиссионное вознаграждение</t>
  </si>
  <si>
    <t>SAU-XXX-WHLS</t>
  </si>
  <si>
    <t>Поступление (акт, накладная, УПД) 00BF-001728 от 01.05.2021 7:00:00
Вознаграждение комиссионера по вх.д. 0425051432 от 25.04.2021</t>
  </si>
  <si>
    <t>&lt;...&gt;
Вайлдберриз ООО
Договор оферты
Поступление (акт, накладная, УПД) 00BF-001728 от 01.05.2021 7:00:00</t>
  </si>
  <si>
    <t>Поступление (акт, накладная, УПД) 00BF-001729 от 02.05.2021 7:00:00
Вознаграждение комиссионера по вх.д. 0502029764 от 02.05.2021</t>
  </si>
  <si>
    <t>&lt;...&gt;
Вайлдберриз ООО
Договор оферты
Поступление (акт, накладная, УПД) 00BF-001729 от 02.05.2021 7:00:00</t>
  </si>
  <si>
    <t>Поступление (акт, накладная, УПД) 00BF-001730 от 02.05.2021 7:00:00
Доставка по вх.д. 0502010108 от 02.05.2021</t>
  </si>
  <si>
    <t>CON-XXX-WHLS
8.6 Доставка товаров покупателям</t>
  </si>
  <si>
    <t>&lt;...&gt;
Вайлдберриз ООО
Договор оферты
Поступление (акт, накладная, УПД) 00BF-001730 от 02.05.2021 7:00:00</t>
  </si>
  <si>
    <t>HAV-XXX-WHLS
8.6 Доставка товаров покупателям</t>
  </si>
  <si>
    <t>SAU-XXX-WHLS
8.6 Доставка товаров покупателям</t>
  </si>
  <si>
    <t>Поступление (акт, накладная, УПД) 00BF-001731 от 02.05.2021 7:00:00
Доставка по вх.д. 0502010436 от 02.05.2021</t>
  </si>
  <si>
    <t>&lt;...&gt;
Вайлдберриз ООО
Договор оферты
Поступление (акт, накладная, УПД) 00BF-001731 от 02.05.2021 7:00:00</t>
  </si>
  <si>
    <t>Поступление (акт, накладная, УПД) 00BF-001731 от 02.05.2021 7:00:00
Услуги по хранению  по вх.д. 0502010436 от 02.05.2021</t>
  </si>
  <si>
    <t>CON-XXX-WHLS
13.10 Услуги хранения</t>
  </si>
  <si>
    <t>Поступление (акт, накладная, УПД) 00BF-001732 от 02.05.2021 7:00:00
Вознаграждение комиссионера по вх.д. 0502030696 от 02.05.2021</t>
  </si>
  <si>
    <t>&lt;...&gt;
Вайлдберриз ООО
Договор оферты
Поступление (акт, накладная, УПД) 00BF-001732 от 02.05.2021 7:00:00</t>
  </si>
  <si>
    <t>Поступление (акт, накладная, УПД) 00BF-001733 от 09.05.2021 7:00:00
Доставка по вх.д. 0509002840 от 09.05.2021</t>
  </si>
  <si>
    <t>&lt;...&gt;
Вайлдберриз ООО
Договор оферты
Поступление (акт, накладная, УПД) 00BF-001733 от 09.05.2021 7:00:00</t>
  </si>
  <si>
    <t>Поступление (акт, накладная, УПД) 00BF-001734 от 09.05.2021 7:00:00
Доставка по вх.д. 0509003186 от 09.05.2021</t>
  </si>
  <si>
    <t>&lt;...&gt;
Вайлдберриз ООО
Договор оферты
Поступление (акт, накладная, УПД) 00BF-001734 от 09.05.2021 7:00:00</t>
  </si>
  <si>
    <t>Поступление (акт, накладная, УПД) 00BF-001734 от 09.05.2021 7:00:00
Услуги по хранению  по вх.д. 0509003186 от 09.05.2021</t>
  </si>
  <si>
    <t>Поступление (акт, накладная, УПД) 00BF-001735 от 09.05.2021 7:00:00
Вознаграждение комиссионера по вх.д. 0509023704 от 09.05.2021</t>
  </si>
  <si>
    <t>&lt;...&gt;
Вайлдберриз ООО
Договор оферты
Поступление (акт, накладная, УПД) 00BF-001735 от 09.05.2021 7:00:00</t>
  </si>
  <si>
    <t>Поступление (акт, накладная, УПД) 00BF-001736 от 09.05.2021 7:00:00
Вознаграждение комиссионера по вх.д. 0509024565 от 09.05.2021</t>
  </si>
  <si>
    <t>&lt;...&gt;
Вайлдберриз ООО
Договор оферты
Поступление (акт, накладная, УПД) 00BF-001736 от 09.05.2021 7:00:00</t>
  </si>
  <si>
    <t>Поступление (акт, накладная, УПД) 00BF-001737 от 12.05.2021 7:00:00
Торговая премия по вх.д. 0512000841 от 12.05.2021</t>
  </si>
  <si>
    <t>CON-XXX-WHLS
14.6 Торговая премия</t>
  </si>
  <si>
    <t>&lt;...&gt;
Вайлдберриз ООО
212/2014 от 01.10.2014г.
Поступление (акт, накладная, УПД) 00BF-001737 от 12.05.2021 7:00:00</t>
  </si>
  <si>
    <t>Поступление (акт, накладная, УПД) 00BF-001738 от 16.05.2021 7:00:00
Доставка по вх.д. 0516000203 от 16.05.2021</t>
  </si>
  <si>
    <t>&lt;...&gt;
Вайлдберриз ООО
Договор оферты
Поступление (акт, накладная, УПД) 00BF-001738 от 16.05.2021 7:00:00</t>
  </si>
  <si>
    <t>Поступление (акт, накладная, УПД) 00BF-001739 от 16.05.2021 7:00:00
Доставка по вх.д. 0516000434 от 16.05.2021</t>
  </si>
  <si>
    <t>&lt;...&gt;
Вайлдберриз ООО
Договор оферты
Поступление (акт, накладная, УПД) 00BF-001739 от 16.05.2021 7:00:00</t>
  </si>
  <si>
    <t>Поступление (акт, накладная, УПД) 00BF-001739 от 16.05.2021 7:00:00
Услуги по хранению  по вх.д. 0516000434 от 16.05.2021</t>
  </si>
  <si>
    <t>Поступление (акт, накладная, УПД) 00BF-001740 от 16.05.2021 7:00:00
Вознаграждение комиссионера по вх.д. 0516054781 от 16.05.2021</t>
  </si>
  <si>
    <t>&lt;...&gt;
Вайлдберриз ООО
Договор оферты
Поступление (акт, накладная, УПД) 00BF-001740 от 16.05.2021 7:00:00</t>
  </si>
  <si>
    <t>Поступление (акт, накладная, УПД) 00BF-001741 от 16.05.2021 7:00:00
Вознаграждение комиссионера по вх.д. 0516055102 от 16.05.2021</t>
  </si>
  <si>
    <t>&lt;...&gt;
Вайлдберриз ООО
Договор оферты
Поступление (акт, накладная, УПД) 00BF-001741 от 16.05.2021 7:00:00</t>
  </si>
  <si>
    <t>Поступление (акт, накладная, УПД) 00BF-001742 от 23.05.2021 7:00:00
Доставка по вх.д. 0523048540 от 23.05.2021</t>
  </si>
  <si>
    <t>&lt;...&gt;
Вайлдберриз ООО
Договор оферты
Поступление (акт, накладная, УПД) 00BF-001742 от 23.05.2021 7:00:00</t>
  </si>
  <si>
    <t>Поступление (акт, накладная, УПД) 00BF-001742 от 23.05.2021 7:00:00
Услуги по хранению  по вх.д. 0523048540 от 23.05.2021</t>
  </si>
  <si>
    <t>Поступление (акт, накладная, УПД) 00BF-001743 от 23.05.2021 7:00:00
Доставка по вх.д. 0523051430 от 23.05.2021</t>
  </si>
  <si>
    <t>&lt;...&gt;
Вайлдберриз ООО
Договор оферты
Поступление (акт, накладная, УПД) 00BF-001743 от 23.05.2021 7:00:00</t>
  </si>
  <si>
    <t>Поступление (акт, накладная, УПД) 00BF-001746 от 23.05.2021 7:00:00
Вознаграждение комиссионера по вх.д. 0523095273 от 23.05.2021</t>
  </si>
  <si>
    <t>&lt;...&gt;
Вайлдберриз ООО
Договор оферты
Поступление (акт, накладная, УПД) 00BF-001746 от 23.05.2021 7:00:00</t>
  </si>
  <si>
    <t>Поступление (акт, накладная, УПД) 00BF-001747 от 23.05.2021 7:00:00
Вознаграждение комиссионера по вх.д. 0523095720 от 23.05.2021</t>
  </si>
  <si>
    <t>&lt;...&gt;
Вайлдберриз ООО
Договор оферты
Поступление (акт, накладная, УПД) 00BF-001747 от 23.05.2021 7:00:00</t>
  </si>
  <si>
    <t>Поступление (акт, накладная, УПД) 00BF-001744 от 24.05.2021 7:00:00
Маркетинговые услуги по вх.д. 0524000961 от 24.05.2021</t>
  </si>
  <si>
    <t>CON-XXX-WHLS
10.6 Прочие расходы на маркетинг (опт)</t>
  </si>
  <si>
    <t>&lt;...&gt;
Вайлдберриз ООО
212/2014 от 01.10.2014г.
Поступление (акт, накладная, УПД) 00BF-001744 от 24.05.2021 7:00:00</t>
  </si>
  <si>
    <t>Поступление (акт, накладная, УПД) 00BF-001745 от 27.05.2021 7:00:00
Торговая премия по вх.д. 0527000795 от 27.05.2021</t>
  </si>
  <si>
    <t>&lt;...&gt;
Вайлдберриз ООО
212/2014 от 01.10.2014г.
Поступление (акт, накладная, УПД) 00BF-001745 от 27.05.2021 7:00:00</t>
  </si>
  <si>
    <t>Поступление (акт, накладная, УПД) 00BF-001748 от 30.05.2021 7:00:00
Доставка по вх.д. 0530004357 от 30.05.2021</t>
  </si>
  <si>
    <t>&lt;...&gt;
Вайлдберриз ООО
Договор оферты
Поступление (акт, накладная, УПД) 00BF-001748 от 30.05.2021 7:00:00</t>
  </si>
  <si>
    <t>Поступление (акт, накладная, УПД) 00BF-001749 от 30.05.2021 7:00:00
Доставка по вх.д. 0530004746 от 30.05.2021</t>
  </si>
  <si>
    <t>&lt;...&gt;
Вайлдберриз ООО
Договор оферты
Поступление (акт, накладная, УПД) 00BF-001749 от 30.05.2021 7:00:00</t>
  </si>
  <si>
    <t>Поступление (акт, накладная, УПД) 00BF-001749 от 30.05.2021 7:00:00
Услуги по хранению  по вх.д. 0530004746 от 30.05.2021</t>
  </si>
  <si>
    <t>Поступление (акт, накладная, УПД) 00BF-001750 от 30.05.2021 7:00:00
Вознаграждение комиссионера по вх.д. 0530015203 от 30.05.2021</t>
  </si>
  <si>
    <t>&lt;...&gt;
Вайлдберриз ООО
Договор оферты
Поступление (акт, накладная, УПД) 00BF-001750 от 30.05.2021 7:00:00</t>
  </si>
  <si>
    <t>Поступление (акт, накладная, УПД) 00BF-001751 от 30.05.2021 7:00:00
Вознаграждение комиссионера по вх.д. 0530016910 от 30.05.2021</t>
  </si>
  <si>
    <t>&lt;...&gt;
Вайлдберриз ООО
Договор оферты
Поступление (акт, накладная, УПД) 00BF-001751 от 30.05.2021 7:00:00</t>
  </si>
  <si>
    <t>Хранение</t>
  </si>
  <si>
    <t>Конверс</t>
  </si>
  <si>
    <t>вознаграждение</t>
  </si>
  <si>
    <t>Хав</t>
  </si>
  <si>
    <t>САУ</t>
  </si>
  <si>
    <t>Доставка</t>
  </si>
  <si>
    <t>drm</t>
  </si>
  <si>
    <t>1С</t>
  </si>
  <si>
    <t>UT + 1C</t>
  </si>
  <si>
    <t>TM 1 LOAD</t>
  </si>
  <si>
    <t>возврат от Реинвент (планируется в 2020г. по товару, проданному в 2019г.)</t>
  </si>
  <si>
    <t>ico Orbico PL</t>
  </si>
  <si>
    <t>ретро-бонус Вайлд за con</t>
  </si>
  <si>
    <t>Hush Puppies</t>
  </si>
  <si>
    <t>Платежное поручение входящее 00BF-004046 от 08.06.2021 17:00:00</t>
  </si>
  <si>
    <t>08.06.2021 17:00:00</t>
  </si>
  <si>
    <t>Платежное поручение входящее 00BF-004050 от 08.06.2021 17:00:00</t>
  </si>
  <si>
    <t>Реализация товаров и услуг УТ000013449 от 10.06.2021 10:46:49</t>
  </si>
  <si>
    <t>10.06.2021 10:46:49</t>
  </si>
  <si>
    <t>Реализация товаров и услуг УТ000013453 от 10.06.2021 10:52:56</t>
  </si>
  <si>
    <t>10.06.2021 10:52:56</t>
  </si>
  <si>
    <t>Реализация товаров и услуг УТ000013452 от 10.06.2021 13:34:25</t>
  </si>
  <si>
    <t>10.06.2021 13:34:25</t>
  </si>
  <si>
    <t>Реализация товаров и услуг УТ000013448 от 10.06.2021 13:35:04</t>
  </si>
  <si>
    <t>10.06.2021 13:35:04</t>
  </si>
  <si>
    <t>Реализация товаров и услуг УТ000013454 от 10.06.2021 14:08:05</t>
  </si>
  <si>
    <t>10.06.2021 14:08:05</t>
  </si>
  <si>
    <t>Реализация товаров и услуг УТ000013472 от 10.06.2021 15:20:44</t>
  </si>
  <si>
    <t>10.06.2021 15:20:44</t>
  </si>
  <si>
    <t>Реализация товаров и услуг УТ000013589 от 11.06.2021 12:40:27</t>
  </si>
  <si>
    <t>11.06.2021 12:40:27</t>
  </si>
  <si>
    <t>Реализация товаров и услуг УТ000013590 от 11.06.2021 12:43:25</t>
  </si>
  <si>
    <t>11.06.2021 12:43:25</t>
  </si>
  <si>
    <t>Реализация товаров и услуг УТ000013588 от 11.06.2021 14:50:07</t>
  </si>
  <si>
    <t>11.06.2021 14:50:07</t>
  </si>
  <si>
    <t>Реализация товаров и услуг УТ000013595 от 11.06.2021 15:49:46</t>
  </si>
  <si>
    <t>11.06.2021 15:49:46</t>
  </si>
  <si>
    <t>Платежное поручение входящее 00BF-004129 от 11.06.2021 17:00:00</t>
  </si>
  <si>
    <t>11.06.2021 17:00:00</t>
  </si>
  <si>
    <t>HPP</t>
  </si>
  <si>
    <t>Столбец1</t>
  </si>
  <si>
    <t>Основной договор 306/2017</t>
  </si>
  <si>
    <t>Реализация товаров и услуг УТ000014764 от 21.06.2021 20:51:10</t>
  </si>
  <si>
    <t>21.06.2021 20:51:10</t>
  </si>
  <si>
    <t>депозит SAU SS22</t>
  </si>
  <si>
    <t>ИП Стародумов Дмитрий Сергеевич</t>
  </si>
  <si>
    <t>22.06.2021 17:00:00</t>
  </si>
  <si>
    <t>Платежное поручение входящее 00BF-004404 от 22.06.2021 17:00:00</t>
  </si>
  <si>
    <t>Депозит SAU SS22</t>
  </si>
  <si>
    <t>ИП Тарасов Игорь Павлович</t>
  </si>
  <si>
    <t>Платежное поручение входящее 00BF-004557 от 29.06.2021 17:00:00</t>
  </si>
  <si>
    <t>29.06.2021 17:00:00</t>
  </si>
  <si>
    <t>№452/2021 от 03.03.21</t>
  </si>
  <si>
    <t>№ 342/2018 от 01.06.18</t>
  </si>
  <si>
    <t>Отчет комиссионера о продажах УТ000000307 от 30.06.2021 19:02:46</t>
  </si>
  <si>
    <t>30.06.2021 19:02:46</t>
  </si>
  <si>
    <t>Отчет комиссионера о продажах УТ000000309 от 30.06.2021 19:04:30</t>
  </si>
  <si>
    <t>30.06.2021 19:04:30</t>
  </si>
  <si>
    <t>Отчет комиссионера о продажах УТ000000310 от 30.06.2021 19:05:27</t>
  </si>
  <si>
    <t>30.06.2021 19:05:27</t>
  </si>
  <si>
    <t>Отчет комиссионера о продажах УТ000000311 от 30.06.2021 19:06:26</t>
  </si>
  <si>
    <t>30.06.2021 19:06:26</t>
  </si>
  <si>
    <t>Реализация товаров и услуг УТ000016050 от 01.07.2021 12:33:37</t>
  </si>
  <si>
    <t>01.07.2021 12:33:37</t>
  </si>
  <si>
    <t>Реализация товаров и услуг УТ000016051 от 01.07.2021 12:47:17</t>
  </si>
  <si>
    <t>01.07.2021 12:47:17</t>
  </si>
  <si>
    <t>Реализация товаров и услуг УТ000016054 от 01.07.2021 13:12:35</t>
  </si>
  <si>
    <t>01.07.2021 13:12:35</t>
  </si>
  <si>
    <t>Реализация товаров и услуг УТ000016055 от 01.07.2021 13:17:30</t>
  </si>
  <si>
    <t>01.07.2021 13:17:30</t>
  </si>
  <si>
    <t>Реализация товаров и услуг УТ000016056 от 01.07.2021 13:26:34</t>
  </si>
  <si>
    <t>01.07.2021 13:26:34</t>
  </si>
  <si>
    <t>Реализация товаров и услуг УТ000016059 от 01.07.2021 14:02:40</t>
  </si>
  <si>
    <t>01.07.2021 14:02:40</t>
  </si>
  <si>
    <t>Реализация товаров и услуг УТ000016064 от 01.07.2021 14:38:05</t>
  </si>
  <si>
    <t>01.07.2021 14:38:05</t>
  </si>
  <si>
    <t>Реализация товаров и услуг УТ000016065 от 01.07.2021 14:40:45</t>
  </si>
  <si>
    <t>01.07.2021 14:40:45</t>
  </si>
  <si>
    <t>Реализация товаров и услуг УТ000016067 от 01.07.2021 15:33:57</t>
  </si>
  <si>
    <t>01.07.2021 15:33:57</t>
  </si>
  <si>
    <t>Реализация товаров и услуг УТ000016075 от 01.07.2021 17:19:34</t>
  </si>
  <si>
    <t>01.07.2021 17:19:34</t>
  </si>
  <si>
    <t>№432/2020 от 12.08.2020</t>
  </si>
  <si>
    <t>ИП Кондратьева Светлана Ефимовна</t>
  </si>
  <si>
    <t>Депозит CON SP22</t>
  </si>
  <si>
    <t>Столбец2</t>
  </si>
  <si>
    <t>Столбец3</t>
  </si>
  <si>
    <t>Столбец4</t>
  </si>
  <si>
    <t>Столбец5</t>
  </si>
  <si>
    <t>Столбец6</t>
  </si>
  <si>
    <t>Столбец7</t>
  </si>
  <si>
    <t>Столбец8</t>
  </si>
  <si>
    <t>Столбец9</t>
  </si>
  <si>
    <t>Реализация товаров и услуг УТ000032160 от 30.11.2020 16:54:56</t>
  </si>
  <si>
    <t>30.11.2020 16:54:56</t>
  </si>
  <si>
    <t>Реализация товаров и услуг УТ000016867 от 08.07.2021 13:49:28</t>
  </si>
  <si>
    <t>08.07.2021 13:49:28</t>
  </si>
  <si>
    <t>депозит CON SP22</t>
  </si>
  <si>
    <t>Реализация товаров и услуг УТ000007810 от 15.04.2021 11:24:29</t>
  </si>
  <si>
    <t>15.04.2021 11:24:29</t>
  </si>
  <si>
    <t>Реализация товаров и услуг УТ000017483 от 14.07.2021 13:18:35</t>
  </si>
  <si>
    <t>14.07.2021 13:18:35</t>
  </si>
  <si>
    <t>Реализация товаров и услуг УТ000017795 от 16.07.2021 10:37:31</t>
  </si>
  <si>
    <t>16.07.2021 10:37:31</t>
  </si>
  <si>
    <t>Реализация товаров и услуг УТ000017796 от 16.07.2021 10:39:17</t>
  </si>
  <si>
    <t>16.07.2021 10:39:17</t>
  </si>
  <si>
    <t>Реализация товаров и услуг УТ000018162 от 19.07.2021 16:45:35</t>
  </si>
  <si>
    <t>19.07.2021 16:45:35</t>
  </si>
  <si>
    <t>Реализация товаров и услуг УТ000018448 от 21.07.2021 11:42:32</t>
  </si>
  <si>
    <t>21.07.2021 11:42:32</t>
  </si>
  <si>
    <t>Реализация товаров и услуг УТ000018645 от 22.07.2021 15:18:36</t>
  </si>
  <si>
    <t>22.07.2021 15:18:36</t>
  </si>
  <si>
    <t>Депозит UGG SS22</t>
  </si>
  <si>
    <t>Реализация товаров и услуг УТ000018784 от 28.07.2021 15:40:27</t>
  </si>
  <si>
    <t>28.07.2021 15:40:27</t>
  </si>
  <si>
    <t>Реализация товаров и услуг УТ000018788 от 29.07.2021 14:02:12</t>
  </si>
  <si>
    <t>29.07.2021 14:02:12</t>
  </si>
  <si>
    <t>Реализация товаров и услуг УТ000018792 от 29.07.2021 17:02:08</t>
  </si>
  <si>
    <t>29.07.2021 17:02:08</t>
  </si>
  <si>
    <t>Реализация товаров и услуг УТ000018791 от 29.07.2021 17:03:35</t>
  </si>
  <si>
    <t>29.07.2021 17:03:35</t>
  </si>
  <si>
    <t>Реализация товаров и услуг УТ000018790 от 29.07.2021 17:07:48</t>
  </si>
  <si>
    <t>29.07.2021 17:07:48</t>
  </si>
  <si>
    <t>Реализация товаров и услуг УТ000018811 от 30.07.2021 15:00:13</t>
  </si>
  <si>
    <t>ИП Ядринцев Клим Германович</t>
  </si>
  <si>
    <t>30.07.2021 15:00:13</t>
  </si>
  <si>
    <t>№ 465/2021 от 21.06.2021</t>
  </si>
  <si>
    <t>Платежное поручение входящее 00BF-005350 от 30.07.2021 17:00:00</t>
  </si>
  <si>
    <t>30.07.2021 17:00:00</t>
  </si>
  <si>
    <t>Отчет комиссионера о продажах УТ000000340 от 31.07.2021 16:27:49</t>
  </si>
  <si>
    <t>31.07.2021 16:27:49</t>
  </si>
  <si>
    <t>Отчет комиссионера о продажах УТ000000341 от 31.07.2021 16:29:01</t>
  </si>
  <si>
    <t>31.07.2021 16:29:01</t>
  </si>
  <si>
    <t>Отчет комиссионера о продажах УТ000000342 от 31.07.2021 16:30:07</t>
  </si>
  <si>
    <t>31.07.2021 16:30:07</t>
  </si>
  <si>
    <t>Отчет комиссионера о продажах УТ000000343 от 31.07.2021 16:30:58</t>
  </si>
  <si>
    <t>31.07.2021 16:30:58</t>
  </si>
  <si>
    <t>Отчет комиссионера о продажах УТ000000349 от 31.07.2021 17:04:41</t>
  </si>
  <si>
    <t>31.07.2021 17:04:41</t>
  </si>
  <si>
    <t>Депозит DRM SS22</t>
  </si>
  <si>
    <t>ИП Гашокин Владимир Борисович</t>
  </si>
  <si>
    <t>ИП Журжалин Станислав Витальевич</t>
  </si>
  <si>
    <t>Депозит CON SS22</t>
  </si>
  <si>
    <t>Реализация товаров и услуг УТ000018841 от 05.08.2021 12:34:40</t>
  </si>
  <si>
    <t>05.08.2021 12:34:40</t>
  </si>
  <si>
    <t>Реализация товаров и услуг УТ000018842 от 05.08.2021 12:36:39</t>
  </si>
  <si>
    <t>05.08.2021 12:36:39</t>
  </si>
  <si>
    <t>Реализация товаров и услуг УТ000018840 от 05.08.2021 13:10:51</t>
  </si>
  <si>
    <t>05.08.2021 13:10:51</t>
  </si>
  <si>
    <t>депозит DRM SS22</t>
  </si>
  <si>
    <t>депозит UGG SS22</t>
  </si>
  <si>
    <t>25.05.2021 13:30:01</t>
  </si>
  <si>
    <t>01.06.2021 17:00:00</t>
  </si>
  <si>
    <t>04.06.2021 17:00:00</t>
  </si>
  <si>
    <t>04.06.2021 23:23:48</t>
  </si>
  <si>
    <t>17.06.2021 17:00:00</t>
  </si>
  <si>
    <t>21.06.2021 17:00:00</t>
  </si>
  <si>
    <t>21.06.2021 23:02:50</t>
  </si>
  <si>
    <t>28.06.2021 17:00:00</t>
  </si>
  <si>
    <t>06.07.2021 0:00:00</t>
  </si>
  <si>
    <t>06.07.2021 17:00:00</t>
  </si>
  <si>
    <t>06.07.2021 23:50:01</t>
  </si>
  <si>
    <t>06.07.2021 23:50:02</t>
  </si>
  <si>
    <t>12.07.2021 17:00:00</t>
  </si>
  <si>
    <t>12.07.2021 23:50:01</t>
  </si>
  <si>
    <t>12.07.2021 23:50:02</t>
  </si>
  <si>
    <t>12.07.2021 23:50:03</t>
  </si>
  <si>
    <t>19.07.2021 17:00:00</t>
  </si>
  <si>
    <t>20.07.2021 11:52:16</t>
  </si>
  <si>
    <t>20.07.2021 11:55:00</t>
  </si>
  <si>
    <t>06.08.2021 17:00:00</t>
  </si>
  <si>
    <t>06.08.2021 23:50:01</t>
  </si>
  <si>
    <t>06.08.2021 23:50:02</t>
  </si>
  <si>
    <t>май</t>
  </si>
  <si>
    <t>июнь</t>
  </si>
  <si>
    <t>июль</t>
  </si>
  <si>
    <t>12.08.2021 17:00:00</t>
  </si>
  <si>
    <t>12.08.2021 23:50:01</t>
  </si>
  <si>
    <t>12.08.2021 23:50:02</t>
  </si>
  <si>
    <t>ДОЛГ за июль!</t>
  </si>
  <si>
    <t>Реализация товаров и услуг УТ000018870 от 12.08.2021 13:37:54</t>
  </si>
  <si>
    <t>12.08.2021 13:37:54</t>
  </si>
  <si>
    <t>Платежное поручение входящее 00BF-005750 от 14.08.2021 17:00:00</t>
  </si>
  <si>
    <t>14.08.2021 17:00:00</t>
  </si>
  <si>
    <t>Реализация товаров и услуг УТ000018889 от 16.08.2021 10:40:16</t>
  </si>
  <si>
    <t>16.08.2021 10:40:16</t>
  </si>
  <si>
    <t>Реализация товаров и услуг УТ000026361 от 20.08.2021 0:00:00</t>
  </si>
  <si>
    <t>Реализация товаров и услуг УТ000026219 от 20.08.2021 11:33:02</t>
  </si>
  <si>
    <t>Реализация товаров и услуг УТ000026235 от 20.08.2021 11:36:30</t>
  </si>
  <si>
    <t>Реализация товаров и услуг УТ000026243 от 20.08.2021 11:39:00</t>
  </si>
  <si>
    <t>Реализация товаров и услуг УТ000026251 от 20.08.2021 11:40:29</t>
  </si>
  <si>
    <t>Реализация товаров и услуг УТ000026296 от 20.08.2021 11:51:07</t>
  </si>
  <si>
    <t>Реализация товаров и услуг УТ000026306 от 20.08.2021 12:00:00</t>
  </si>
  <si>
    <t>Реализация товаров и услуг УТ000026355 от 20.08.2021 12:27:52</t>
  </si>
  <si>
    <t>Реализация товаров и услуг УТ000026356 от 20.08.2021 12:34:11</t>
  </si>
  <si>
    <t>Реализация товаров и услуг УТ000026357 от 20.08.2021 12:42:12</t>
  </si>
  <si>
    <t>Реализация товаров и услуг УТ000026358 от 20.08.2021 12:45:40</t>
  </si>
  <si>
    <t>Реализация товаров и услуг УТ000026362 от 20.08.2021 14:11:33</t>
  </si>
  <si>
    <t>Реализация товаров и услуг УТ000026724 от 23.08.2021 11:51:43</t>
  </si>
  <si>
    <t>Реализация товаров и услуг УТ000026725 от 23.08.2021 11:54:34</t>
  </si>
  <si>
    <t>Реализация товаров и услуг УТ000026726 от 23.08.2021 11:56:13</t>
  </si>
  <si>
    <t>Реализация товаров и услуг УТ000026727 от 23.08.2021 12:00:08</t>
  </si>
  <si>
    <t>Реализация товаров и услуг УТ000026728 от 23.08.2021 12:01:54</t>
  </si>
  <si>
    <t>Депозит HAV SS22</t>
  </si>
  <si>
    <t>20.08.2021 0:00:00</t>
  </si>
  <si>
    <t>20.08.2021 11:33:02</t>
  </si>
  <si>
    <t>20.08.2021 11:36:30</t>
  </si>
  <si>
    <t>20.08.2021 11:39:00</t>
  </si>
  <si>
    <t>20.08.2021 11:40:29</t>
  </si>
  <si>
    <t>20.08.2021 11:51:07</t>
  </si>
  <si>
    <t>20.08.2021 12:00:00</t>
  </si>
  <si>
    <t>20.08.2021 12:27:52</t>
  </si>
  <si>
    <t>20.08.2021 12:34:11</t>
  </si>
  <si>
    <t>20.08.2021 12:42:12</t>
  </si>
  <si>
    <t>20.08.2021 12:45:40</t>
  </si>
  <si>
    <t>20.08.2021 14:11:33</t>
  </si>
  <si>
    <t>23.08.2021 11:51:43</t>
  </si>
  <si>
    <t>23.08.2021 11:54:34</t>
  </si>
  <si>
    <t>23.08.2021 11:56:13</t>
  </si>
  <si>
    <t>23.08.2021 12:00:08</t>
  </si>
  <si>
    <t>23.08.2021 12:01:54</t>
  </si>
  <si>
    <t>Реализация товаров и услуг УТ000026864 от 24.08.2021 11:54:22</t>
  </si>
  <si>
    <t>24.08.2021 11:54:22</t>
  </si>
  <si>
    <t>Реализация товаров и услуг УТ000026865 от 24.08.2021 11:56:09</t>
  </si>
  <si>
    <t>24.08.2021 11:56:09</t>
  </si>
  <si>
    <t>Реализация товаров и услуг УТ000027034 от 25.08.2021 13:35:23</t>
  </si>
  <si>
    <t>25.08.2021 13:35:23</t>
  </si>
  <si>
    <t>Реализация товаров и услуг УТ000027046 от 25.08.2021 17:19:55</t>
  </si>
  <si>
    <t>25.08.2021 17:19:55</t>
  </si>
  <si>
    <t>Реализация товаров и услуг УТ000027195 от 26.08.2021 11:33:57</t>
  </si>
  <si>
    <t>26.08.2021 11:33:57</t>
  </si>
  <si>
    <t>№  б/н от 18.01.2017</t>
  </si>
  <si>
    <t>Реализация товаров и услуг УТ000027196 от 26.08.2021 11:35:20</t>
  </si>
  <si>
    <t>26.08.2021 11:35:20</t>
  </si>
  <si>
    <t>Реализация товаров и услуг УТ000027454 от 27.08.2021 9:57:25</t>
  </si>
  <si>
    <t>27.08.2021 9:57:25</t>
  </si>
  <si>
    <t>Реализация товаров и услуг УТ000027456 от 27.08.2021 11:25:08</t>
  </si>
  <si>
    <t>27.08.2021 11:25:08</t>
  </si>
  <si>
    <t>Реализация товаров и услуг УТ000027459 от 27.08.2021 11:31:15</t>
  </si>
  <si>
    <t>27.08.2021 11:31:15</t>
  </si>
  <si>
    <t>Реализация товаров и услуг УТ000027460 от 27.08.2021 11:32:09</t>
  </si>
  <si>
    <t>27.08.2021 11:32:09</t>
  </si>
  <si>
    <t>Реализация товаров и услуг УТ000027461 от 27.08.2021 11:33:14</t>
  </si>
  <si>
    <t>27.08.2021 11:33:14</t>
  </si>
  <si>
    <t>Реализация товаров и услуг УТ000027462 от 27.08.2021 11:34:04</t>
  </si>
  <si>
    <t>27.08.2021 11:34:04</t>
  </si>
  <si>
    <t>Реализация товаров и услуг УТ000027463 от 27.08.2021 11:35:03</t>
  </si>
  <si>
    <t>27.08.2021 11:35:03</t>
  </si>
  <si>
    <t>27.08.2021 17:00:00</t>
  </si>
  <si>
    <t>Платежное поручение входящее 00BF-006047 от 27.08.2021 17:00:00</t>
  </si>
  <si>
    <t>Платежное поручение входящее 00BF-006048 от 27.08.2021 17:00:00</t>
  </si>
  <si>
    <t>ЭРГО СПОРТ ООО</t>
  </si>
  <si>
    <t>№ 363/2018 от 09.10.2018</t>
  </si>
  <si>
    <t>Отчет комиссионера о продажах УТ000000380 от 31.08.2021 14:48:58</t>
  </si>
  <si>
    <t>31.08.2021 14:48:58</t>
  </si>
  <si>
    <t>Отчет комиссионера о продажах УТ000000381 от 31.08.2021 14:49:46</t>
  </si>
  <si>
    <t>31.08.2021 14:49:46</t>
  </si>
  <si>
    <t>Отчет комиссионера о продажах УТ000000382 от 31.08.2021 14:50:46</t>
  </si>
  <si>
    <t>31.08.2021 14:50:46</t>
  </si>
  <si>
    <t>Отчет комиссионера о продажах УТ000000383 от 31.08.2021 14:51:32</t>
  </si>
  <si>
    <t>31.08.2021 14:51:32</t>
  </si>
  <si>
    <t>Отчет комиссионера о продажах УТ000000389 от 31.08.2021 16:10:41</t>
  </si>
  <si>
    <t>31.08.2021 16:10:41</t>
  </si>
  <si>
    <t>Отчет комиссионера о продажах УТ000000390 от 31.08.2021 16:14:22</t>
  </si>
  <si>
    <t>31.08.2021 16:14:22</t>
  </si>
  <si>
    <t>Отчет комиссионера о продажах УТ000000391 от 31.08.2021 16:30:46</t>
  </si>
  <si>
    <t>31.08.2021 16:30:46</t>
  </si>
  <si>
    <t>Отчет комиссионера о продажах УТ000000392 от 31.08.2021 16:35:09</t>
  </si>
  <si>
    <t>31.08.2021 16:35:09</t>
  </si>
  <si>
    <t>Отчет комиссионера о продажах УТ000000393 от 31.08.2021 16:46:33</t>
  </si>
  <si>
    <t>31.08.2021 16:46:33</t>
  </si>
  <si>
    <t>31.08.2021 17:00:00</t>
  </si>
  <si>
    <t>Отчет комиссионера о продажах УТ000000394 от 31.08.2021 17:08:57</t>
  </si>
  <si>
    <t>31.08.2021 17:08:57</t>
  </si>
  <si>
    <t>Отчет комиссионера о продажах УТ000000395 от 31.08.2021 17:43:09</t>
  </si>
  <si>
    <t>31.08.2021 17:43:09</t>
  </si>
  <si>
    <t>Отчет комиссионера о продажах УТ000000396 от 31.08.2021 17:57:34</t>
  </si>
  <si>
    <t>31.08.2021 17:57:34</t>
  </si>
  <si>
    <t>Реализация товаров и услуг УТ000028102 от 01.09.2021 0:00:00</t>
  </si>
  <si>
    <t>01.09.2021 0:00:00</t>
  </si>
  <si>
    <t>Реализация товаров и услуг УТ000028114 от 01.09.2021 0:00:00</t>
  </si>
  <si>
    <t>Реализация товаров и услуг УТ000028115 от 01.09.2021 0:00:00</t>
  </si>
  <si>
    <t>Реализация товаров и услуг УТ000028116 от 01.09.2021 0:00:00</t>
  </si>
  <si>
    <t>Дополнительное соглашение,55%,CONV,предзаказ</t>
  </si>
  <si>
    <t>Реализация товаров и услуг УТ000028117 от 01.09.2021 0:00:00</t>
  </si>
  <si>
    <t>Реализация товаров и услуг УТ000028118 от 01.09.2021 0:00:00</t>
  </si>
  <si>
    <t>№ 369/2018 от 28.11.2018</t>
  </si>
  <si>
    <t>Спорт-Люкс ООО</t>
  </si>
  <si>
    <t>Реализация товаров и услуг УТ000028466 от 02.09.2021 14:14:41</t>
  </si>
  <si>
    <t>02.09.2021 14:14:41</t>
  </si>
  <si>
    <t>Реализация товаров и услуг УТ000028468 от 02.09.2021 14:19:06</t>
  </si>
  <si>
    <t>02.09.2021 14:19:06</t>
  </si>
  <si>
    <t>Реализация товаров и услуг УТ000028469 от 02.09.2021 14:20:40</t>
  </si>
  <si>
    <t>02.09.2021 14:20:40</t>
  </si>
  <si>
    <t>Платежное поручение входящее 00BF-006155 от 02.09.2021 17:00:00</t>
  </si>
  <si>
    <t>Брикс ООО</t>
  </si>
  <si>
    <t>02.09.2021 17:00:00</t>
  </si>
  <si>
    <t>№ 326/2017 от 14.12.2017</t>
  </si>
  <si>
    <t>Реализация товаров и услуг УТ000028585 от 03.09.2021 14:43:02</t>
  </si>
  <si>
    <t>03.09.2021 14:43:02</t>
  </si>
  <si>
    <t>Реализация товаров и услуг УТ000028586 от 03.09.2021 14:46:06</t>
  </si>
  <si>
    <t>03.09.2021 14:46:06</t>
  </si>
  <si>
    <t>Реализация товаров и услуг УТ000028587 от 03.09.2021 14:46:44</t>
  </si>
  <si>
    <t>03.09.2021 14:46:44</t>
  </si>
  <si>
    <t>Реализация товаров и услуг УТ000028592 от 03.09.2021 17:07:43</t>
  </si>
  <si>
    <t>03.09.2021 17:07:43</t>
  </si>
  <si>
    <t>Реализация товаров и услуг УТ000028593 от 03.09.2021 17:09:58</t>
  </si>
  <si>
    <t>03.09.2021 17:09:58</t>
  </si>
  <si>
    <t>Реализация товаров и услуг УТ000028594 от 03.09.2021 17:11:00</t>
  </si>
  <si>
    <t>03.09.2021 17:11:00</t>
  </si>
  <si>
    <t>Реализация товаров и услуг УТ000028597 от 03.09.2021 17:31:46</t>
  </si>
  <si>
    <t>03.09.2021 17:31:46</t>
  </si>
  <si>
    <t>Реализация товаров и услуг УТ000028598 от 03.09.2021 17:33:14</t>
  </si>
  <si>
    <t>03.09.2021 17:33:14</t>
  </si>
  <si>
    <t>Реализация товаров и услуг УТ000028599 от 03.09.2021 17:34:35</t>
  </si>
  <si>
    <t>03.09.2021 17:34:35</t>
  </si>
  <si>
    <t>Реализация товаров и услуг УТ000028600 от 03.09.2021 17:37:04</t>
  </si>
  <si>
    <t>03.09.2021 17:37:04</t>
  </si>
  <si>
    <t>Реализация товаров и услуг УТ000028601 от 03.09.2021 17:39:09</t>
  </si>
  <si>
    <t>03.09.2021 17:39:09</t>
  </si>
  <si>
    <t>Реализация товаров и услуг УТ000028602 от 03.09.2021 17:40:00</t>
  </si>
  <si>
    <t>03.09.2021 17:40:00</t>
  </si>
  <si>
    <t>Реализация товаров и услуг УТ000028603 от 03.09.2021 17:41:20</t>
  </si>
  <si>
    <t>03.09.2021 17:41:20</t>
  </si>
  <si>
    <t>Реализация товаров и услуг УТ000028604 от 03.09.2021 17:49:57</t>
  </si>
  <si>
    <t>03.09.2021 17:49:57</t>
  </si>
  <si>
    <t>Реализация товаров и услуг УТ000028605 от 03.09.2021 17:52:34</t>
  </si>
  <si>
    <t>03.09.2021 17:52:34</t>
  </si>
  <si>
    <t>Реализация товаров и услуг УТ000028708 от 06.09.2021 10:25:41</t>
  </si>
  <si>
    <t>06.09.2021 10:25:41</t>
  </si>
  <si>
    <t>Реализация товаров и услуг УТ000028709 от 06.09.2021 12:43:36</t>
  </si>
  <si>
    <t>06.09.2021 12:43:36</t>
  </si>
  <si>
    <t>06.09.2021 17:00:00</t>
  </si>
  <si>
    <t>Реализация товаров и услуг УТ000028710 от 06.09.2021 17:21:03</t>
  </si>
  <si>
    <t>06.09.2021 17:21:03</t>
  </si>
  <si>
    <t>Реализация товаров и услуг УТ000028711 от 06.09.2021 19:49:41</t>
  </si>
  <si>
    <t>06.09.2021 19:49:41</t>
  </si>
  <si>
    <t>Реализация товаров и услуг УТ000028712 от 06.09.2021 19:52:42</t>
  </si>
  <si>
    <t>06.09.2021 19:52:42</t>
  </si>
  <si>
    <t xml:space="preserve"> Период оплаты:</t>
  </si>
  <si>
    <t>Сумма оплаты с НДС, руб</t>
  </si>
  <si>
    <t xml:space="preserve"> С 28.08.2021  –  31.08.2021</t>
  </si>
  <si>
    <t>С 01.09.2021 – 30.09.2021</t>
  </si>
  <si>
    <t>С 01.10.2021 – 30.10.2021</t>
  </si>
  <si>
    <t xml:space="preserve">Итого сумма оплаты: </t>
  </si>
  <si>
    <t>ДС</t>
  </si>
  <si>
    <t>31.08.2021 23:50:01</t>
  </si>
  <si>
    <t>31.08.2021 23:50:02</t>
  </si>
  <si>
    <t>06.09.2021 23:50:03</t>
  </si>
  <si>
    <t>06.09.2021 23:50:04</t>
  </si>
  <si>
    <t>06.09.2021 23:50:05</t>
  </si>
  <si>
    <t>Реализация товаров и услуг УТ000018149 от 19.07.2021 13:52:21</t>
  </si>
  <si>
    <t>19.07.2021 13:52:21</t>
  </si>
  <si>
    <t>Платежное поручение входящее 00BF-006265 от 07.09.2021 17:00:00</t>
  </si>
  <si>
    <t>07.09.2021 17:00:00</t>
  </si>
  <si>
    <t>Реализация товаров и услуг УТ000028725 от 09.09.2021 0:00:00</t>
  </si>
  <si>
    <t>09.09.2021 0:00:00</t>
  </si>
  <si>
    <t>Реализация товаров и услуг УТ000028734 от 09.09.2021 11:50:22</t>
  </si>
  <si>
    <t>09.09.2021 11:50:22</t>
  </si>
  <si>
    <t>Реализация товаров и услуг УТ000028735 от 09.09.2021 12:11:50</t>
  </si>
  <si>
    <t>09.09.2021 12:11:50</t>
  </si>
  <si>
    <t>Реализация товаров и услуг УТ000028736 от 09.09.2021 12:12:36</t>
  </si>
  <si>
    <t>09.09.2021 12:12:36</t>
  </si>
  <si>
    <t>Реализация товаров и услуг УТ000028724 от 09.09.2021 12:47:05</t>
  </si>
  <si>
    <t>09.09.2021 12:47:05</t>
  </si>
  <si>
    <t>Реализация товаров и услуг УТ000028737 от 09.09.2021 13:40:59</t>
  </si>
  <si>
    <t>09.09.2021 13:40:59</t>
  </si>
  <si>
    <t>Реализация товаров и услуг УТ000028738 от 09.09.2021 13:42:42</t>
  </si>
  <si>
    <t>09.09.2021 13:42:42</t>
  </si>
  <si>
    <t>Реализация товаров и услуг УТ000028739 от 09.09.2021 13:43:56</t>
  </si>
  <si>
    <t>09.09.2021 13:43:56</t>
  </si>
  <si>
    <t>Реализация товаров и услуг УТ000028740 от 09.09.2021 16:03:59</t>
  </si>
  <si>
    <t>09.09.2021 16:03:59</t>
  </si>
  <si>
    <t>Реализация товаров и услуг УТ000028741 от 09.09.2021 16:05:43</t>
  </si>
  <si>
    <t>09.09.2021 16:05:43</t>
  </si>
  <si>
    <t>09.09.2021 17:00:00</t>
  </si>
  <si>
    <t>Платежное поручение входящее 00BF-006328 от 09.09.2021 17:00:00</t>
  </si>
  <si>
    <t>Реализация товаров и услуг УТ000028742 от 09.09.2021 18:32:37</t>
  </si>
  <si>
    <t>09.09.2021 18:32:37</t>
  </si>
  <si>
    <t>Реализация товаров и услуг УТ000028743 от 09.09.2021 18:35:19</t>
  </si>
  <si>
    <t>09.09.2021 18:35:19</t>
  </si>
  <si>
    <t>Реализация товаров и услуг УТ000028757 от 10.09.2021 12:03:22</t>
  </si>
  <si>
    <t>10.09.2021 12:03:22</t>
  </si>
  <si>
    <t>Реализация товаров и услуг УТ000028758 от 10.09.2021 12:08:45</t>
  </si>
  <si>
    <t>10.09.2021 12:08:45</t>
  </si>
  <si>
    <t>Реализация товаров и услуг УТ000028761 от 10.09.2021 13:37:05</t>
  </si>
  <si>
    <t>10.09.2021 13:37:05</t>
  </si>
  <si>
    <t>Реализация товаров и услуг УТ000028774 от 13.09.2021 11:24:02</t>
  </si>
  <si>
    <t>13.09.2021 11:24:02</t>
  </si>
  <si>
    <t>Реализация товаров и услуг УТ000028775 от 13.09.2021 11:30:09</t>
  </si>
  <si>
    <t>13.09.2021 11:30:09</t>
  </si>
  <si>
    <t>Платежное поручение входящее 00BF-006414 от 13.09.2021 17:00:00</t>
  </si>
  <si>
    <t>13.09.2021 17:00:00</t>
  </si>
  <si>
    <t>№ 392/2019 от 23.07.2019</t>
  </si>
  <si>
    <t>Платежное поручение входящее 00BF-006416 от 13.09.2021 17:00:00</t>
  </si>
  <si>
    <t>Платежное поручение входящее 00BF-006417 от 13.09.2021 17:00:00</t>
  </si>
  <si>
    <t>Платежное поручение входящее 00BF-006419 от 13.09.2021 17:00:00</t>
  </si>
  <si>
    <t>Платежное поручение входящее УТ000000227 от 13.09.2021 23:59:59</t>
  </si>
  <si>
    <t>13.09.2021 23:59:59</t>
  </si>
  <si>
    <t>Платежное поручение входящее 00BF-006442 от 14.09.2021 17:00:00</t>
  </si>
  <si>
    <t>14.09.2021 17:00:00</t>
  </si>
  <si>
    <t>Платежное поручение входящее 00BF-006444 от 14.09.2021 17:00:00</t>
  </si>
  <si>
    <t>№ 433/2020 от 13.08.2020</t>
  </si>
  <si>
    <t>Платежное поручение входящее 00BF-006445 от 14.09.2021 17:00:00</t>
  </si>
  <si>
    <t>Платежное поручение входящее 00BF-006446 от 14.09.2021 17:00:00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</si>
</sst>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₽_-;\-* #,##0.00\ _₽_-;_-* &quot;-&quot;??\ _₽_-;_-@_-"/>
    <numFmt numFmtId="164" formatCode="_-* #,##0.00_-;\-* #,##0.00_-;_-* &quot;-&quot;??_-;_-@_-"/>
    <numFmt numFmtId="165" formatCode="_-* #,##0_р_._-;\-* #,##0_р_._-;_-* &quot;-&quot;??_р_._-;_-@_-"/>
    <numFmt numFmtId="166" formatCode="#,###;\(#,##0\)"/>
    <numFmt numFmtId="167" formatCode="_-* #,##0_-;\-* #,##0_-;_-* &quot;-&quot;??_-;_-@_-"/>
    <numFmt numFmtId="168" formatCode="0000000000"/>
  </numFmts>
  <fonts count="65" x14ac:knownFonts="1">
    <font>
      <sz val="8"/>
      <name val="Arial"/>
    </font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0"/>
      <name val="Arial"/>
      <family val="2"/>
    </font>
    <font>
      <sz val="8"/>
      <name val="Arial"/>
      <family val="2"/>
      <charset val="204"/>
    </font>
    <font>
      <b/>
      <sz val="11"/>
      <color theme="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name val="Arial"/>
      <family val="2"/>
      <charset val="204"/>
    </font>
    <font>
      <sz val="8"/>
      <name val="Arial"/>
      <family val="2"/>
      <charset val="204"/>
    </font>
    <font>
      <sz val="9"/>
      <name val="Arial"/>
      <family val="2"/>
    </font>
    <font>
      <b/>
      <sz val="8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theme="0"/>
      <name val="Calibri"/>
      <family val="2"/>
      <charset val="204"/>
      <scheme val="minor"/>
    </font>
    <font>
      <b/>
      <sz val="9"/>
      <color rgb="FFFF000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color theme="0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FF0000"/>
      <name val="Arial"/>
      <family val="2"/>
      <charset val="204"/>
    </font>
    <font>
      <sz val="8"/>
      <name val="Consolas"/>
      <family val="3"/>
      <charset val="204"/>
    </font>
    <font>
      <b/>
      <sz val="8"/>
      <name val="Consolas"/>
      <family val="3"/>
      <charset val="204"/>
    </font>
    <font>
      <sz val="10"/>
      <color theme="1"/>
      <name val="Arial"/>
      <family val="2"/>
    </font>
    <font>
      <sz val="11"/>
      <name val="Calibri"/>
      <family val="2"/>
    </font>
    <font>
      <sz val="10"/>
      <color theme="1"/>
      <name val="Arial"/>
      <family val="2"/>
      <charset val="204"/>
    </font>
    <font>
      <b/>
      <sz val="11"/>
      <name val="Calibri"/>
      <family val="2"/>
    </font>
    <font>
      <b/>
      <sz val="10"/>
      <color theme="1"/>
      <name val="Arial"/>
      <family val="2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b/>
      <sz val="10"/>
      <name val="Calibri"/>
      <family val="2"/>
      <charset val="204"/>
      <scheme val="minor"/>
    </font>
    <font>
      <b/>
      <sz val="11"/>
      <color theme="0"/>
      <name val="Calibri"/>
      <family val="2"/>
      <charset val="204"/>
    </font>
    <font>
      <b/>
      <sz val="12"/>
      <name val="Arial"/>
      <family val="2"/>
      <charset val="204"/>
    </font>
    <font>
      <sz val="10"/>
      <color indexed="21"/>
      <name val="Arial"/>
      <family val="2"/>
      <charset val="204"/>
    </font>
    <font>
      <sz val="9"/>
      <color indexed="21"/>
      <name val="Arial"/>
      <family val="2"/>
      <charset val="204"/>
    </font>
    <font>
      <sz val="9"/>
      <color indexed="10"/>
      <name val="Arial"/>
      <family val="2"/>
      <charset val="204"/>
    </font>
    <font>
      <b/>
      <sz val="10"/>
      <color indexed="21"/>
      <name val="Arial"/>
      <family val="2"/>
      <charset val="204"/>
    </font>
    <font>
      <sz val="11"/>
      <color rgb="FFFF0000"/>
      <name val="Calibri"/>
      <family val="2"/>
      <charset val="204"/>
      <scheme val="minor"/>
    </font>
    <font>
      <b/>
      <u/>
      <sz val="8"/>
      <name val="Arial"/>
      <family val="2"/>
      <charset val="204"/>
    </font>
    <font>
      <i/>
      <sz val="8"/>
      <color rgb="FFFF0000"/>
      <name val="Arial"/>
      <family val="2"/>
      <charset val="204"/>
    </font>
    <font>
      <b/>
      <sz val="9"/>
      <name val="Arial"/>
      <family val="2"/>
      <charset val="204"/>
    </font>
    <font>
      <sz val="8"/>
      <color rgb="FFFF0000"/>
      <name val="Arial"/>
      <family val="2"/>
      <charset val="204"/>
    </font>
    <font>
      <sz val="8"/>
      <color rgb="FFC00000"/>
      <name val="Arial"/>
      <family val="2"/>
      <charset val="204"/>
    </font>
    <font>
      <sz val="9"/>
      <color rgb="FFC00000"/>
      <name val="Arial"/>
      <family val="2"/>
    </font>
    <font>
      <b/>
      <sz val="8"/>
      <color rgb="FF0070C0"/>
      <name val="Arial"/>
      <family val="2"/>
      <charset val="204"/>
    </font>
    <font>
      <b/>
      <sz val="10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b/>
      <sz val="9"/>
      <color rgb="FF0070C0"/>
      <name val="Arial"/>
      <family val="2"/>
      <charset val="204"/>
    </font>
    <font>
      <sz val="10"/>
      <color indexed="63"/>
      <name val="Arial"/>
      <family val="2"/>
      <charset val="204"/>
    </font>
    <font>
      <sz val="8"/>
      <color indexed="63"/>
      <name val="Arial"/>
      <family val="2"/>
    </font>
    <font>
      <sz val="8"/>
      <name val="Arial"/>
      <family val="2"/>
      <charset val="204"/>
    </font>
    <font>
      <b/>
      <sz val="12"/>
      <name val="Arial"/>
      <family val="2"/>
      <charset val="204"/>
    </font>
    <font>
      <sz val="10"/>
      <color indexed="24"/>
      <name val="Arial"/>
      <family val="2"/>
      <charset val="204"/>
    </font>
    <font>
      <sz val="9"/>
      <color indexed="24"/>
      <name val="Arial"/>
      <family val="2"/>
      <charset val="204"/>
    </font>
    <font>
      <sz val="9"/>
      <name val="Arial"/>
      <family val="2"/>
      <charset val="204"/>
    </font>
    <font>
      <sz val="10"/>
      <color indexed="24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8"/>
      <color rgb="FFC00000"/>
      <name val="Arial"/>
      <family val="2"/>
      <charset val="204"/>
    </font>
    <font>
      <b/>
      <sz val="10"/>
      <color rgb="FFC00000"/>
      <name val="Calibri"/>
      <family val="2"/>
      <charset val="204"/>
      <scheme val="minor"/>
    </font>
    <font>
      <b/>
      <sz val="10"/>
      <color theme="0"/>
      <name val="Arial"/>
      <family val="2"/>
      <charset val="204"/>
    </font>
    <font>
      <sz val="11"/>
      <color theme="0"/>
      <name val="Arial"/>
      <family val="2"/>
      <charset val="204"/>
    </font>
    <font>
      <sz val="8"/>
      <color indexed="59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  <charset val="204"/>
    </font>
    <font>
      <sz val="10"/>
      <name val="Arial"/>
    </font>
    <font>
      <sz val="10"/>
      <color rgb="FF0070C0"/>
      <name val="Arial"/>
    </font>
    <font>
      <sz val="10"/>
      <color rgb="FFC00000"/>
      <name val="Arial"/>
    </font>
  </fonts>
  <fills count="32">
    <fill>
      <patternFill patternType="none"/>
    </fill>
    <fill>
      <patternFill patternType="gray125"/>
    </fill>
    <fill>
      <patternFill patternType="solid">
        <fgColor rgb="FFF4ECC5"/>
        <bgColor auto="1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DCE6F1"/>
        <bgColor theme="4" tint="0.79998168889431442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rgb="FFCCC085"/>
      </left>
      <right style="thin">
        <color rgb="FFCCC085"/>
      </right>
      <top style="thin">
        <color rgb="FFCCC085"/>
      </top>
      <bottom/>
      <diagonal/>
    </border>
    <border>
      <left style="thin">
        <color rgb="FFCCC085"/>
      </left>
      <right style="thin">
        <color rgb="FFCCC085"/>
      </right>
      <top style="thin">
        <color rgb="FFCCC085"/>
      </top>
      <bottom style="thin">
        <color rgb="FFCCC085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/>
      <diagonal/>
    </border>
    <border>
      <left style="thin">
        <color indexed="60"/>
      </left>
      <right style="thin">
        <color indexed="60"/>
      </right>
      <top/>
      <bottom/>
      <diagonal/>
    </border>
    <border>
      <left style="thin">
        <color indexed="60"/>
      </left>
      <right style="thin">
        <color indexed="60"/>
      </right>
      <top/>
      <bottom style="thin">
        <color indexed="60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29"/>
      </left>
      <right style="thin">
        <color indexed="29"/>
      </right>
      <top style="thin">
        <color indexed="29"/>
      </top>
      <bottom style="thin">
        <color indexed="2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 style="thin">
        <color rgb="FFCCC085"/>
      </left>
      <right/>
      <top/>
      <bottom/>
      <diagonal/>
    </border>
    <border>
      <left style="thin">
        <color rgb="FFCCC085"/>
      </left>
      <right style="thin">
        <color rgb="FFCCC085"/>
      </right>
      <top/>
      <bottom/>
      <diagonal/>
    </border>
    <border>
      <left style="thin">
        <color rgb="FFCCC085"/>
      </left>
      <right style="thin">
        <color rgb="FFCCC085"/>
      </right>
      <top/>
      <bottom style="thin">
        <color rgb="FFCCC085"/>
      </bottom>
      <diagonal/>
    </border>
    <border>
      <left style="thin">
        <color rgb="FFCCC085"/>
      </left>
      <right/>
      <top/>
      <bottom style="thin">
        <color rgb="FFCCC085"/>
      </bottom>
      <diagonal/>
    </border>
    <border>
      <left style="thin">
        <color rgb="FFCCC085"/>
      </left>
      <right/>
      <top style="thin">
        <color rgb="FFCCC085"/>
      </top>
      <bottom style="thin">
        <color rgb="FFCCC085"/>
      </bottom>
      <diagonal/>
    </border>
    <border>
      <left/>
      <right/>
      <top/>
      <bottom style="double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6"/>
      </left>
      <right style="thin">
        <color indexed="26"/>
      </right>
      <top style="thin">
        <color indexed="26"/>
      </top>
      <bottom style="thin">
        <color indexed="26"/>
      </bottom>
      <diagonal/>
    </border>
    <border>
      <left style="thin">
        <color indexed="26"/>
      </left>
      <right style="thin">
        <color indexed="26"/>
      </right>
      <top style="thin">
        <color indexed="26"/>
      </top>
      <bottom/>
      <diagonal/>
    </border>
    <border>
      <left style="thin">
        <color indexed="26"/>
      </left>
      <right/>
      <top/>
      <bottom style="thin">
        <color indexed="26"/>
      </bottom>
      <diagonal/>
    </border>
    <border>
      <left style="thin">
        <color indexed="26"/>
      </left>
      <right style="thin">
        <color indexed="26"/>
      </right>
      <top/>
      <bottom style="thin">
        <color indexed="26"/>
      </bottom>
      <diagonal/>
    </border>
    <border>
      <left style="thin">
        <color indexed="29"/>
      </left>
      <right/>
      <top style="thin">
        <color indexed="29"/>
      </top>
      <bottom style="thin">
        <color indexed="29"/>
      </bottom>
      <diagonal/>
    </border>
    <border>
      <left style="thin">
        <color indexed="26"/>
      </left>
      <right/>
      <top style="thin">
        <color indexed="26"/>
      </top>
      <bottom/>
      <diagonal/>
    </border>
    <border>
      <left/>
      <right/>
      <top style="thin">
        <color indexed="26"/>
      </top>
      <bottom/>
      <diagonal/>
    </border>
    <border>
      <left style="thin">
        <color indexed="55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4">
    <xf numFmtId="0" fontId="0" fillId="0" borderId="0"/>
    <xf numFmtId="164" fontId="4" fillId="0" borderId="0" applyFont="0" applyFill="0" applyBorder="0" applyAlignment="0" applyProtection="0"/>
    <xf numFmtId="0" fontId="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</cellStyleXfs>
  <cellXfs count="412">
    <xf numFmtId="0" fontId="0" fillId="0" borderId="0" xfId="0"/>
    <xf numFmtId="0" fontId="0" fillId="0" borderId="0" xfId="0" applyAlignment="1">
      <alignment horizontal="left"/>
    </xf>
    <xf numFmtId="0" fontId="3" fillId="0" borderId="0" xfId="0" applyFont="1" applyAlignment="1">
      <alignment horizontal="left" vertical="top"/>
    </xf>
    <xf numFmtId="0" fontId="0" fillId="0" borderId="0" xfId="0" applyAlignment="1"/>
    <xf numFmtId="3" fontId="0" fillId="0" borderId="2" xfId="0" applyNumberFormat="1" applyBorder="1" applyAlignment="1">
      <alignment horizontal="right" vertical="top" indent="1"/>
    </xf>
    <xf numFmtId="0" fontId="7" fillId="0" borderId="0" xfId="0" applyFont="1" applyAlignment="1"/>
    <xf numFmtId="0" fontId="8" fillId="0" borderId="0" xfId="0" applyFont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 indent="1"/>
    </xf>
    <xf numFmtId="3" fontId="0" fillId="0" borderId="0" xfId="0" applyNumberFormat="1"/>
    <xf numFmtId="0" fontId="0" fillId="4" borderId="0" xfId="0" applyFill="1" applyAlignment="1"/>
    <xf numFmtId="0" fontId="1" fillId="0" borderId="0" xfId="2"/>
    <xf numFmtId="0" fontId="1" fillId="0" borderId="0" xfId="2" applyAlignment="1">
      <alignment horizontal="left"/>
    </xf>
    <xf numFmtId="0" fontId="9" fillId="6" borderId="0" xfId="0" applyFont="1" applyFill="1" applyAlignment="1">
      <alignment horizontal="center" vertical="top"/>
    </xf>
    <xf numFmtId="0" fontId="12" fillId="5" borderId="0" xfId="0" applyFont="1" applyFill="1" applyAlignment="1">
      <alignment horizontal="center" vertical="center" wrapText="1"/>
    </xf>
    <xf numFmtId="3" fontId="12" fillId="5" borderId="0" xfId="0" applyNumberFormat="1" applyFont="1" applyFill="1" applyAlignment="1">
      <alignment horizontal="center" vertical="center" wrapText="1"/>
    </xf>
    <xf numFmtId="14" fontId="0" fillId="4" borderId="0" xfId="0" applyNumberFormat="1" applyFill="1" applyAlignment="1"/>
    <xf numFmtId="0" fontId="0" fillId="0" borderId="0" xfId="0" applyAlignment="1">
      <alignment horizontal="center"/>
    </xf>
    <xf numFmtId="0" fontId="10" fillId="2" borderId="1" xfId="0" applyFont="1" applyFill="1" applyBorder="1" applyAlignment="1">
      <alignment horizontal="center" vertical="center" wrapText="1"/>
    </xf>
    <xf numFmtId="3" fontId="0" fillId="0" borderId="0" xfId="0" applyNumberFormat="1" applyAlignment="1"/>
    <xf numFmtId="164" fontId="15" fillId="9" borderId="0" xfId="1" applyFont="1" applyFill="1" applyBorder="1" applyAlignment="1">
      <alignment horizontal="left" vertical="center" wrapText="1" indent="1"/>
    </xf>
    <xf numFmtId="164" fontId="15" fillId="9" borderId="10" xfId="1" applyFont="1" applyFill="1" applyBorder="1" applyAlignment="1">
      <alignment horizontal="left" vertical="center" wrapText="1" indent="1"/>
    </xf>
    <xf numFmtId="0" fontId="0" fillId="10" borderId="0" xfId="0" applyFill="1" applyAlignment="1"/>
    <xf numFmtId="3" fontId="0" fillId="10" borderId="0" xfId="0" applyNumberFormat="1" applyFill="1" applyAlignment="1"/>
    <xf numFmtId="0" fontId="16" fillId="5" borderId="12" xfId="0" applyFont="1" applyFill="1" applyBorder="1" applyAlignment="1">
      <alignment horizontal="center" vertical="center" wrapText="1"/>
    </xf>
    <xf numFmtId="0" fontId="16" fillId="5" borderId="13" xfId="0" applyFont="1" applyFill="1" applyBorder="1" applyAlignment="1">
      <alignment horizontal="center" vertical="center" wrapText="1"/>
    </xf>
    <xf numFmtId="0" fontId="16" fillId="5" borderId="14" xfId="0" applyFont="1" applyFill="1" applyBorder="1" applyAlignment="1">
      <alignment horizontal="center" vertical="center" wrapText="1"/>
    </xf>
    <xf numFmtId="0" fontId="0" fillId="10" borderId="0" xfId="0" applyFill="1" applyAlignment="1">
      <alignment horizontal="left" indent="1"/>
    </xf>
    <xf numFmtId="0" fontId="0" fillId="0" borderId="8" xfId="0" applyFill="1" applyBorder="1" applyAlignment="1">
      <alignment horizontal="left" indent="1"/>
    </xf>
    <xf numFmtId="0" fontId="0" fillId="0" borderId="11" xfId="0" applyFill="1" applyBorder="1" applyAlignment="1">
      <alignment horizontal="left" indent="1"/>
    </xf>
    <xf numFmtId="0" fontId="0" fillId="0" borderId="0" xfId="0" pivotButton="1" applyAlignment="1">
      <alignment horizontal="center"/>
    </xf>
    <xf numFmtId="3" fontId="0" fillId="0" borderId="0" xfId="0" applyNumberFormat="1" applyFill="1"/>
    <xf numFmtId="0" fontId="10" fillId="0" borderId="0" xfId="0" applyFont="1"/>
    <xf numFmtId="3" fontId="10" fillId="0" borderId="0" xfId="0" applyNumberFormat="1" applyFont="1" applyFill="1"/>
    <xf numFmtId="3" fontId="10" fillId="11" borderId="0" xfId="0" applyNumberFormat="1" applyFont="1" applyFill="1"/>
    <xf numFmtId="0" fontId="18" fillId="0" borderId="0" xfId="0" applyFont="1"/>
    <xf numFmtId="3" fontId="0" fillId="0" borderId="0" xfId="0" applyNumberFormat="1" applyAlignment="1">
      <alignment horizontal="right" indent="1"/>
    </xf>
    <xf numFmtId="0" fontId="10" fillId="0" borderId="0" xfId="0" applyFont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0" fillId="13" borderId="0" xfId="0" applyFont="1" applyFill="1" applyAlignment="1">
      <alignment horizontal="center" vertical="center"/>
    </xf>
    <xf numFmtId="3" fontId="10" fillId="13" borderId="0" xfId="0" applyNumberFormat="1" applyFont="1" applyFill="1" applyAlignment="1">
      <alignment horizontal="center" vertical="center"/>
    </xf>
    <xf numFmtId="0" fontId="18" fillId="0" borderId="0" xfId="0" applyFont="1" applyAlignment="1">
      <alignment horizontal="left"/>
    </xf>
    <xf numFmtId="0" fontId="15" fillId="0" borderId="0" xfId="0" applyFont="1"/>
    <xf numFmtId="0" fontId="19" fillId="0" borderId="0" xfId="0" applyFont="1" applyAlignment="1">
      <alignment horizontal="center" vertical="center"/>
    </xf>
    <xf numFmtId="3" fontId="0" fillId="13" borderId="0" xfId="0" applyNumberFormat="1" applyFill="1"/>
    <xf numFmtId="3" fontId="10" fillId="13" borderId="0" xfId="0" applyNumberFormat="1" applyFont="1" applyFill="1"/>
    <xf numFmtId="0" fontId="10" fillId="13" borderId="0" xfId="0" applyFont="1" applyFill="1"/>
    <xf numFmtId="0" fontId="0" fillId="0" borderId="0" xfId="0" applyFill="1"/>
    <xf numFmtId="0" fontId="2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5" borderId="0" xfId="2" applyFont="1" applyFill="1" applyAlignment="1">
      <alignment horizontal="center" vertical="center" wrapText="1"/>
    </xf>
    <xf numFmtId="0" fontId="10" fillId="7" borderId="0" xfId="0" applyFont="1" applyFill="1" applyAlignment="1">
      <alignment horizontal="center" vertical="center"/>
    </xf>
    <xf numFmtId="0" fontId="6" fillId="0" borderId="0" xfId="2" applyFont="1" applyAlignment="1">
      <alignment vertical="center" wrapText="1"/>
    </xf>
    <xf numFmtId="3" fontId="10" fillId="7" borderId="0" xfId="0" applyNumberFormat="1" applyFont="1" applyFill="1" applyAlignment="1">
      <alignment horizontal="center" vertical="center"/>
    </xf>
    <xf numFmtId="3" fontId="10" fillId="7" borderId="0" xfId="0" applyNumberFormat="1" applyFont="1" applyFill="1"/>
    <xf numFmtId="0" fontId="22" fillId="14" borderId="4" xfId="3" applyFont="1" applyFill="1" applyBorder="1"/>
    <xf numFmtId="0" fontId="24" fillId="16" borderId="4" xfId="3" applyFont="1" applyFill="1" applyBorder="1"/>
    <xf numFmtId="0" fontId="0" fillId="0" borderId="0" xfId="0" applyFill="1" applyAlignment="1"/>
    <xf numFmtId="3" fontId="0" fillId="0" borderId="0" xfId="0" applyNumberFormat="1" applyFill="1" applyAlignment="1">
      <alignment horizontal="right" indent="1"/>
    </xf>
    <xf numFmtId="0" fontId="16" fillId="5" borderId="5" xfId="0" applyFont="1" applyFill="1" applyBorder="1" applyAlignment="1">
      <alignment horizontal="center" vertical="center" wrapText="1"/>
    </xf>
    <xf numFmtId="0" fontId="16" fillId="5" borderId="6" xfId="0" applyFont="1" applyFill="1" applyBorder="1" applyAlignment="1">
      <alignment horizontal="center" vertical="center" wrapText="1"/>
    </xf>
    <xf numFmtId="0" fontId="0" fillId="7" borderId="7" xfId="0" applyFill="1" applyBorder="1" applyAlignment="1">
      <alignment horizontal="left" indent="1"/>
    </xf>
    <xf numFmtId="0" fontId="0" fillId="7" borderId="8" xfId="0" applyFill="1" applyBorder="1" applyAlignment="1">
      <alignment horizontal="left" indent="1"/>
    </xf>
    <xf numFmtId="0" fontId="0" fillId="7" borderId="9" xfId="0" applyFill="1" applyBorder="1" applyAlignment="1">
      <alignment horizontal="left" indent="1"/>
    </xf>
    <xf numFmtId="0" fontId="0" fillId="7" borderId="11" xfId="0" applyFill="1" applyBorder="1" applyAlignment="1">
      <alignment horizontal="left" indent="1"/>
    </xf>
    <xf numFmtId="0" fontId="0" fillId="17" borderId="8" xfId="0" applyFill="1" applyBorder="1" applyAlignment="1">
      <alignment horizontal="left" indent="1"/>
    </xf>
    <xf numFmtId="0" fontId="0" fillId="17" borderId="7" xfId="0" applyFill="1" applyBorder="1" applyAlignment="1">
      <alignment horizontal="left" indent="1"/>
    </xf>
    <xf numFmtId="0" fontId="0" fillId="17" borderId="9" xfId="0" applyFill="1" applyBorder="1" applyAlignment="1">
      <alignment horizontal="left" indent="1"/>
    </xf>
    <xf numFmtId="0" fontId="0" fillId="17" borderId="11" xfId="0" applyFill="1" applyBorder="1" applyAlignment="1">
      <alignment horizontal="left" indent="1"/>
    </xf>
    <xf numFmtId="3" fontId="23" fillId="14" borderId="4" xfId="0" applyNumberFormat="1" applyFont="1" applyFill="1" applyBorder="1"/>
    <xf numFmtId="3" fontId="23" fillId="15" borderId="4" xfId="0" applyNumberFormat="1" applyFont="1" applyFill="1" applyBorder="1"/>
    <xf numFmtId="3" fontId="25" fillId="16" borderId="4" xfId="0" applyNumberFormat="1" applyFont="1" applyFill="1" applyBorder="1"/>
    <xf numFmtId="3" fontId="14" fillId="16" borderId="4" xfId="0" applyNumberFormat="1" applyFont="1" applyFill="1" applyBorder="1"/>
    <xf numFmtId="0" fontId="10" fillId="2" borderId="2" xfId="0" applyFont="1" applyFill="1" applyBorder="1" applyAlignment="1">
      <alignment horizontal="center" vertical="center" wrapText="1"/>
    </xf>
    <xf numFmtId="9" fontId="27" fillId="0" borderId="0" xfId="0" applyNumberFormat="1" applyFont="1" applyAlignment="1">
      <alignment horizontal="justify" vertical="center"/>
    </xf>
    <xf numFmtId="0" fontId="26" fillId="0" borderId="0" xfId="0" applyFont="1" applyAlignment="1">
      <alignment horizontal="justify" vertical="center"/>
    </xf>
    <xf numFmtId="9" fontId="26" fillId="0" borderId="0" xfId="0" applyNumberFormat="1" applyFont="1" applyAlignment="1">
      <alignment horizontal="right" vertical="center" indent="1"/>
    </xf>
    <xf numFmtId="0" fontId="28" fillId="0" borderId="0" xfId="0" applyFont="1"/>
    <xf numFmtId="0" fontId="3" fillId="19" borderId="18" xfId="4" applyNumberFormat="1" applyFont="1" applyFill="1" applyBorder="1" applyAlignment="1">
      <alignment vertical="top"/>
    </xf>
    <xf numFmtId="0" fontId="2" fillId="0" borderId="18" xfId="4" applyNumberFormat="1" applyFont="1" applyBorder="1" applyAlignment="1">
      <alignment vertical="top"/>
    </xf>
    <xf numFmtId="3" fontId="2" fillId="0" borderId="18" xfId="4" applyNumberFormat="1" applyFont="1" applyBorder="1" applyAlignment="1">
      <alignment vertical="top"/>
    </xf>
    <xf numFmtId="3" fontId="2" fillId="0" borderId="18" xfId="4" applyNumberFormat="1" applyFont="1" applyBorder="1" applyAlignment="1">
      <alignment horizontal="right" vertical="top"/>
    </xf>
    <xf numFmtId="0" fontId="19" fillId="0" borderId="0" xfId="0" applyFont="1" applyFill="1" applyAlignment="1">
      <alignment horizontal="center" vertical="center"/>
    </xf>
    <xf numFmtId="3" fontId="0" fillId="0" borderId="0" xfId="0" applyNumberFormat="1" applyBorder="1" applyAlignment="1">
      <alignment horizontal="right" vertical="top" indent="1"/>
    </xf>
    <xf numFmtId="3" fontId="0" fillId="0" borderId="0" xfId="0" applyNumberFormat="1" applyFill="1" applyBorder="1" applyAlignment="1">
      <alignment horizontal="right" vertical="top" indent="1"/>
    </xf>
    <xf numFmtId="0" fontId="0" fillId="0" borderId="0" xfId="0" applyFill="1" applyBorder="1" applyAlignment="1">
      <alignment horizontal="left" vertical="top"/>
    </xf>
    <xf numFmtId="0" fontId="0" fillId="0" borderId="0" xfId="0" applyBorder="1" applyAlignment="1">
      <alignment horizontal="left"/>
    </xf>
    <xf numFmtId="3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right"/>
    </xf>
    <xf numFmtId="3" fontId="0" fillId="0" borderId="0" xfId="0" applyNumberFormat="1" applyBorder="1" applyAlignment="1"/>
    <xf numFmtId="0" fontId="9" fillId="0" borderId="0" xfId="0" applyFont="1" applyFill="1" applyAlignment="1">
      <alignment horizontal="center" vertical="top"/>
    </xf>
    <xf numFmtId="14" fontId="0" fillId="0" borderId="0" xfId="0" applyNumberFormat="1" applyFill="1" applyAlignment="1"/>
    <xf numFmtId="3" fontId="0" fillId="0" borderId="0" xfId="0" applyNumberFormat="1" applyFill="1" applyAlignment="1"/>
    <xf numFmtId="0" fontId="0" fillId="0" borderId="0" xfId="0" applyFill="1" applyAlignment="1">
      <alignment horizontal="left" indent="1"/>
    </xf>
    <xf numFmtId="0" fontId="2" fillId="8" borderId="18" xfId="4" applyNumberFormat="1" applyFont="1" applyFill="1" applyBorder="1" applyAlignment="1">
      <alignment vertical="top"/>
    </xf>
    <xf numFmtId="0" fontId="2" fillId="0" borderId="18" xfId="4" applyNumberFormat="1" applyFont="1" applyFill="1" applyBorder="1" applyAlignment="1">
      <alignment vertical="top"/>
    </xf>
    <xf numFmtId="0" fontId="7" fillId="4" borderId="19" xfId="0" applyFont="1" applyFill="1" applyBorder="1" applyAlignment="1">
      <alignment vertical="top"/>
    </xf>
    <xf numFmtId="3" fontId="7" fillId="4" borderId="19" xfId="0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/>
    </xf>
    <xf numFmtId="3" fontId="3" fillId="0" borderId="0" xfId="0" applyNumberFormat="1" applyFont="1" applyFill="1" applyBorder="1" applyAlignment="1">
      <alignment horizontal="left" vertical="top"/>
    </xf>
    <xf numFmtId="3" fontId="0" fillId="0" borderId="0" xfId="0" applyNumberFormat="1" applyFill="1" applyBorder="1"/>
    <xf numFmtId="0" fontId="0" fillId="0" borderId="0" xfId="0" applyFill="1" applyBorder="1"/>
    <xf numFmtId="3" fontId="3" fillId="0" borderId="0" xfId="0" applyNumberFormat="1" applyFont="1" applyFill="1" applyBorder="1" applyAlignment="1">
      <alignment vertical="top" wrapText="1"/>
    </xf>
    <xf numFmtId="0" fontId="2" fillId="0" borderId="0" xfId="0" applyFont="1" applyFill="1" applyBorder="1" applyAlignment="1">
      <alignment horizontal="left" vertical="top"/>
    </xf>
    <xf numFmtId="4" fontId="2" fillId="0" borderId="0" xfId="0" applyNumberFormat="1" applyFont="1" applyFill="1" applyBorder="1" applyAlignment="1">
      <alignment horizontal="right" vertical="top"/>
    </xf>
    <xf numFmtId="0" fontId="2" fillId="0" borderId="0" xfId="0" applyFont="1" applyFill="1" applyBorder="1" applyAlignment="1">
      <alignment horizontal="right" vertical="top"/>
    </xf>
    <xf numFmtId="3" fontId="2" fillId="0" borderId="0" xfId="0" applyNumberFormat="1" applyFont="1" applyFill="1" applyBorder="1" applyAlignment="1">
      <alignment horizontal="right" vertical="top"/>
    </xf>
    <xf numFmtId="4" fontId="0" fillId="0" borderId="0" xfId="0" applyNumberFormat="1" applyFill="1" applyBorder="1" applyAlignment="1">
      <alignment horizontal="right" vertical="top"/>
    </xf>
    <xf numFmtId="0" fontId="0" fillId="0" borderId="0" xfId="0" applyFill="1" applyBorder="1" applyAlignment="1">
      <alignment horizontal="right" vertical="top"/>
    </xf>
    <xf numFmtId="0" fontId="0" fillId="0" borderId="0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 wrapText="1" indent="6"/>
    </xf>
    <xf numFmtId="2" fontId="2" fillId="0" borderId="0" xfId="0" applyNumberFormat="1" applyFont="1" applyFill="1" applyBorder="1" applyAlignment="1">
      <alignment horizontal="right" vertical="top"/>
    </xf>
    <xf numFmtId="2" fontId="0" fillId="0" borderId="0" xfId="0" applyNumberFormat="1" applyFill="1" applyBorder="1" applyAlignment="1">
      <alignment horizontal="right" vertical="top"/>
    </xf>
    <xf numFmtId="4" fontId="0" fillId="0" borderId="0" xfId="0" applyNumberFormat="1" applyFill="1" applyBorder="1" applyAlignment="1">
      <alignment horizontal="right" vertical="top" wrapText="1"/>
    </xf>
    <xf numFmtId="4" fontId="3" fillId="0" borderId="0" xfId="0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horizontal="right" vertical="top"/>
    </xf>
    <xf numFmtId="0" fontId="0" fillId="0" borderId="0" xfId="0" applyFill="1" applyBorder="1" applyAlignment="1">
      <alignment vertical="top" wrapText="1"/>
    </xf>
    <xf numFmtId="0" fontId="3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vertical="top" wrapText="1"/>
    </xf>
    <xf numFmtId="4" fontId="2" fillId="0" borderId="0" xfId="0" applyNumberFormat="1" applyFont="1" applyFill="1" applyBorder="1" applyAlignment="1">
      <alignment vertical="top" wrapText="1"/>
    </xf>
    <xf numFmtId="0" fontId="34" fillId="20" borderId="18" xfId="5" applyNumberFormat="1" applyFont="1" applyFill="1" applyBorder="1" applyAlignment="1">
      <alignment vertical="top"/>
    </xf>
    <xf numFmtId="0" fontId="14" fillId="0" borderId="0" xfId="5" applyNumberFormat="1" applyFont="1" applyAlignment="1"/>
    <xf numFmtId="0" fontId="2" fillId="0" borderId="0" xfId="5" applyAlignment="1"/>
    <xf numFmtId="0" fontId="8" fillId="0" borderId="0" xfId="5" applyNumberFormat="1" applyFont="1" applyAlignment="1">
      <alignment vertical="top"/>
    </xf>
    <xf numFmtId="0" fontId="31" fillId="20" borderId="18" xfId="5" applyNumberFormat="1" applyFont="1" applyFill="1" applyBorder="1" applyAlignment="1">
      <alignment vertical="top"/>
    </xf>
    <xf numFmtId="0" fontId="31" fillId="20" borderId="20" xfId="5" applyNumberFormat="1" applyFont="1" applyFill="1" applyBorder="1" applyAlignment="1">
      <alignment vertical="top"/>
    </xf>
    <xf numFmtId="0" fontId="7" fillId="0" borderId="20" xfId="5" applyNumberFormat="1" applyFont="1" applyBorder="1" applyAlignment="1">
      <alignment vertical="top"/>
    </xf>
    <xf numFmtId="3" fontId="2" fillId="0" borderId="0" xfId="5" applyNumberFormat="1" applyAlignment="1"/>
    <xf numFmtId="3" fontId="8" fillId="0" borderId="0" xfId="5" applyNumberFormat="1" applyFont="1" applyAlignment="1">
      <alignment vertical="top"/>
    </xf>
    <xf numFmtId="3" fontId="31" fillId="20" borderId="20" xfId="5" applyNumberFormat="1" applyFont="1" applyFill="1" applyBorder="1" applyAlignment="1">
      <alignment horizontal="right" vertical="top"/>
    </xf>
    <xf numFmtId="3" fontId="7" fillId="0" borderId="20" xfId="5" applyNumberFormat="1" applyFont="1" applyBorder="1" applyAlignment="1">
      <alignment horizontal="right" vertical="top"/>
    </xf>
    <xf numFmtId="3" fontId="33" fillId="0" borderId="20" xfId="5" applyNumberFormat="1" applyFont="1" applyBorder="1" applyAlignment="1">
      <alignment horizontal="right" vertical="top"/>
    </xf>
    <xf numFmtId="3" fontId="34" fillId="20" borderId="18" xfId="5" applyNumberFormat="1" applyFont="1" applyFill="1" applyBorder="1" applyAlignment="1">
      <alignment horizontal="right" vertical="top"/>
    </xf>
    <xf numFmtId="3" fontId="0" fillId="0" borderId="0" xfId="0" applyNumberFormat="1" applyFill="1" applyBorder="1" applyAlignment="1">
      <alignment vertical="top" wrapText="1"/>
    </xf>
    <xf numFmtId="3" fontId="0" fillId="0" borderId="0" xfId="0" applyNumberFormat="1" applyFill="1" applyBorder="1" applyAlignment="1">
      <alignment horizontal="left" vertical="top" wrapText="1"/>
    </xf>
    <xf numFmtId="3" fontId="0" fillId="0" borderId="0" xfId="0" applyNumberFormat="1" applyFill="1" applyBorder="1" applyAlignment="1">
      <alignment horizontal="right" vertical="top" wrapText="1"/>
    </xf>
    <xf numFmtId="3" fontId="2" fillId="0" borderId="0" xfId="0" applyNumberFormat="1" applyFont="1" applyFill="1" applyBorder="1" applyAlignment="1">
      <alignment vertical="top" wrapText="1"/>
    </xf>
    <xf numFmtId="3" fontId="2" fillId="0" borderId="0" xfId="0" applyNumberFormat="1" applyFont="1" applyFill="1" applyBorder="1" applyAlignment="1">
      <alignment horizontal="right" vertical="top" wrapText="1"/>
    </xf>
    <xf numFmtId="3" fontId="0" fillId="0" borderId="0" xfId="0" applyNumberFormat="1" applyFill="1" applyBorder="1" applyAlignment="1">
      <alignment horizontal="left" vertical="top" wrapText="1" indent="6"/>
    </xf>
    <xf numFmtId="3" fontId="3" fillId="0" borderId="0" xfId="0" applyNumberFormat="1" applyFont="1" applyFill="1" applyBorder="1" applyAlignment="1">
      <alignment vertical="top"/>
    </xf>
    <xf numFmtId="3" fontId="2" fillId="0" borderId="0" xfId="0" applyNumberFormat="1" applyFont="1" applyFill="1" applyBorder="1" applyAlignment="1">
      <alignment vertical="top"/>
    </xf>
    <xf numFmtId="3" fontId="0" fillId="0" borderId="0" xfId="0" applyNumberFormat="1" applyFill="1" applyBorder="1" applyAlignment="1">
      <alignment vertical="top"/>
    </xf>
    <xf numFmtId="3" fontId="0" fillId="0" borderId="0" xfId="0" applyNumberFormat="1" applyFill="1" applyBorder="1" applyAlignment="1"/>
    <xf numFmtId="3" fontId="10" fillId="7" borderId="0" xfId="0" applyNumberFormat="1" applyFont="1" applyFill="1" applyBorder="1" applyAlignment="1">
      <alignment horizontal="center" vertical="top"/>
    </xf>
    <xf numFmtId="3" fontId="2" fillId="7" borderId="0" xfId="0" applyNumberFormat="1" applyFont="1" applyFill="1" applyBorder="1" applyAlignment="1">
      <alignment vertical="top"/>
    </xf>
    <xf numFmtId="0" fontId="0" fillId="0" borderId="0" xfId="0" applyBorder="1"/>
    <xf numFmtId="0" fontId="0" fillId="0" borderId="0" xfId="0" pivotButton="1" applyAlignment="1">
      <alignment horizontal="center" vertical="center"/>
    </xf>
    <xf numFmtId="0" fontId="0" fillId="0" borderId="0" xfId="0" pivotButton="1" applyAlignment="1">
      <alignment vertical="center"/>
    </xf>
    <xf numFmtId="0" fontId="18" fillId="0" borderId="0" xfId="0" applyFont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/>
    </xf>
    <xf numFmtId="0" fontId="17" fillId="18" borderId="3" xfId="0" applyFont="1" applyFill="1" applyBorder="1" applyAlignment="1">
      <alignment horizontal="center" vertical="center"/>
    </xf>
    <xf numFmtId="0" fontId="17" fillId="12" borderId="3" xfId="0" applyFont="1" applyFill="1" applyBorder="1" applyAlignment="1">
      <alignment horizontal="center" vertical="center"/>
    </xf>
    <xf numFmtId="14" fontId="13" fillId="10" borderId="0" xfId="0" applyNumberFormat="1" applyFont="1" applyFill="1" applyAlignment="1">
      <alignment horizontal="center"/>
    </xf>
    <xf numFmtId="0" fontId="0" fillId="0" borderId="0" xfId="0" applyFill="1" applyAlignment="1">
      <alignment horizontal="center"/>
    </xf>
    <xf numFmtId="3" fontId="26" fillId="0" borderId="0" xfId="0" applyNumberFormat="1" applyFont="1" applyFill="1" applyBorder="1" applyAlignment="1">
      <alignment horizontal="right" vertical="center" indent="1"/>
    </xf>
    <xf numFmtId="9" fontId="26" fillId="0" borderId="0" xfId="0" applyNumberFormat="1" applyFont="1" applyBorder="1" applyAlignment="1">
      <alignment horizontal="right" vertical="center" indent="1"/>
    </xf>
    <xf numFmtId="0" fontId="29" fillId="5" borderId="9" xfId="0" applyFont="1" applyFill="1" applyBorder="1" applyAlignment="1">
      <alignment horizontal="justify" vertical="center"/>
    </xf>
    <xf numFmtId="0" fontId="0" fillId="0" borderId="0" xfId="0" applyAlignment="1">
      <alignment horizontal="center" wrapText="1"/>
    </xf>
    <xf numFmtId="0" fontId="0" fillId="8" borderId="0" xfId="0" applyFill="1" applyBorder="1" applyAlignment="1">
      <alignment horizontal="left" vertical="top"/>
    </xf>
    <xf numFmtId="0" fontId="0" fillId="8" borderId="0" xfId="0" applyFill="1" applyBorder="1" applyAlignment="1">
      <alignment horizontal="left"/>
    </xf>
    <xf numFmtId="0" fontId="0" fillId="0" borderId="0" xfId="0" applyFill="1" applyBorder="1" applyAlignment="1">
      <alignment horizontal="left"/>
    </xf>
    <xf numFmtId="14" fontId="0" fillId="0" borderId="0" xfId="0" applyNumberFormat="1" applyFill="1"/>
    <xf numFmtId="14" fontId="0" fillId="10" borderId="0" xfId="0" applyNumberFormat="1" applyFill="1" applyAlignment="1"/>
    <xf numFmtId="0" fontId="18" fillId="0" borderId="0" xfId="0" applyFont="1" applyAlignment="1">
      <alignment horizontal="center" wrapText="1"/>
    </xf>
    <xf numFmtId="0" fontId="0" fillId="0" borderId="7" xfId="0" applyFill="1" applyBorder="1" applyAlignment="1">
      <alignment horizontal="right" vertical="center" indent="1"/>
    </xf>
    <xf numFmtId="0" fontId="0" fillId="0" borderId="9" xfId="0" applyFill="1" applyBorder="1" applyAlignment="1">
      <alignment horizontal="right" vertical="center" indent="1"/>
    </xf>
    <xf numFmtId="0" fontId="0" fillId="0" borderId="0" xfId="0" applyFill="1" applyBorder="1" applyAlignment="1">
      <alignment horizontal="right" vertical="center" indent="1"/>
    </xf>
    <xf numFmtId="0" fontId="0" fillId="0" borderId="0" xfId="0" applyFill="1" applyBorder="1" applyAlignment="1">
      <alignment horizontal="right" indent="1"/>
    </xf>
    <xf numFmtId="0" fontId="0" fillId="0" borderId="10" xfId="0" applyFill="1" applyBorder="1" applyAlignment="1">
      <alignment horizontal="right" vertical="center" indent="1"/>
    </xf>
    <xf numFmtId="0" fontId="17" fillId="3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left"/>
    </xf>
    <xf numFmtId="0" fontId="10" fillId="0" borderId="0" xfId="0" applyFont="1" applyAlignment="1">
      <alignment horizontal="center" vertical="center" wrapText="1"/>
    </xf>
    <xf numFmtId="0" fontId="10" fillId="0" borderId="0" xfId="4" applyNumberFormat="1" applyFont="1" applyFill="1" applyBorder="1" applyAlignment="1">
      <alignment horizontal="center" vertical="center" wrapText="1"/>
    </xf>
    <xf numFmtId="0" fontId="36" fillId="0" borderId="0" xfId="0" applyFont="1"/>
    <xf numFmtId="0" fontId="10" fillId="0" borderId="0" xfId="0" applyFont="1" applyFill="1" applyAlignment="1">
      <alignment horizontal="center" vertical="center" wrapText="1"/>
    </xf>
    <xf numFmtId="0" fontId="2" fillId="0" borderId="18" xfId="6" applyNumberFormat="1" applyFont="1" applyBorder="1" applyAlignment="1">
      <alignment vertical="top"/>
    </xf>
    <xf numFmtId="0" fontId="2" fillId="0" borderId="0" xfId="6" applyAlignment="1">
      <alignment wrapText="1"/>
    </xf>
    <xf numFmtId="0" fontId="2" fillId="0" borderId="0" xfId="6" applyAlignment="1"/>
    <xf numFmtId="0" fontId="0" fillId="0" borderId="0" xfId="0" applyAlignment="1">
      <alignment wrapText="1"/>
    </xf>
    <xf numFmtId="3" fontId="2" fillId="0" borderId="18" xfId="6" applyNumberFormat="1" applyFont="1" applyBorder="1" applyAlignment="1">
      <alignment horizontal="right" vertical="top"/>
    </xf>
    <xf numFmtId="0" fontId="1" fillId="0" borderId="7" xfId="2" applyBorder="1"/>
    <xf numFmtId="0" fontId="1" fillId="0" borderId="0" xfId="2" applyBorder="1"/>
    <xf numFmtId="0" fontId="1" fillId="0" borderId="0" xfId="2" applyBorder="1" applyAlignment="1">
      <alignment horizontal="left"/>
    </xf>
    <xf numFmtId="0" fontId="35" fillId="0" borderId="7" xfId="2" applyFont="1" applyBorder="1"/>
    <xf numFmtId="0" fontId="35" fillId="0" borderId="0" xfId="2" applyFont="1" applyBorder="1"/>
    <xf numFmtId="0" fontId="35" fillId="0" borderId="0" xfId="2" applyFont="1" applyBorder="1" applyAlignment="1">
      <alignment horizontal="left"/>
    </xf>
    <xf numFmtId="0" fontId="35" fillId="4" borderId="7" xfId="2" applyFont="1" applyFill="1" applyBorder="1"/>
    <xf numFmtId="0" fontId="35" fillId="4" borderId="0" xfId="2" applyFont="1" applyFill="1" applyBorder="1"/>
    <xf numFmtId="0" fontId="35" fillId="4" borderId="0" xfId="2" applyFont="1" applyFill="1" applyBorder="1" applyAlignment="1">
      <alignment horizontal="left"/>
    </xf>
    <xf numFmtId="0" fontId="2" fillId="0" borderId="18" xfId="6" applyNumberFormat="1" applyFont="1" applyFill="1" applyBorder="1" applyAlignment="1">
      <alignment vertical="top"/>
    </xf>
    <xf numFmtId="3" fontId="10" fillId="21" borderId="0" xfId="0" applyNumberFormat="1" applyFont="1" applyFill="1"/>
    <xf numFmtId="3" fontId="23" fillId="22" borderId="4" xfId="0" applyNumberFormat="1" applyFont="1" applyFill="1" applyBorder="1"/>
    <xf numFmtId="43" fontId="0" fillId="0" borderId="0" xfId="0" applyNumberFormat="1"/>
    <xf numFmtId="164" fontId="0" fillId="0" borderId="0" xfId="1" applyFont="1"/>
    <xf numFmtId="0" fontId="3" fillId="0" borderId="0" xfId="0" applyFont="1" applyAlignment="1">
      <alignment vertical="top"/>
    </xf>
    <xf numFmtId="0" fontId="3" fillId="2" borderId="1" xfId="0" applyFont="1" applyFill="1" applyBorder="1" applyAlignment="1">
      <alignment vertical="top"/>
    </xf>
    <xf numFmtId="0" fontId="3" fillId="2" borderId="2" xfId="0" applyFont="1" applyFill="1" applyBorder="1" applyAlignment="1">
      <alignment horizontal="left" vertical="top"/>
    </xf>
    <xf numFmtId="0" fontId="3" fillId="2" borderId="22" xfId="0" applyFont="1" applyFill="1" applyBorder="1" applyAlignment="1">
      <alignment vertical="top"/>
    </xf>
    <xf numFmtId="0" fontId="3" fillId="2" borderId="23" xfId="0" applyFont="1" applyFill="1" applyBorder="1" applyAlignment="1">
      <alignment vertical="top"/>
    </xf>
    <xf numFmtId="0" fontId="3" fillId="2" borderId="24" xfId="0" applyFont="1" applyFill="1" applyBorder="1" applyAlignment="1">
      <alignment vertical="top"/>
    </xf>
    <xf numFmtId="0" fontId="3" fillId="2" borderId="25" xfId="0" applyFont="1" applyFill="1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2" xfId="0" applyBorder="1" applyAlignment="1">
      <alignment horizontal="left" vertical="top"/>
    </xf>
    <xf numFmtId="4" fontId="0" fillId="0" borderId="2" xfId="0" applyNumberFormat="1" applyBorder="1" applyAlignment="1">
      <alignment horizontal="right" vertical="top"/>
    </xf>
    <xf numFmtId="2" fontId="0" fillId="0" borderId="2" xfId="0" applyNumberFormat="1" applyBorder="1" applyAlignment="1">
      <alignment horizontal="right" vertical="top"/>
    </xf>
    <xf numFmtId="0" fontId="0" fillId="0" borderId="26" xfId="0" applyBorder="1" applyAlignment="1">
      <alignment horizontal="left" vertical="top"/>
    </xf>
    <xf numFmtId="0" fontId="3" fillId="2" borderId="2" xfId="0" applyFont="1" applyFill="1" applyBorder="1" applyAlignment="1">
      <alignment vertical="top"/>
    </xf>
    <xf numFmtId="4" fontId="3" fillId="2" borderId="2" xfId="0" applyNumberFormat="1" applyFont="1" applyFill="1" applyBorder="1" applyAlignment="1">
      <alignment horizontal="right" vertical="top"/>
    </xf>
    <xf numFmtId="164" fontId="37" fillId="0" borderId="0" xfId="1" applyFont="1"/>
    <xf numFmtId="43" fontId="0" fillId="0" borderId="27" xfId="0" applyNumberFormat="1" applyBorder="1"/>
    <xf numFmtId="164" fontId="0" fillId="0" borderId="27" xfId="1" applyFont="1" applyBorder="1"/>
    <xf numFmtId="0" fontId="0" fillId="0" borderId="27" xfId="0" applyBorder="1"/>
    <xf numFmtId="0" fontId="9" fillId="0" borderId="19" xfId="0" applyNumberFormat="1" applyFont="1" applyBorder="1" applyAlignment="1">
      <alignment vertical="top"/>
    </xf>
    <xf numFmtId="166" fontId="0" fillId="0" borderId="0" xfId="0" applyNumberFormat="1"/>
    <xf numFmtId="0" fontId="1" fillId="7" borderId="0" xfId="2" applyFill="1" applyBorder="1"/>
    <xf numFmtId="0" fontId="5" fillId="5" borderId="10" xfId="2" applyFont="1" applyFill="1" applyBorder="1" applyAlignment="1">
      <alignment horizontal="center" vertical="center" wrapText="1"/>
    </xf>
    <xf numFmtId="0" fontId="10" fillId="7" borderId="10" xfId="0" applyFont="1" applyFill="1" applyBorder="1" applyAlignment="1">
      <alignment horizontal="center" vertical="center" wrapText="1"/>
    </xf>
    <xf numFmtId="0" fontId="1" fillId="23" borderId="0" xfId="2" applyFill="1" applyBorder="1"/>
    <xf numFmtId="3" fontId="0" fillId="23" borderId="0" xfId="0" applyNumberFormat="1" applyFill="1" applyBorder="1" applyAlignment="1">
      <alignment horizontal="right" vertical="top" indent="1"/>
    </xf>
    <xf numFmtId="3" fontId="10" fillId="0" borderId="0" xfId="0" applyNumberFormat="1" applyFont="1"/>
    <xf numFmtId="0" fontId="1" fillId="0" borderId="0" xfId="2" applyFill="1"/>
    <xf numFmtId="0" fontId="1" fillId="0" borderId="0" xfId="2" applyFill="1" applyBorder="1"/>
    <xf numFmtId="0" fontId="35" fillId="0" borderId="0" xfId="2" applyFont="1" applyFill="1" applyBorder="1"/>
    <xf numFmtId="0" fontId="10" fillId="7" borderId="0" xfId="0" applyFont="1" applyFill="1" applyBorder="1" applyAlignment="1">
      <alignment horizontal="center" vertical="center" wrapText="1"/>
    </xf>
    <xf numFmtId="167" fontId="0" fillId="0" borderId="0" xfId="1" applyNumberFormat="1" applyFont="1"/>
    <xf numFmtId="167" fontId="0" fillId="0" borderId="0" xfId="1" applyNumberFormat="1" applyFont="1" applyFill="1"/>
    <xf numFmtId="167" fontId="11" fillId="3" borderId="3" xfId="1" applyNumberFormat="1" applyFont="1" applyFill="1" applyBorder="1"/>
    <xf numFmtId="167" fontId="0" fillId="0" borderId="0" xfId="0" applyNumberFormat="1"/>
    <xf numFmtId="167" fontId="0" fillId="0" borderId="0" xfId="0" applyNumberFormat="1" applyFill="1"/>
    <xf numFmtId="167" fontId="38" fillId="14" borderId="0" xfId="1" applyNumberFormat="1" applyFont="1" applyFill="1"/>
    <xf numFmtId="0" fontId="17" fillId="3" borderId="3" xfId="0" applyFont="1" applyFill="1" applyBorder="1" applyAlignment="1">
      <alignment horizontal="left" vertical="center"/>
    </xf>
    <xf numFmtId="0" fontId="0" fillId="24" borderId="0" xfId="0" applyFill="1"/>
    <xf numFmtId="167" fontId="39" fillId="0" borderId="0" xfId="1" applyNumberFormat="1" applyFont="1"/>
    <xf numFmtId="3" fontId="35" fillId="4" borderId="0" xfId="2" applyNumberFormat="1" applyFont="1" applyFill="1" applyBorder="1" applyAlignment="1">
      <alignment horizontal="right" vertical="top" indent="1"/>
    </xf>
    <xf numFmtId="0" fontId="11" fillId="0" borderId="3" xfId="0" applyFont="1" applyBorder="1" applyAlignment="1">
      <alignment horizontal="right"/>
    </xf>
    <xf numFmtId="167" fontId="10" fillId="0" borderId="0" xfId="0" applyNumberFormat="1" applyFont="1"/>
    <xf numFmtId="0" fontId="40" fillId="0" borderId="0" xfId="0" applyFont="1" applyAlignment="1"/>
    <xf numFmtId="167" fontId="10" fillId="13" borderId="0" xfId="1" applyNumberFormat="1" applyFont="1" applyFill="1"/>
    <xf numFmtId="167" fontId="18" fillId="13" borderId="0" xfId="1" applyNumberFormat="1" applyFont="1" applyFill="1"/>
    <xf numFmtId="167" fontId="18" fillId="0" borderId="0" xfId="1" applyNumberFormat="1" applyFont="1"/>
    <xf numFmtId="167" fontId="17" fillId="18" borderId="3" xfId="1" applyNumberFormat="1" applyFont="1" applyFill="1" applyBorder="1" applyAlignment="1">
      <alignment horizontal="center" vertical="center"/>
    </xf>
    <xf numFmtId="167" fontId="17" fillId="12" borderId="3" xfId="1" applyNumberFormat="1" applyFont="1" applyFill="1" applyBorder="1" applyAlignment="1">
      <alignment horizontal="center" vertical="center"/>
    </xf>
    <xf numFmtId="167" fontId="17" fillId="3" borderId="3" xfId="1" applyNumberFormat="1" applyFont="1" applyFill="1" applyBorder="1" applyAlignment="1">
      <alignment horizontal="center" vertical="center"/>
    </xf>
    <xf numFmtId="167" fontId="17" fillId="3" borderId="3" xfId="1" applyNumberFormat="1" applyFont="1" applyFill="1" applyBorder="1" applyAlignment="1">
      <alignment horizontal="center" vertical="center" wrapText="1"/>
    </xf>
    <xf numFmtId="167" fontId="0" fillId="13" borderId="0" xfId="1" applyNumberFormat="1" applyFont="1" applyFill="1"/>
    <xf numFmtId="167" fontId="0" fillId="21" borderId="0" xfId="1" applyNumberFormat="1" applyFont="1" applyFill="1"/>
    <xf numFmtId="167" fontId="20" fillId="0" borderId="0" xfId="1" applyNumberFormat="1" applyFont="1" applyAlignment="1">
      <alignment horizontal="center" vertical="center"/>
    </xf>
    <xf numFmtId="167" fontId="10" fillId="21" borderId="0" xfId="0" applyNumberFormat="1" applyFont="1" applyFill="1"/>
    <xf numFmtId="167" fontId="10" fillId="21" borderId="0" xfId="1" applyNumberFormat="1" applyFont="1" applyFill="1"/>
    <xf numFmtId="167" fontId="18" fillId="0" borderId="0" xfId="0" applyNumberFormat="1" applyFont="1"/>
    <xf numFmtId="167" fontId="18" fillId="0" borderId="0" xfId="0" applyNumberFormat="1" applyFont="1" applyAlignment="1">
      <alignment horizontal="center" vertical="center" wrapText="1"/>
    </xf>
    <xf numFmtId="167" fontId="0" fillId="0" borderId="0" xfId="1" applyNumberFormat="1" applyFont="1" applyFill="1" applyAlignment="1">
      <alignment horizontal="right" indent="1"/>
    </xf>
    <xf numFmtId="4" fontId="0" fillId="0" borderId="0" xfId="0" applyNumberFormat="1"/>
    <xf numFmtId="167" fontId="0" fillId="10" borderId="0" xfId="1" applyNumberFormat="1" applyFont="1" applyFill="1" applyAlignment="1"/>
    <xf numFmtId="0" fontId="0" fillId="25" borderId="0" xfId="0" applyFill="1"/>
    <xf numFmtId="0" fontId="40" fillId="0" borderId="0" xfId="0" applyFont="1"/>
    <xf numFmtId="0" fontId="41" fillId="25" borderId="19" xfId="0" applyNumberFormat="1" applyFont="1" applyFill="1" applyBorder="1" applyAlignment="1">
      <alignment vertical="top"/>
    </xf>
    <xf numFmtId="0" fontId="41" fillId="0" borderId="19" xfId="0" applyNumberFormat="1" applyFont="1" applyBorder="1" applyAlignment="1">
      <alignment vertical="top"/>
    </xf>
    <xf numFmtId="164" fontId="38" fillId="14" borderId="0" xfId="1" applyFont="1" applyFill="1"/>
    <xf numFmtId="167" fontId="42" fillId="13" borderId="0" xfId="1" applyNumberFormat="1" applyFont="1" applyFill="1"/>
    <xf numFmtId="167" fontId="39" fillId="0" borderId="0" xfId="1" applyNumberFormat="1" applyFont="1" applyFill="1"/>
    <xf numFmtId="14" fontId="0" fillId="0" borderId="0" xfId="0" applyNumberFormat="1"/>
    <xf numFmtId="0" fontId="0" fillId="0" borderId="13" xfId="0" applyBorder="1"/>
    <xf numFmtId="0" fontId="0" fillId="0" borderId="14" xfId="0" applyBorder="1"/>
    <xf numFmtId="0" fontId="44" fillId="0" borderId="0" xfId="0" applyFont="1"/>
    <xf numFmtId="43" fontId="44" fillId="0" borderId="0" xfId="0" applyNumberFormat="1" applyFont="1"/>
    <xf numFmtId="43" fontId="37" fillId="0" borderId="0" xfId="0" applyNumberFormat="1" applyFont="1"/>
    <xf numFmtId="4" fontId="37" fillId="0" borderId="0" xfId="0" applyNumberFormat="1" applyFont="1"/>
    <xf numFmtId="164" fontId="45" fillId="0" borderId="12" xfId="1" applyFont="1" applyBorder="1"/>
    <xf numFmtId="0" fontId="45" fillId="0" borderId="14" xfId="0" applyFont="1" applyBorder="1" applyAlignment="1">
      <alignment horizontal="right"/>
    </xf>
    <xf numFmtId="3" fontId="39" fillId="0" borderId="0" xfId="0" applyNumberFormat="1" applyFont="1"/>
    <xf numFmtId="0" fontId="39" fillId="0" borderId="0" xfId="0" applyFont="1"/>
    <xf numFmtId="0" fontId="30" fillId="0" borderId="0" xfId="0" applyNumberFormat="1" applyFont="1" applyAlignment="1"/>
    <xf numFmtId="0" fontId="46" fillId="20" borderId="28" xfId="7" applyNumberFormat="1" applyFont="1" applyFill="1" applyBorder="1" applyAlignment="1">
      <alignment horizontal="left" vertical="top"/>
    </xf>
    <xf numFmtId="1" fontId="47" fillId="20" borderId="28" xfId="7" applyNumberFormat="1" applyFont="1" applyFill="1" applyBorder="1" applyAlignment="1">
      <alignment horizontal="right" vertical="top"/>
    </xf>
    <xf numFmtId="0" fontId="47" fillId="20" borderId="28" xfId="7" applyNumberFormat="1" applyFont="1" applyFill="1" applyBorder="1" applyAlignment="1">
      <alignment horizontal="left" vertical="top"/>
    </xf>
    <xf numFmtId="4" fontId="47" fillId="20" borderId="28" xfId="7" applyNumberFormat="1" applyFont="1" applyFill="1" applyBorder="1" applyAlignment="1">
      <alignment horizontal="right" vertical="top"/>
    </xf>
    <xf numFmtId="168" fontId="47" fillId="20" borderId="28" xfId="7" applyNumberFormat="1" applyFont="1" applyFill="1" applyBorder="1" applyAlignment="1">
      <alignment horizontal="right" vertical="top"/>
    </xf>
    <xf numFmtId="4" fontId="0" fillId="22" borderId="0" xfId="0" applyNumberFormat="1" applyFill="1"/>
    <xf numFmtId="0" fontId="49" fillId="0" borderId="0" xfId="0" applyNumberFormat="1" applyFont="1" applyAlignment="1"/>
    <xf numFmtId="0" fontId="51" fillId="26" borderId="29" xfId="0" applyNumberFormat="1" applyFont="1" applyFill="1" applyBorder="1" applyAlignment="1">
      <alignment vertical="top"/>
    </xf>
    <xf numFmtId="0" fontId="51" fillId="26" borderId="30" xfId="0" applyNumberFormat="1" applyFont="1" applyFill="1" applyBorder="1" applyAlignment="1">
      <alignment vertical="top"/>
    </xf>
    <xf numFmtId="0" fontId="51" fillId="26" borderId="32" xfId="0" applyNumberFormat="1" applyFont="1" applyFill="1" applyBorder="1" applyAlignment="1">
      <alignment vertical="top"/>
    </xf>
    <xf numFmtId="0" fontId="51" fillId="26" borderId="31" xfId="0" applyNumberFormat="1" applyFont="1" applyFill="1" applyBorder="1" applyAlignment="1">
      <alignment vertical="top"/>
    </xf>
    <xf numFmtId="0" fontId="48" fillId="0" borderId="0" xfId="0" applyNumberFormat="1" applyFont="1" applyAlignment="1">
      <alignment vertical="top"/>
    </xf>
    <xf numFmtId="0" fontId="50" fillId="26" borderId="29" xfId="0" applyNumberFormat="1" applyFont="1" applyFill="1" applyBorder="1" applyAlignment="1">
      <alignment vertical="top"/>
    </xf>
    <xf numFmtId="0" fontId="50" fillId="26" borderId="30" xfId="0" applyNumberFormat="1" applyFont="1" applyFill="1" applyBorder="1" applyAlignment="1">
      <alignment vertical="top"/>
    </xf>
    <xf numFmtId="0" fontId="50" fillId="26" borderId="31" xfId="0" applyNumberFormat="1" applyFont="1" applyFill="1" applyBorder="1" applyAlignment="1">
      <alignment vertical="top"/>
    </xf>
    <xf numFmtId="0" fontId="50" fillId="27" borderId="19" xfId="0" applyNumberFormat="1" applyFont="1" applyFill="1" applyBorder="1" applyAlignment="1">
      <alignment vertical="top"/>
    </xf>
    <xf numFmtId="4" fontId="50" fillId="27" borderId="19" xfId="0" applyNumberFormat="1" applyFont="1" applyFill="1" applyBorder="1" applyAlignment="1">
      <alignment horizontal="right" vertical="top"/>
    </xf>
    <xf numFmtId="0" fontId="50" fillId="27" borderId="19" xfId="0" applyNumberFormat="1" applyFont="1" applyFill="1" applyBorder="1" applyAlignment="1">
      <alignment horizontal="right" vertical="top"/>
    </xf>
    <xf numFmtId="0" fontId="50" fillId="27" borderId="33" xfId="0" applyNumberFormat="1" applyFont="1" applyFill="1" applyBorder="1" applyAlignment="1">
      <alignment horizontal="right" vertical="top"/>
    </xf>
    <xf numFmtId="0" fontId="52" fillId="22" borderId="19" xfId="0" applyNumberFormat="1" applyFont="1" applyFill="1" applyBorder="1" applyAlignment="1">
      <alignment vertical="top"/>
    </xf>
    <xf numFmtId="0" fontId="52" fillId="22" borderId="19" xfId="0" applyNumberFormat="1" applyFont="1" applyFill="1" applyBorder="1" applyAlignment="1">
      <alignment horizontal="right" vertical="top"/>
    </xf>
    <xf numFmtId="4" fontId="52" fillId="22" borderId="19" xfId="0" applyNumberFormat="1" applyFont="1" applyFill="1" applyBorder="1" applyAlignment="1">
      <alignment horizontal="right" vertical="top"/>
    </xf>
    <xf numFmtId="4" fontId="52" fillId="22" borderId="19" xfId="0" applyNumberFormat="1" applyFont="1" applyFill="1" applyBorder="1" applyAlignment="1">
      <alignment vertical="top"/>
    </xf>
    <xf numFmtId="0" fontId="7" fillId="22" borderId="20" xfId="5" applyNumberFormat="1" applyFont="1" applyFill="1" applyBorder="1" applyAlignment="1">
      <alignment vertical="top"/>
    </xf>
    <xf numFmtId="3" fontId="7" fillId="22" borderId="20" xfId="5" applyNumberFormat="1" applyFont="1" applyFill="1" applyBorder="1" applyAlignment="1">
      <alignment horizontal="right" vertical="top"/>
    </xf>
    <xf numFmtId="0" fontId="52" fillId="22" borderId="33" xfId="0" applyNumberFormat="1" applyFont="1" applyFill="1" applyBorder="1" applyAlignment="1">
      <alignment horizontal="right" vertical="top"/>
    </xf>
    <xf numFmtId="0" fontId="53" fillId="26" borderId="34" xfId="0" applyNumberFormat="1" applyFont="1" applyFill="1" applyBorder="1" applyAlignment="1">
      <alignment vertical="top"/>
    </xf>
    <xf numFmtId="0" fontId="53" fillId="26" borderId="30" xfId="0" applyNumberFormat="1" applyFont="1" applyFill="1" applyBorder="1" applyAlignment="1">
      <alignment vertical="top"/>
    </xf>
    <xf numFmtId="0" fontId="53" fillId="26" borderId="35" xfId="0" applyNumberFormat="1" applyFont="1" applyFill="1" applyBorder="1" applyAlignment="1">
      <alignment vertical="top"/>
    </xf>
    <xf numFmtId="0" fontId="53" fillId="26" borderId="29" xfId="0" applyNumberFormat="1" applyFont="1" applyFill="1" applyBorder="1" applyAlignment="1">
      <alignment vertical="top"/>
    </xf>
    <xf numFmtId="0" fontId="7" fillId="0" borderId="19" xfId="0" applyNumberFormat="1" applyFont="1" applyBorder="1" applyAlignment="1">
      <alignment vertical="top"/>
    </xf>
    <xf numFmtId="0" fontId="7" fillId="0" borderId="19" xfId="0" applyNumberFormat="1" applyFont="1" applyBorder="1" applyAlignment="1">
      <alignment horizontal="left" vertical="top"/>
    </xf>
    <xf numFmtId="4" fontId="7" fillId="0" borderId="19" xfId="0" applyNumberFormat="1" applyFont="1" applyBorder="1" applyAlignment="1">
      <alignment vertical="top"/>
    </xf>
    <xf numFmtId="2" fontId="7" fillId="0" borderId="19" xfId="0" applyNumberFormat="1" applyFont="1" applyBorder="1" applyAlignment="1">
      <alignment vertical="top"/>
    </xf>
    <xf numFmtId="0" fontId="47" fillId="20" borderId="36" xfId="7" applyNumberFormat="1" applyFont="1" applyFill="1" applyBorder="1" applyAlignment="1">
      <alignment horizontal="left" vertical="top"/>
    </xf>
    <xf numFmtId="0" fontId="7" fillId="0" borderId="19" xfId="0" applyNumberFormat="1" applyFont="1" applyBorder="1" applyAlignment="1">
      <alignment vertical="top" wrapText="1"/>
    </xf>
    <xf numFmtId="164" fontId="0" fillId="0" borderId="0" xfId="0" applyNumberFormat="1"/>
    <xf numFmtId="164" fontId="0" fillId="22" borderId="0" xfId="1" applyFont="1" applyFill="1"/>
    <xf numFmtId="164" fontId="3" fillId="0" borderId="0" xfId="1" applyFont="1" applyFill="1" applyBorder="1" applyAlignment="1">
      <alignment vertical="top" wrapText="1"/>
    </xf>
    <xf numFmtId="164" fontId="2" fillId="0" borderId="0" xfId="1" applyFont="1" applyFill="1" applyBorder="1" applyAlignment="1">
      <alignment horizontal="left" vertical="top"/>
    </xf>
    <xf numFmtId="164" fontId="0" fillId="0" borderId="0" xfId="1" applyFont="1" applyFill="1" applyBorder="1" applyAlignment="1">
      <alignment horizontal="left" vertical="top"/>
    </xf>
    <xf numFmtId="164" fontId="2" fillId="0" borderId="0" xfId="1" applyFont="1" applyFill="1" applyBorder="1" applyAlignment="1">
      <alignment horizontal="right" vertical="top"/>
    </xf>
    <xf numFmtId="164" fontId="0" fillId="0" borderId="0" xfId="1" applyFont="1" applyFill="1" applyBorder="1" applyAlignment="1">
      <alignment horizontal="right" vertical="top"/>
    </xf>
    <xf numFmtId="164" fontId="3" fillId="0" borderId="0" xfId="1" applyFont="1" applyFill="1" applyBorder="1" applyAlignment="1">
      <alignment horizontal="right" vertical="top"/>
    </xf>
    <xf numFmtId="164" fontId="0" fillId="0" borderId="0" xfId="1" applyFont="1" applyFill="1" applyBorder="1"/>
    <xf numFmtId="0" fontId="7" fillId="16" borderId="20" xfId="5" applyNumberFormat="1" applyFont="1" applyFill="1" applyBorder="1" applyAlignment="1">
      <alignment vertical="top"/>
    </xf>
    <xf numFmtId="0" fontId="2" fillId="0" borderId="0" xfId="8" applyFill="1" applyAlignment="1"/>
    <xf numFmtId="0" fontId="54" fillId="0" borderId="0" xfId="0" applyFont="1" applyFill="1" applyBorder="1" applyAlignment="1"/>
    <xf numFmtId="43" fontId="3" fillId="0" borderId="0" xfId="0" applyNumberFormat="1" applyFont="1" applyFill="1" applyBorder="1" applyAlignment="1">
      <alignment vertical="top" wrapText="1"/>
    </xf>
    <xf numFmtId="0" fontId="0" fillId="16" borderId="0" xfId="0" applyFill="1" applyAlignment="1"/>
    <xf numFmtId="0" fontId="0" fillId="16" borderId="26" xfId="0" applyFill="1" applyBorder="1" applyAlignment="1">
      <alignment horizontal="left" vertical="top"/>
    </xf>
    <xf numFmtId="0" fontId="0" fillId="16" borderId="2" xfId="0" applyFill="1" applyBorder="1" applyAlignment="1">
      <alignment horizontal="left" vertical="top"/>
    </xf>
    <xf numFmtId="0" fontId="0" fillId="16" borderId="0" xfId="0" applyFill="1" applyBorder="1" applyAlignment="1">
      <alignment horizontal="left"/>
    </xf>
    <xf numFmtId="3" fontId="0" fillId="16" borderId="0" xfId="0" applyNumberFormat="1" applyFill="1" applyBorder="1" applyAlignment="1">
      <alignment horizontal="right" vertical="top" indent="1"/>
    </xf>
    <xf numFmtId="0" fontId="52" fillId="16" borderId="19" xfId="0" applyNumberFormat="1" applyFont="1" applyFill="1" applyBorder="1" applyAlignment="1">
      <alignment vertical="top"/>
    </xf>
    <xf numFmtId="0" fontId="7" fillId="0" borderId="19" xfId="0" applyNumberFormat="1" applyFont="1" applyBorder="1" applyAlignment="1">
      <alignment horizontal="right" vertical="top"/>
    </xf>
    <xf numFmtId="4" fontId="7" fillId="0" borderId="19" xfId="0" applyNumberFormat="1" applyFont="1" applyBorder="1" applyAlignment="1">
      <alignment horizontal="right" vertical="top"/>
    </xf>
    <xf numFmtId="0" fontId="7" fillId="0" borderId="33" xfId="0" applyNumberFormat="1" applyFont="1" applyBorder="1" applyAlignment="1">
      <alignment horizontal="right" vertical="top"/>
    </xf>
    <xf numFmtId="4" fontId="7" fillId="28" borderId="19" xfId="0" applyNumberFormat="1" applyFont="1" applyFill="1" applyBorder="1" applyAlignment="1">
      <alignment horizontal="right" vertical="top"/>
    </xf>
    <xf numFmtId="4" fontId="7" fillId="28" borderId="19" xfId="0" applyNumberFormat="1" applyFont="1" applyFill="1" applyBorder="1" applyAlignment="1">
      <alignment vertical="top"/>
    </xf>
    <xf numFmtId="3" fontId="42" fillId="13" borderId="0" xfId="0" applyNumberFormat="1" applyFont="1" applyFill="1"/>
    <xf numFmtId="3" fontId="55" fillId="13" borderId="0" xfId="0" applyNumberFormat="1" applyFont="1" applyFill="1"/>
    <xf numFmtId="167" fontId="55" fillId="13" borderId="0" xfId="1" applyNumberFormat="1" applyFont="1" applyFill="1"/>
    <xf numFmtId="0" fontId="7" fillId="0" borderId="0" xfId="5" applyNumberFormat="1" applyFont="1" applyBorder="1" applyAlignment="1">
      <alignment horizontal="left" vertical="top"/>
    </xf>
    <xf numFmtId="0" fontId="10" fillId="0" borderId="0" xfId="0" applyFont="1" applyAlignment="1">
      <alignment horizontal="left"/>
    </xf>
    <xf numFmtId="167" fontId="17" fillId="18" borderId="3" xfId="1" applyNumberFormat="1" applyFont="1" applyFill="1" applyBorder="1" applyAlignment="1">
      <alignment horizontal="left" vertical="center"/>
    </xf>
    <xf numFmtId="167" fontId="17" fillId="3" borderId="3" xfId="1" applyNumberFormat="1" applyFont="1" applyFill="1" applyBorder="1" applyAlignment="1">
      <alignment horizontal="left" vertical="center"/>
    </xf>
    <xf numFmtId="0" fontId="56" fillId="0" borderId="4" xfId="0" applyFont="1" applyFill="1" applyBorder="1" applyAlignment="1">
      <alignment horizontal="left"/>
    </xf>
    <xf numFmtId="165" fontId="0" fillId="0" borderId="0" xfId="0" applyNumberFormat="1"/>
    <xf numFmtId="0" fontId="0" fillId="22" borderId="0" xfId="0" applyFill="1"/>
    <xf numFmtId="166" fontId="15" fillId="0" borderId="0" xfId="0" applyNumberFormat="1" applyFont="1"/>
    <xf numFmtId="166" fontId="57" fillId="29" borderId="0" xfId="0" applyNumberFormat="1" applyFont="1" applyFill="1"/>
    <xf numFmtId="0" fontId="5" fillId="5" borderId="5" xfId="0" applyFont="1" applyFill="1" applyBorder="1" applyAlignment="1">
      <alignment horizontal="center"/>
    </xf>
    <xf numFmtId="0" fontId="5" fillId="5" borderId="21" xfId="0" applyFont="1" applyFill="1" applyBorder="1" applyAlignment="1">
      <alignment horizontal="center"/>
    </xf>
    <xf numFmtId="0" fontId="58" fillId="5" borderId="21" xfId="0" applyFont="1" applyFill="1" applyBorder="1" applyAlignment="1">
      <alignment horizontal="center"/>
    </xf>
    <xf numFmtId="0" fontId="5" fillId="5" borderId="6" xfId="0" applyFont="1" applyFill="1" applyBorder="1" applyAlignment="1">
      <alignment horizontal="center"/>
    </xf>
    <xf numFmtId="4" fontId="39" fillId="0" borderId="0" xfId="0" applyNumberFormat="1" applyFont="1"/>
    <xf numFmtId="165" fontId="43" fillId="22" borderId="37" xfId="1" applyNumberFormat="1" applyFont="1" applyFill="1" applyBorder="1"/>
    <xf numFmtId="166" fontId="15" fillId="0" borderId="38" xfId="0" applyNumberFormat="1" applyFont="1" applyBorder="1"/>
    <xf numFmtId="166" fontId="15" fillId="0" borderId="39" xfId="0" applyNumberFormat="1" applyFont="1" applyBorder="1"/>
    <xf numFmtId="165" fontId="43" fillId="22" borderId="4" xfId="1" applyNumberFormat="1" applyFont="1" applyFill="1" applyBorder="1"/>
    <xf numFmtId="0" fontId="0" fillId="0" borderId="0" xfId="0" applyNumberFormat="1"/>
    <xf numFmtId="0" fontId="59" fillId="20" borderId="18" xfId="9" applyNumberFormat="1" applyFont="1" applyFill="1" applyBorder="1" applyAlignment="1">
      <alignment horizontal="left" vertical="top"/>
    </xf>
    <xf numFmtId="0" fontId="4" fillId="0" borderId="0" xfId="10"/>
    <xf numFmtId="43" fontId="7" fillId="0" borderId="0" xfId="11" applyFont="1"/>
    <xf numFmtId="0" fontId="60" fillId="20" borderId="18" xfId="9" applyNumberFormat="1" applyFont="1" applyFill="1" applyBorder="1" applyAlignment="1">
      <alignment horizontal="left" vertical="top"/>
    </xf>
    <xf numFmtId="4" fontId="60" fillId="20" borderId="18" xfId="9" applyNumberFormat="1" applyFont="1" applyFill="1" applyBorder="1" applyAlignment="1">
      <alignment horizontal="right" vertical="top"/>
    </xf>
    <xf numFmtId="4" fontId="4" fillId="0" borderId="0" xfId="10" applyNumberFormat="1"/>
    <xf numFmtId="14" fontId="4" fillId="0" borderId="0" xfId="10" applyNumberFormat="1"/>
    <xf numFmtId="2" fontId="60" fillId="20" borderId="18" xfId="9" applyNumberFormat="1" applyFont="1" applyFill="1" applyBorder="1" applyAlignment="1">
      <alignment horizontal="right" vertical="top"/>
    </xf>
    <xf numFmtId="2" fontId="4" fillId="0" borderId="0" xfId="10" applyNumberFormat="1"/>
    <xf numFmtId="4" fontId="60" fillId="20" borderId="40" xfId="9" applyNumberFormat="1" applyFont="1" applyFill="1" applyBorder="1" applyAlignment="1">
      <alignment horizontal="right" vertical="top"/>
    </xf>
    <xf numFmtId="4" fontId="4" fillId="0" borderId="41" xfId="10" applyNumberFormat="1" applyBorder="1"/>
    <xf numFmtId="4" fontId="60" fillId="28" borderId="17" xfId="9" applyNumberFormat="1" applyFont="1" applyFill="1" applyBorder="1" applyAlignment="1">
      <alignment horizontal="right" vertical="top"/>
    </xf>
    <xf numFmtId="4" fontId="60" fillId="28" borderId="18" xfId="9" applyNumberFormat="1" applyFont="1" applyFill="1" applyBorder="1" applyAlignment="1">
      <alignment horizontal="right" vertical="top"/>
    </xf>
    <xf numFmtId="0" fontId="4" fillId="0" borderId="0" xfId="10" applyBorder="1"/>
    <xf numFmtId="0" fontId="60" fillId="20" borderId="40" xfId="9" applyNumberFormat="1" applyFont="1" applyFill="1" applyBorder="1" applyAlignment="1">
      <alignment horizontal="left" vertical="top"/>
    </xf>
    <xf numFmtId="4" fontId="60" fillId="28" borderId="40" xfId="9" applyNumberFormat="1" applyFont="1" applyFill="1" applyBorder="1" applyAlignment="1">
      <alignment horizontal="right" vertical="top"/>
    </xf>
    <xf numFmtId="0" fontId="60" fillId="20" borderId="17" xfId="9" applyNumberFormat="1" applyFont="1" applyFill="1" applyBorder="1" applyAlignment="1">
      <alignment horizontal="left" vertical="top"/>
    </xf>
    <xf numFmtId="4" fontId="60" fillId="20" borderId="17" xfId="9" applyNumberFormat="1" applyFont="1" applyFill="1" applyBorder="1" applyAlignment="1">
      <alignment horizontal="right" vertical="top"/>
    </xf>
    <xf numFmtId="43" fontId="0" fillId="0" borderId="0" xfId="11" applyFont="1"/>
    <xf numFmtId="43" fontId="4" fillId="28" borderId="0" xfId="10" applyNumberFormat="1" applyFill="1"/>
    <xf numFmtId="3" fontId="0" fillId="28" borderId="0" xfId="0" applyNumberFormat="1" applyFill="1" applyAlignment="1"/>
    <xf numFmtId="0" fontId="60" fillId="20" borderId="18" xfId="12" applyNumberFormat="1" applyFont="1" applyFill="1" applyBorder="1" applyAlignment="1">
      <alignment horizontal="left" vertical="top"/>
    </xf>
    <xf numFmtId="4" fontId="60" fillId="20" borderId="18" xfId="12" applyNumberFormat="1" applyFont="1" applyFill="1" applyBorder="1" applyAlignment="1">
      <alignment horizontal="right" vertical="top"/>
    </xf>
    <xf numFmtId="3" fontId="0" fillId="31" borderId="0" xfId="0" applyNumberFormat="1" applyFill="1" applyAlignment="1"/>
    <xf numFmtId="3" fontId="1" fillId="0" borderId="0" xfId="2" applyNumberFormat="1" applyAlignment="1">
      <alignment horizontal="right" vertical="top" indent="1"/>
    </xf>
    <xf numFmtId="0" fontId="0" fillId="0" borderId="1" xfId="0" applyBorder="1" applyAlignment="1">
      <alignment horizontal="left" vertical="top"/>
    </xf>
    <xf numFmtId="0" fontId="61" fillId="7" borderId="0" xfId="0" applyFont="1" applyFill="1" applyBorder="1" applyAlignment="1">
      <alignment horizontal="center" vertical="center" wrapText="1"/>
    </xf>
    <xf numFmtId="0" fontId="2" fillId="30" borderId="18" xfId="13" applyNumberFormat="1" applyFont="1" applyFill="1" applyBorder="1" applyAlignment="1">
      <alignment vertical="top" wrapText="1" indent="2"/>
    </xf>
    <xf numFmtId="3" fontId="2" fillId="30" borderId="15" xfId="13" applyNumberFormat="1" applyFont="1" applyFill="1" applyBorder="1" applyAlignment="1">
      <alignment horizontal="right" vertical="top" indent="1"/>
    </xf>
    <xf numFmtId="3" fontId="0" fillId="22" borderId="0" xfId="0" applyNumberFormat="1" applyFill="1" applyAlignment="1"/>
    <xf numFmtId="0" fontId="0" fillId="22" borderId="2" xfId="0" applyFill="1" applyBorder="1" applyAlignment="1">
      <alignment horizontal="left" vertical="top"/>
    </xf>
    <xf numFmtId="3" fontId="4" fillId="0" borderId="0" xfId="10" applyNumberFormat="1"/>
    <xf numFmtId="0" fontId="2" fillId="0" borderId="0" xfId="12" applyNumberFormat="1" applyFont="1" applyFill="1" applyBorder="1" applyAlignment="1">
      <alignment vertical="top"/>
    </xf>
    <xf numFmtId="4" fontId="2" fillId="0" borderId="0" xfId="12" applyNumberFormat="1" applyFont="1" applyFill="1" applyBorder="1" applyAlignment="1">
      <alignment horizontal="right" vertical="top"/>
    </xf>
    <xf numFmtId="0" fontId="2" fillId="0" borderId="0" xfId="12" applyNumberFormat="1" applyFont="1" applyFill="1" applyBorder="1" applyAlignment="1">
      <alignment horizontal="right" vertical="top"/>
    </xf>
    <xf numFmtId="0" fontId="4" fillId="0" borderId="0" xfId="10" applyFill="1" applyBorder="1"/>
    <xf numFmtId="4" fontId="2" fillId="0" borderId="0" xfId="12" applyNumberFormat="1" applyFont="1" applyFill="1" applyBorder="1" applyAlignment="1">
      <alignment vertical="top"/>
    </xf>
    <xf numFmtId="0" fontId="59" fillId="20" borderId="18" xfId="12" applyNumberFormat="1" applyFont="1" applyFill="1" applyBorder="1" applyAlignment="1">
      <alignment horizontal="left" vertical="top"/>
    </xf>
    <xf numFmtId="0" fontId="20" fillId="0" borderId="0" xfId="0" applyFont="1" applyAlignment="1">
      <alignment horizontal="center" vertical="center"/>
    </xf>
    <xf numFmtId="167" fontId="20" fillId="0" borderId="0" xfId="1" applyNumberFormat="1" applyFont="1" applyAlignment="1">
      <alignment horizontal="center" vertical="center"/>
    </xf>
    <xf numFmtId="3" fontId="32" fillId="20" borderId="15" xfId="5" applyNumberFormat="1" applyFont="1" applyFill="1" applyBorder="1" applyAlignment="1">
      <alignment horizontal="center" vertical="top"/>
    </xf>
    <xf numFmtId="3" fontId="32" fillId="20" borderId="17" xfId="5" applyNumberFormat="1" applyFont="1" applyFill="1" applyBorder="1" applyAlignment="1">
      <alignment horizontal="center" vertical="top"/>
    </xf>
    <xf numFmtId="3" fontId="32" fillId="20" borderId="18" xfId="5" applyNumberFormat="1" applyFont="1" applyFill="1" applyBorder="1" applyAlignment="1">
      <alignment horizontal="center" vertical="top"/>
    </xf>
    <xf numFmtId="0" fontId="31" fillId="20" borderId="15" xfId="5" applyNumberFormat="1" applyFont="1" applyFill="1" applyBorder="1" applyAlignment="1">
      <alignment vertical="top"/>
    </xf>
    <xf numFmtId="0" fontId="31" fillId="20" borderId="17" xfId="5" applyNumberFormat="1" applyFont="1" applyFill="1" applyBorder="1" applyAlignment="1">
      <alignment vertical="top"/>
    </xf>
    <xf numFmtId="0" fontId="47" fillId="20" borderId="28" xfId="7" applyNumberFormat="1" applyFont="1" applyFill="1" applyBorder="1" applyAlignment="1">
      <alignment horizontal="left" vertical="top"/>
    </xf>
    <xf numFmtId="0" fontId="3" fillId="19" borderId="15" xfId="4" applyNumberFormat="1" applyFont="1" applyFill="1" applyBorder="1" applyAlignment="1">
      <alignment vertical="top"/>
    </xf>
    <xf numFmtId="0" fontId="3" fillId="19" borderId="17" xfId="4" applyNumberFormat="1" applyFont="1" applyFill="1" applyBorder="1" applyAlignment="1">
      <alignment vertical="top"/>
    </xf>
    <xf numFmtId="0" fontId="3" fillId="19" borderId="16" xfId="4" applyNumberFormat="1" applyFont="1" applyFill="1" applyBorder="1" applyAlignment="1">
      <alignment vertical="top"/>
    </xf>
    <xf numFmtId="167" fontId="62" fillId="0" borderId="0" xfId="0" applyNumberFormat="1" applyFont="1" applyAlignment="1">
      <alignment horizontal="center"/>
    </xf>
    <xf numFmtId="167" fontId="63" fillId="0" borderId="0" xfId="0" applyNumberFormat="1" applyFont="1"/>
    <xf numFmtId="167" fontId="64" fillId="0" borderId="0" xfId="0" applyNumberFormat="1" applyFont="1"/>
    <xf numFmtId="167" fontId="39" fillId="23" borderId="0" xfId="0" applyNumberFormat="1" applyFont="1" applyFill="1"/>
    <xf numFmtId="167" fontId="18" fillId="23" borderId="0" xfId="0" applyNumberFormat="1" applyFont="1" applyFill="1"/>
  </cellXfs>
  <cellStyles count="14">
    <cellStyle name="Normal 2" xfId="2"/>
    <cellStyle name="Normal_1S 62" xfId="5"/>
    <cellStyle name="Normal_Check UT vs 1S" xfId="6"/>
    <cellStyle name="Normal_End of Mar Copy from" xfId="4"/>
    <cellStyle name="Обычный" xfId="0" builtinId="0"/>
    <cellStyle name="Обычный 2" xfId="10"/>
    <cellStyle name="Обычный 6" xfId="3"/>
    <cellStyle name="Обычный_Credit Days" xfId="13"/>
    <cellStyle name="Обычный_WB" xfId="7"/>
    <cellStyle name="Обычный_Лист1" xfId="9"/>
    <cellStyle name="Обычный_Лист2" xfId="8"/>
    <cellStyle name="Обычный_Щербакова" xfId="12"/>
    <cellStyle name="Финансовый" xfId="1" builtinId="3"/>
    <cellStyle name="Финансовый 2" xfId="11"/>
  </cellStyles>
  <dxfs count="371">
    <dxf>
      <font>
        <color rgb="FFFF0000"/>
      </font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ont>
        <color rgb="FFFF0000"/>
      </font>
    </dxf>
    <dxf>
      <fill>
        <patternFill patternType="solid">
          <bgColor theme="9" tint="0.79998168889431442"/>
        </patternFill>
      </fill>
    </dxf>
    <dxf>
      <font>
        <color rgb="FFFF0000"/>
      </font>
    </dxf>
    <dxf>
      <font>
        <b/>
      </font>
    </dxf>
    <dxf>
      <fill>
        <patternFill>
          <bgColor theme="9" tint="0.79998168889431442"/>
        </patternFill>
      </fill>
    </dxf>
    <dxf>
      <font>
        <color rgb="FFFF000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numFmt numFmtId="3" formatCode="#,##0"/>
      <alignment horizontal="right" vertical="top" textRotation="0" wrapText="0" indent="1" justifyLastLine="0" shrinkToFit="0" readingOrder="0"/>
    </dxf>
    <dxf>
      <border diagonalUp="0" diagonalDown="0">
        <left style="thin">
          <color indexed="64"/>
        </left>
        <right/>
        <top/>
        <bottom/>
        <vertical/>
        <horizontal/>
      </border>
    </dxf>
    <dxf>
      <alignment horizontal="left" vertical="bottom" textRotation="0" wrapText="0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1" indent="0" justifyLastLine="0" shrinkToFit="0" readingOrder="0"/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numFmt numFmtId="3" formatCode="#,##0"/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numFmt numFmtId="3" formatCode="#,##0"/>
    </dxf>
    <dxf>
      <numFmt numFmtId="3" formatCode="#,##0"/>
    </dxf>
    <dxf>
      <numFmt numFmtId="4" formatCode="#,##0.00"/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alignment vertical="center"/>
    </dxf>
    <dxf>
      <alignment vertical="center"/>
    </dxf>
    <dxf>
      <alignment vertical="center"/>
    </dxf>
    <dxf>
      <fill>
        <patternFill>
          <bgColor auto="1"/>
        </patternFill>
      </fill>
    </dxf>
    <dxf>
      <fill>
        <patternFill>
          <bgColor auto="1"/>
        </patternFill>
      </fill>
    </dxf>
    <dxf>
      <alignment horizontal="center"/>
    </dxf>
    <dxf>
      <alignment horizontal="center"/>
    </dxf>
    <dxf>
      <numFmt numFmtId="3" formatCode="#,##0"/>
    </dxf>
    <dxf>
      <numFmt numFmtId="3" formatCode="#,##0"/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/>
    </dxf>
    <dxf>
      <alignment horizontal="center"/>
    </dxf>
    <dxf>
      <alignment horizontal="center"/>
    </dxf>
    <dxf>
      <numFmt numFmtId="3" formatCode="#,##0"/>
    </dxf>
    <dxf>
      <numFmt numFmtId="167" formatCode="_-* #,##0_-;\-* #,##0_-;_-* &quot;-&quot;??_-;_-@_-"/>
    </dxf>
    <dxf>
      <numFmt numFmtId="167" formatCode="_-* #,##0_-;\-* #,##0_-;_-* &quot;-&quot;??_-;_-@_-"/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alignment vertical="center"/>
    </dxf>
    <dxf>
      <alignment vertical="center"/>
    </dxf>
    <dxf>
      <alignment vertical="center"/>
    </dxf>
    <dxf>
      <fill>
        <patternFill>
          <bgColor auto="1"/>
        </patternFill>
      </fill>
    </dxf>
    <dxf>
      <fill>
        <patternFill>
          <bgColor auto="1"/>
        </patternFill>
      </fill>
    </dxf>
    <dxf>
      <alignment horizontal="center"/>
    </dxf>
    <dxf>
      <alignment horizontal="center"/>
    </dxf>
    <dxf>
      <numFmt numFmtId="3" formatCode="#,##0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alignment vertical="center"/>
    </dxf>
    <dxf>
      <alignment vertical="center"/>
    </dxf>
    <dxf>
      <alignment vertical="center"/>
    </dxf>
    <dxf>
      <fill>
        <patternFill>
          <bgColor auto="1"/>
        </patternFill>
      </fill>
    </dxf>
    <dxf>
      <fill>
        <patternFill>
          <bgColor auto="1"/>
        </patternFill>
      </fill>
    </dxf>
    <dxf>
      <alignment horizontal="center"/>
    </dxf>
    <dxf>
      <alignment horizontal="center"/>
    </dxf>
    <dxf>
      <numFmt numFmtId="3" formatCode="#,##0"/>
    </dxf>
    <dxf>
      <numFmt numFmtId="3" formatCode="#,##0"/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theme="5" tint="0.79998168889431442"/>
        </patternFill>
      </fill>
    </dxf>
    <dxf>
      <font>
        <color rgb="FFC00000"/>
      </font>
    </dxf>
    <dxf>
      <fill>
        <patternFill patternType="none">
          <bgColor auto="1"/>
        </patternFill>
      </fill>
    </dxf>
    <dxf>
      <font>
        <sz val="10"/>
      </font>
    </dxf>
    <dxf>
      <font>
        <color rgb="FF0070C0"/>
      </font>
    </dxf>
    <dxf>
      <fill>
        <patternFill patternType="solid">
          <bgColor theme="0" tint="-4.9989318521683403E-2"/>
        </patternFill>
      </fill>
    </dxf>
    <dxf>
      <font>
        <color rgb="FFFF0000"/>
      </font>
    </dxf>
    <dxf>
      <font>
        <color rgb="FFFF0000"/>
      </font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numFmt numFmtId="167" formatCode="_-* #,##0_-;\-* #,##0_-;_-* &quot;-&quot;??_-;_-@_-"/>
    </dxf>
    <dxf>
      <numFmt numFmtId="167" formatCode="_-* #,##0_-;\-* #,##0_-;_-* &quot;-&quot;??_-;_-@_-"/>
    </dxf>
    <dxf>
      <numFmt numFmtId="167" formatCode="_-* #,##0_-;\-* #,##0_-;_-* &quot;-&quot;??_-;_-@_-"/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alignment vertical="center"/>
    </dxf>
    <dxf>
      <alignment vertical="center"/>
    </dxf>
    <dxf>
      <alignment vertical="center"/>
    </dxf>
    <dxf>
      <fill>
        <patternFill>
          <bgColor auto="1"/>
        </patternFill>
      </fill>
    </dxf>
    <dxf>
      <fill>
        <patternFill>
          <bgColor auto="1"/>
        </patternFill>
      </fill>
    </dxf>
    <dxf>
      <alignment horizontal="center"/>
    </dxf>
    <dxf>
      <alignment horizontal="center"/>
    </dxf>
    <dxf>
      <numFmt numFmtId="3" formatCode="#,##0"/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228600</xdr:colOff>
      <xdr:row>0</xdr:row>
      <xdr:rowOff>85725</xdr:rowOff>
    </xdr:from>
    <xdr:to>
      <xdr:col>2</xdr:col>
      <xdr:colOff>333375</xdr:colOff>
      <xdr:row>3</xdr:row>
      <xdr:rowOff>114300</xdr:rowOff>
    </xdr:to>
    <xdr:sp macro="" textlink="">
      <xdr:nvSpPr>
        <xdr:cNvPr id="2" name="Стрелка вниз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SpPr/>
      </xdr:nvSpPr>
      <xdr:spPr>
        <a:xfrm>
          <a:off x="2390775" y="85725"/>
          <a:ext cx="104775" cy="504825"/>
        </a:xfrm>
        <a:prstGeom prst="down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60;&#1048;&#1053;/2021/MA%20reporting%202021/08%202021/AR%20receivables%2008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justed Ageing (2)"/>
      <sheetName val="Data for WHS"/>
      <sheetName val="TM1 weekly"/>
      <sheetName val="Calculations &gt;&gt;"/>
      <sheetName val="DATA 2"/>
      <sheetName val="AR Provision"/>
      <sheetName val="By Brands(for WCAP)"/>
      <sheetName val="Adjusted Ageing by Customer"/>
      <sheetName val="Adjusted Ageing by Brand"/>
      <sheetName val="Pivots"/>
      <sheetName val="Sheet1"/>
      <sheetName val="Источник &gt;&gt;"/>
      <sheetName val="Отчет  УТ"/>
      <sheetName val="Справочники &gt;&gt;"/>
      <sheetName val="Credit Days"/>
      <sheetName val="Days Ranges"/>
      <sheetName val="Brands"/>
      <sheetName val="Check 1S 62 vs UT"/>
      <sheetName val="UT"/>
      <sheetName val="ип Щербакова"/>
      <sheetName val="WB+Приват"/>
      <sheetName val="End of Mar Copy from У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9">
          <cell r="E9">
            <v>0</v>
          </cell>
        </row>
        <row r="15">
          <cell r="E15">
            <v>-2480401.3119999999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4411.612516666668" createdVersion="6" refreshedVersion="7" minRefreshableVersion="3" recordCount="4995">
  <cacheSource type="worksheet">
    <worksheetSource ref="A5:X5000" sheet="Отчет по покупателям УТ"/>
  </cacheSource>
  <cacheFields count="24">
    <cacheField name="Doc Type" numFmtId="0">
      <sharedItems containsBlank="1" count="11">
        <s v="Отчет комиссионера о продажах"/>
        <s v="Корректировка долга"/>
        <s v="Платежное поручение входящее"/>
        <s v="Возврат товаров от покупателя"/>
        <s v="Реализация товаров и услуг"/>
        <s v="Документ расчетов с контрагентом (ручной учет)"/>
        <s v="Платежное поручение исходящее"/>
        <s v="Deposit"/>
        <m/>
        <s v="Поступление товаров и услуг" u="1"/>
        <s v="Поступление доп. расходов" u="1"/>
      </sharedItems>
    </cacheField>
    <cacheField name="Credit Days Nominal" numFmtId="0">
      <sharedItems containsString="0" containsBlank="1" containsNumber="1" containsInteger="1" minValue="0" maxValue="103"/>
    </cacheField>
    <cacheField name="Extra Credit Days (TYPE IN)" numFmtId="0">
      <sharedItems containsString="0" containsBlank="1" containsNumber="1" containsInteger="1" minValue="25" maxValue="86"/>
    </cacheField>
    <cacheField name="Doc Date" numFmtId="0">
      <sharedItems containsNonDate="0" containsDate="1" containsString="0" containsBlank="1" minDate="1899-12-30T00:00:00" maxDate="2021-08-03T00:00:00"/>
    </cacheField>
    <cacheField name="Due Date" numFmtId="0">
      <sharedItems containsNonDate="0" containsDate="1" containsString="0" containsBlank="1" minDate="1899-12-30T00:00:00" maxDate="2021-11-01T14:02:12"/>
    </cacheField>
    <cacheField name="OVRDS Days" numFmtId="0">
      <sharedItems containsString="0" containsBlank="1" containsNumber="1" minValue="-91.584861111114151" maxValue="44410"/>
    </cacheField>
    <cacheField name="Days Range Weekly" numFmtId="0">
      <sharedItems containsBlank="1" count="9">
        <s v="180+ days"/>
        <s v="Advance"/>
        <s v="46-90 days"/>
        <s v="31-45 days"/>
        <s v="Current"/>
        <s v="15-30 days"/>
        <s v="1-14 days"/>
        <m/>
        <s v="91-180 days" u="1"/>
      </sharedItems>
    </cacheField>
    <cacheField name="Days Range Monthly" numFmtId="0">
      <sharedItems containsBlank="1"/>
    </cacheField>
    <cacheField name="Brand Temp" numFmtId="0">
      <sharedItems containsBlank="1"/>
    </cacheField>
    <cacheField name="Brand" numFmtId="0">
      <sharedItems containsBlank="1" count="21">
        <s v="Converse"/>
        <s v="Multibrand"/>
        <s v="UGG"/>
        <s v="Saucony"/>
        <s v="Dr.Martens"/>
        <s v="Havaianas"/>
        <s v="Hush Puppies"/>
        <m/>
        <s v="Сток" u="1"/>
        <s v="Сток Converse" u="1"/>
        <s v="Сток Saucony" u="1"/>
        <s v="Nonconform" u="1"/>
        <s v="Дисконт" u="1"/>
        <s v="Сток Havaianas" u="1"/>
        <e v="#N/A" u="1"/>
        <s v="Экспорт" u="1"/>
        <s v="Сток Dr.Martens" u="1"/>
        <s v="Havainas" u="1"/>
        <s v="Check PLEASE" u="1"/>
        <s v="Сток UGG" u="1"/>
        <s v="Unknown" u="1"/>
      </sharedItems>
    </cacheField>
    <cacheField name="Amount" numFmtId="0">
      <sharedItems containsString="0" containsBlank="1" containsNumber="1" minValue="-15757218" maxValue="16982721"/>
    </cacheField>
    <cacheField name="Документ" numFmtId="0">
      <sharedItems containsBlank="1"/>
    </cacheField>
    <cacheField name="Контрагент" numFmtId="0">
      <sharedItems containsBlank="1" count="167">
        <s v="Кеды Вегас"/>
        <s v="Джинсовая Симфония ООО"/>
        <s v="Мосье Башмаков ООО"/>
        <s v="ИП Зубова Ульяна Константиновна"/>
        <s v="АЛЬФА ООО"/>
        <s v="ИП Пилюгина Юлия Юрьевна"/>
        <s v="Мамси ООО"/>
        <s v="ИП Ермолин Иван Юрьевич"/>
        <s v="БРЕНД АУТЛЕТ ООО"/>
        <s v="Бутик ООО"/>
        <s v="Торговый дом ЦУМ ОАО"/>
        <s v="ИП Харитонов Сергей Владимирович"/>
        <s v="Вайлдберриз ООО"/>
        <s v="ИП Рыжков Михаил Николаевич"/>
        <s v="Купишуз ООО"/>
        <s v="Макалу ООО"/>
        <s v="ОФФПРАЙС ООО"/>
        <s v="ИП Лохова Юлия Сергеевна"/>
        <s v="ИП Гагарин Никита Валерьевич"/>
        <s v="ИП Щербакова Полина Леонидовна"/>
        <s v="Мультибрэнд ООО"/>
        <s v="ИП Алемасова-Жижко Екатерина Викторовна"/>
        <s v="Реинвент ООО"/>
        <s v="Интернет Решения ООО"/>
        <s v="ИП Исхакова Татьяна Алексеевна"/>
        <s v="Бренд Стрит ООО"/>
        <s v="Приват Трэйд ООО"/>
        <s v="ИП Кондратьева Светлана Ефимовна"/>
        <s v="ЧЕРИКО-групп ООО"/>
        <s v="РАНДЕВУ ООО"/>
        <s v="ИП Журавлев Андрей  Васильевич"/>
        <s v="ИП Бабарскова Екатерина Николаевна"/>
        <s v="Синяя Гусеница ООО"/>
        <s v="Фолис Лтд ООО"/>
        <s v="ИП Марин Сергей Валериевич"/>
        <s v="ПУЛЬС КЛД ООО"/>
        <s v="ИП Стрелкова Валентина Владимировна"/>
        <s v="ИП Ядринцев Клим Германович"/>
        <s v="Атлет ООО"/>
        <s v="Бубновый валет ООО"/>
        <s v="БШ Стор ООО"/>
        <s v="ИНТЕРМОДЕ ООО"/>
        <s v="Интерстеп ДВ ООО"/>
        <s v="ИП Базылевич Андрей Сергеевич"/>
        <s v="ИП Блинов Олег Александрович"/>
        <s v="ИП Борисов Евгений Евгеньевич"/>
        <s v="ИП Брюкова Анна Александровна"/>
        <s v="ИП Гапон Юлия Николаевна"/>
        <s v="ИП Гашокин Владимир Борисович"/>
        <s v="ИП Гоголь Александр Владимирович"/>
        <s v="ИП Гоголь Виктория Валерьевна"/>
        <s v="ИП Гультяев Виталий Анатольевич"/>
        <s v="ИП Давыдов Али Косимович"/>
        <s v="ИП Журжалин Станислав Витальевич"/>
        <s v="ИП Земцова Наталья Демьяновна"/>
        <s v="ИП Зубова Татьяна Борисовна"/>
        <s v="ИП Иванов Милен Атанасов"/>
        <s v="ИП Косинов Денис Вадимович"/>
        <s v="ИП Кравченко Владимир Геннадиевич"/>
        <s v="ИП Кулагина Екатерина Владимировна"/>
        <s v="ИП Левин Антон Николаевич"/>
        <s v="ИП Мельник Андрей Анатольевич"/>
        <s v="ИП Михальчук Олег Александрович"/>
        <s v="ИП Моисеев Антон Александрович"/>
        <s v="ИП Неганов Дмитрий Витальевич"/>
        <s v="ИП Никольская Екатерина Николаевна"/>
        <s v="ИП Осипов Тарас Евгеньевич"/>
        <s v="ИП Пушин Алексей Николаевич"/>
        <s v="ИП Сайпов Дайтбек Магомедхабибович"/>
        <s v="ИП Серебрянников Андрей Евгеньевич"/>
        <s v="ИП Стародумов Дмитрий Сергеевич"/>
        <s v="ИП Тарасов Игорь Павлович"/>
        <s v="ИП Швец Ольга Владимировна"/>
        <s v="КАЛИПСО ООО"/>
        <s v="МЕГАПОЛИС77 ООО"/>
        <s v="МИДГАРД ООО"/>
        <s v="НайсУан ООО"/>
        <s v="ОганСпорт ООО"/>
        <s v="Перфект Трэйд ООО"/>
        <s v="Престиж ООО"/>
        <s v="Призма ООО"/>
        <s v="СТАФ ФО ЛАЙФ ООО"/>
        <s v="Траектория ООО"/>
        <s v="Центральный универмаг ООО"/>
        <m/>
        <s v="Deckers Europe Limited" u="1"/>
        <s v="ИП Катков Игорь Евгеньевич" u="1"/>
        <s v="Оптикал Саплайс ООО" u="1"/>
        <s v="Профи Трейд ООО" u="1"/>
        <s v="FLOURISH THRIVE DEVELOPMENTS LTD TAIWAN BRANCH" u="1"/>
        <s v="ИП Максимов Андрей Викторович" u="1"/>
        <s v="АМБ Сервис ООО" u="1"/>
        <s v="СкейтСкай ООО" u="1"/>
        <s v="Группа ДСМ ЗАО" u="1"/>
        <s v="Перспектива ООО" u="1"/>
        <s v="ИП Маркарян Арсен Владимирович" u="1"/>
        <s v="Комкад ООО" u="1"/>
        <s v="ИП Вербицкая Анастасия Андреевна" u="1"/>
        <s v="ATHERTON GLOBAL LIMITED" u="1"/>
        <s v="SKY HIGH TRADING LIMITED" u="1"/>
        <s v="ДХЛ Экспресс" u="1"/>
        <s v="DECOR (SUZHOU) CO LTD" u="1"/>
        <s v="Русмарин-Логистика-Н ООО" u="1"/>
        <s v="ИП Снигерева Галина Васильевна" u="1"/>
        <s v="Альтернатива ООО" u="1"/>
        <s v="WOLVERINE EUROPE B.V." u="1"/>
        <s v="ИннерВоркингс Рус ООО" u="1"/>
        <s v="ДХЛ Глобал Форвардинг ООО" u="1"/>
        <s v="NICE ELITE INTERNATIONAL LIMITED" u="1"/>
        <s v="Концепт ООО" u="1"/>
        <s v="ASI GLOBAL LIMITED" u="1"/>
        <s v="ASIAN SOURCING INTERNATIONAL LIMITED" u="1"/>
        <s v="Jiangsu Asian Sourcing Headwear Mfg. Co., Ltd" u="1"/>
        <s v="Wolverine World Wide, Inc." u="1"/>
        <s v="GREAT ASCENT TRADING LIMITED" u="1"/>
        <s v="ИП Крячко Сергей Владимирович" u="1"/>
        <s v="ИП Верхолаз Наталья Владимировна" u="1"/>
        <s v="ИП Корякин Сергей Олегович" u="1"/>
        <s v="Цветной Централ Маркет ООО" u="1"/>
        <s v="ИП Роговцева Миланья Александровна" u="1"/>
        <s v="Розничный покупатель Converse com" u="1"/>
        <s v="Межрегиональное операционное УФК (ФТС России) Тверская таможня" u="1"/>
        <s v="ИП Калинин Олег Владимирович " u="1"/>
        <s v="Sun and Sand Sports LLC" u="1"/>
        <s v="CONVERSE NETHERLANDS BV" u="1"/>
        <s v="МобилТранс ООО" u="1"/>
        <s v="SHINY EAST LIMITED" u="1"/>
        <s v="Orbico Style spolka z ograniczona odpowiedzialnoscia" u="1"/>
        <s v="ORIENT INTERNATIONAL HOLDING SHANGHAI KNITWEAR IMP.EXP.CO.,LTD." u="1"/>
        <s v="NINGBO SHENZHOU KNITTING CO LTD" u="1"/>
        <s v="Эко Полимер М ООО" u="1"/>
        <s v="ДХЛ Интернешнл" u="1"/>
        <s v="GROWTH-LINK OVERSEAS COMPANY LIMITED" u="1"/>
        <s v="Лестейт ООО" u="1"/>
        <s v="Фолис ЗАО" u="1"/>
        <s v="KANAAN CO LTD" u="1"/>
        <s v="FOWNES BROTHERS &amp; CO., INC." u="1"/>
        <s v="Paxar (Chaina) Limited" u="1"/>
        <s v="ДХЛ Экспресс ООО" u="1"/>
        <s v="Руста-Брокер ТК ООО" u="1"/>
        <s v="ИП Бтемирова Ольга Александровна" u="1"/>
        <s v="Чеширский КОТ ООО" u="1"/>
        <s v="ЭФ.ЭС. МАКЕНЗИ ООО" u="1"/>
        <s v="ЮСИМИ ООО" u="1"/>
        <s v="KUNSHAN SABRINA CLOTHES MAKING CO LTD" u="1"/>
        <s v="ИП Сайпов Дайтбек Магомедхабибович " u="1"/>
        <s v="Фортис групп ООО" u="1"/>
        <s v="СТОКМАНН АО" u="1"/>
        <s v="Yue Yuen Industrial Limited" u="1"/>
        <s v="Keenpac" u="1"/>
        <s v="Feng Tay Enterprises Co., Ltd." u="1"/>
        <s v="Delta Textile Bulgaria Ltd" u="1"/>
        <s v="ИП Калинин Олег Владимирович" u="1"/>
        <s v="ALPARGATAS EUROPE S.L.U." u="1"/>
        <s v="ПАО &quot;ТД &quot;Холдинг-Центр&quot;" u="1"/>
        <s v="Eagle Nice Development Limited" u="1"/>
        <s v="ИП Шенкман Илья Олегович" u="1"/>
        <s v="Руссо Транс ООО" u="1"/>
        <s v="Шереметьево Карго ОАО" u="1"/>
        <s v="SOUTH SAHARA AFRICAN TRADING DMCC" u="1"/>
        <s v="Анисоль ООО" u="1"/>
        <s v="JUMBO POWER ENTERPRISES LIMITED" u="1"/>
        <s v="YANGZHOU BAOYI SHOES MANUFACTURING CO.,LTD" u="1"/>
        <s v="AirWair International Limited" u="1"/>
        <s v="SUNVIEW INTERNATIONAL CORP" u="1"/>
        <s v="Москва Карго ООО" u="1"/>
        <s v="ТОО DSL PARTNERS" u="1"/>
      </sharedItems>
    </cacheField>
    <cacheField name="Дата" numFmtId="0">
      <sharedItems containsBlank="1"/>
    </cacheField>
    <cacheField name="Подразделение" numFmtId="0">
      <sharedItems containsBlank="1" count="22">
        <s v="ОПТ Converse"/>
        <s v="ОПТ Сток Converse"/>
        <s v="ОПТ Сток"/>
        <s v="ОПТ Сток UGG"/>
        <s v="ОПТ Сток Saucony"/>
        <s v="ОПТ Дисконт"/>
        <s v="ОПТ UGG"/>
        <s v="ОПТ Saucony"/>
        <s v="ОПТ Сток Dr.Martens"/>
        <s v="ОПТ Dr.Martens"/>
        <s v="ОПТ Сток Havaianas"/>
        <s v="ОПТ Havaianas"/>
        <s v="Hush Puppies"/>
        <m/>
        <s v="Converse" u="1"/>
        <s v="Nonconform" u="1"/>
        <s v="Экспорт" u="1"/>
        <s v="Dr.Martens" u="1"/>
        <s v="Havaianas" u="1"/>
        <s v="Saucony" u="1"/>
        <s v="UGG" u="1"/>
        <s v="ОПТ" u="1"/>
      </sharedItems>
    </cacheField>
    <cacheField name="Вид операции" numFmtId="0">
      <sharedItems containsBlank="1"/>
    </cacheField>
    <cacheField name="Договор.Наименование" numFmtId="0">
      <sharedItems containsBlank="1" count="114">
        <s v="№ 096/2013"/>
        <s v="№ 321/2017 от 01.11.2017"/>
        <s v="№ 346/2018 от 13.06.18"/>
        <s v="№ 365/2018 от 30.10.2018"/>
        <s v="№ 381/2019 от 26.03.2019"/>
        <s v="251/2015 от 23.07.2015"/>
        <s v="№ 379/2019 от 25.02.2019"/>
        <s v="№ 403/2019 от 01.10.2019"/>
        <s v="Счет-договор №360/2019 от 15.11.19"/>
        <s v="№ 316/2017 от 01.06.2017"/>
        <s v="0067/ДП00039381 от 06.04.2016"/>
        <s v="№ 416/2020 от 4 февраля 2020 года"/>
        <s v="№ 07/11 от 07.11.2016"/>
        <s v="№ 173Б/2014 от 01.06.2014"/>
        <s v="Договор №032/2012 от 01 марта 2012"/>
        <s v="Основной договор"/>
        <s v="№ 221/2015"/>
        <s v="Договор 212/2014 от 01.10.2014"/>
        <s v="№ 404/2019 от 08.10.2019"/>
        <s v="№ 350/2018 от 21.06.18"/>
        <s v="№429/2020 от 22.06.2020"/>
        <s v="Оферта"/>
        <s v="Основной договор 306/2017"/>
        <s v="№ 018/2012 от 19 марта 2012"/>
        <s v="Договор № 195/2014 от 01.08.2014"/>
        <s v="ИР-П 215/15 от 21.04.2015"/>
        <s v="258/2015 от 21.08.2015"/>
        <s v="№ 435/2020 от 16.09.2020"/>
        <s v="№ К 130-04-20 от 7 мая 2020 г."/>
        <s v="№242/2015 от 18.06.2015"/>
        <s v="418/2020 от 10.02.20"/>
        <s v="№ 385/2019 от 27.05.2019"/>
        <s v="061/2012 от 15 июня 2012"/>
        <s v="№ 236/2015 от 27.04.2015"/>
        <s v="№149/2013 От 01.10.2013"/>
        <s v="Депозит UGG SS22"/>
        <s v="306/2017 от 27.02.2017"/>
        <s v="№ 465/2021 от 21.06.2021"/>
        <s v="Депозит CON FA21"/>
        <s v="депозит SAU FW21"/>
        <s v="Депозит CON SP22"/>
        <s v="Депозит CON FA20"/>
        <s v="Депозит CON FW21"/>
        <s v="Депозит CON SP21"/>
        <s v="Депозит CON SU21"/>
        <s v="депозит DRM AW21"/>
        <s v="Депозит DRM SS21"/>
        <s v="Депозит DRM SS22"/>
        <s v="Депозит SAU AW21"/>
        <s v="Депозит SAU SS22"/>
        <s v="Депозит HAV SS21"/>
        <s v="Депозит SAU SS21"/>
        <s v="Депозит UGG FW21"/>
        <s v="депозит DRM FH20"/>
        <s v="Депозит UGG AW21"/>
        <s v="Депозит SAU SS19"/>
        <s v="Депозит CON SP17"/>
        <s v="Депозит CON SP20"/>
        <s v="Депозит DRM FH18"/>
        <s v="Депозит CON SU18"/>
        <s v="Депозит SAU SS20"/>
        <s v="Депозит CON SP19"/>
        <s v="Депозит SAU FA21"/>
        <s v="Депозит CON SU20"/>
        <s v="Депозит DRM FW21"/>
        <s v="Депозит DRM FH21"/>
        <s v="Депозит CON SS22"/>
        <s v="Депозит DRM FH19"/>
        <s v="Депозит UGG FW 21"/>
        <s v="депозит CON FA 21"/>
        <s v="Депозит DRM AW21 PEAK"/>
        <s v="депозит SAU FH21"/>
        <m/>
        <s v="09/2012 от 01 марта 2012" u="1"/>
        <s v="410/2019 от 29.11.2019" u="1"/>
        <s v="№ 426/2020 от 08.04.2020" u="1"/>
        <s v="№ 336/2018 от 08.05.2018" u="1"/>
        <s v="Договор №20/07-П от 20.07.2018" u="1"/>
        <s v="EUR" u="1"/>
        <s v="Контракт №1 от 25.11.2009 Dr Mar" u="1"/>
        <s v="Договор 20/07/2018 от 20.07.2018" u="1"/>
        <s v="Основной договор2" u="1"/>
        <s v="Основной договор  1/18 от 29.01.2018г." u="1"/>
        <s v="№432/2020 от 12.08.2020" u="1"/>
        <s v="Депозит UGG SS20" u="1"/>
        <s v="№ 351/2018 от 22.06.18" u="1"/>
        <s v="депозит UGG FH21" u="1"/>
        <s v="№ 295/2016 от 14.12.2016" u="1"/>
        <s v="Депозит CON SP18" u="1"/>
        <s v="№ 372/2018 от 20.12.2018" u="1"/>
        <s v="Основной договор USD" u="1"/>
        <s v="Договор № 449/2021 от 13.01.2021" u="1"/>
        <s v="№ 323/2017 от 28.11.17" u="1"/>
        <s v="Депозит UGG SS21" u="1"/>
        <s v="№ 378/2019 от 07.02.2019" u="1"/>
        <s v="№ 342/2018 от 01.06.18" u="1"/>
        <s v="Депозит CON PEAK SU21" u="1"/>
        <s v="№  б/н от 18.01.2017" u="1"/>
        <s v="Депозит DRM FH19 " u="1"/>
        <s v="№ 221/2015 " u="1"/>
        <s v="№120/2013 от 20.05.2013" u="1"/>
        <s v="№452/2021 от 03.03.21" u="1"/>
        <s v="депозит DRM FW20" u="1"/>
        <s v="№ ТЭО-11 от 27.04.2016г." u="1"/>
        <s v="412/2019 от 20.12.2019" u="1"/>
        <s v="048/2012 от 10 марта 2012" u="1"/>
        <s v="433/2020 от 13.08.2020" u="1"/>
        <s v="DGF-2019-2803 от 23.10.2019" u="1"/>
        <s v="Депозит SAU FH20" u="1"/>
        <s v="035/2012 от 01 марта 2012" u="1"/>
        <s v="депозит UGG FH20" u="1"/>
        <s v="№ 283/2016 от 18.05.2016" u="1"/>
        <s v="Депозит CON FA18" u="1"/>
        <s v="413/2019 от 23.12.2020" u="1"/>
      </sharedItems>
    </cacheField>
    <cacheField name="2. Долг &gt; 45 дней и &lt; 3-х месяцев" numFmtId="0">
      <sharedItems containsBlank="1"/>
    </cacheField>
    <cacheField name="3. Долг ≥ 3 и &lt; 6 месяцев" numFmtId="0">
      <sharedItems containsNonDate="0" containsString="0" containsBlank="1"/>
    </cacheField>
    <cacheField name="4. Долг ≥ 6 и &lt; 9 месяцев" numFmtId="0">
      <sharedItems containsNonDate="0" containsString="0" containsBlank="1"/>
    </cacheField>
    <cacheField name="6. Долг &gt; 12 месяцев" numFmtId="0">
      <sharedItems containsNonDate="0" containsString="0" containsBlank="1"/>
    </cacheField>
    <cacheField name="Сумма авансов" numFmtId="0">
      <sharedItems containsNonDate="0" containsString="0" containsBlank="1"/>
    </cacheField>
    <cacheField name="Сумма депозита" numFmtId="0">
      <sharedItems containsBlank="1"/>
    </cacheField>
    <cacheField name="Итого" numFmtId="0">
      <sharedItems containsString="0" containsBlank="1" containsNumber="1" minValue="-15757218" maxValue="169827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.tyuleneva" refreshedDate="44454.512180439815" createdVersion="5" refreshedVersion="5" minRefreshableVersion="3" recordCount="419">
  <cacheSource type="worksheet">
    <worksheetSource ref="A5:X424" sheet="Отчет по покупателям УТ"/>
  </cacheSource>
  <cacheFields count="24">
    <cacheField name="Doc Type" numFmtId="0">
      <sharedItems containsBlank="1"/>
    </cacheField>
    <cacheField name="Credit Days Nominal" numFmtId="0">
      <sharedItems containsString="0" containsBlank="1" containsNumber="1" containsInteger="1" minValue="0" maxValue="125"/>
    </cacheField>
    <cacheField name="Extra Credit Days (TYPE IN)" numFmtId="0">
      <sharedItems containsString="0" containsBlank="1" containsNumber="1" containsInteger="1" minValue="1" maxValue="43"/>
    </cacheField>
    <cacheField name="Doc Date" numFmtId="0">
      <sharedItems containsNonDate="0" containsDate="1" containsString="0" containsBlank="1" minDate="1899-12-30T00:00:00" maxDate="2021-09-15T00:00:00"/>
    </cacheField>
    <cacheField name="Due Date" numFmtId="14">
      <sharedItems containsNonDate="0" containsDate="1" containsString="0" containsBlank="1" minDate="1899-12-30T00:00:00" maxDate="2022-01-13T13:37:05"/>
    </cacheField>
    <cacheField name="OVRDS Days" numFmtId="0">
      <sharedItems containsString="0" containsBlank="1" containsNumber="1" minValue="-121.56741898148175" maxValue="44453"/>
    </cacheField>
    <cacheField name="Days Range Weekly" numFmtId="0">
      <sharedItems containsBlank="1"/>
    </cacheField>
    <cacheField name="Days Range Monthly" numFmtId="0">
      <sharedItems containsBlank="1"/>
    </cacheField>
    <cacheField name="Brand Temp" numFmtId="0">
      <sharedItems containsBlank="1"/>
    </cacheField>
    <cacheField name="Brand" numFmtId="0">
      <sharedItems containsBlank="1"/>
    </cacheField>
    <cacheField name="Amount" numFmtId="3">
      <sharedItems containsString="0" containsBlank="1" containsNumber="1" minValue="-15757218" maxValue="16982721"/>
    </cacheField>
    <cacheField name="Документ" numFmtId="0">
      <sharedItems containsBlank="1"/>
    </cacheField>
    <cacheField name="Контрагент" numFmtId="0">
      <sharedItems containsBlank="1" count="92">
        <s v="Джинсовая Симфония ООО"/>
        <s v="Мосье Башмаков ООО"/>
        <s v="ИП Зубова Ульяна Константиновна"/>
        <s v="АЛЬФА ООО"/>
        <s v="ИП Ермолин Иван Юрьевич"/>
        <s v="БРЕНД АУТЛЕТ ООО"/>
        <s v="Бутик ООО"/>
        <s v="Торговый дом ЦУМ ОАО"/>
        <s v="ИП Харитонов Сергей Владимирович"/>
        <s v="ИП Рыжков Михаил Николаевич"/>
        <s v="Купишуз ООО"/>
        <s v="Макалу ООО"/>
        <s v="ОФФПРАЙС ООО"/>
        <s v="Вайлдберриз ООО"/>
        <s v="ИП Гагарин Никита Валерьевич"/>
        <s v="Интернет Решения ООО"/>
        <s v="Мультибрэнд ООО"/>
        <s v="ИП Алемасова-Жижко Екатерина Викторовна"/>
        <s v="Реинвент ООО"/>
        <s v="ИП Исхакова Татьяна Алексеевна"/>
        <s v="Бренд Стрит ООО"/>
        <s v="ИП Щербакова Полина Леонидовна"/>
        <s v="Приват Трэйд ООО"/>
        <s v="ЧЕРИКО-групп ООО"/>
        <s v="ИП Бабарскова Екатерина Николаевна"/>
        <s v="Синяя Гусеница ООО"/>
        <s v="ИП Ядринцев Клим Германович"/>
        <s v="ИП Кондратьева Светлана Ефимовна"/>
        <s v="Фолис Лтд ООО"/>
        <s v="СТОКМАНН АО"/>
        <s v="ИП Пилюгина Юлия Юрьевна"/>
        <s v="ЭРГО СПОРТ ООО"/>
        <s v="Брикс ООО"/>
        <s v="РАНДЕВУ ООО"/>
        <s v="ИП Марин Сергей Валериевич"/>
        <s v="Интерстеп ДВ ООО"/>
        <s v="ИП Журавлев Андрей  Васильевич"/>
        <s v="МИДГАРД ООО"/>
        <s v="ИП Максимов Андрей Викторович"/>
        <s v="ПУЛЬС КЛД ООО"/>
        <s v="Атлет ООО"/>
        <s v="Бубновый валет ООО"/>
        <s v="БШ Стор ООО"/>
        <s v="ИНТЕРМОДЕ ООО"/>
        <s v="ИП Базылевич Андрей Сергеевич"/>
        <s v="ИП Блинов Олег Александрович"/>
        <s v="ИП Борисов Евгений Евгеньевич"/>
        <s v="ИП Брюкова Анна Александровна"/>
        <s v="ИП Гапон Юлия Николаевна"/>
        <s v="ИП Гашокин Владимир Борисович"/>
        <s v="ИП Гоголь Александр Владимирович"/>
        <s v="ИП Гоголь Виктория Валерьевна"/>
        <s v="ИП Гультяев Виталий Анатольевич"/>
        <s v="ИП Давыдов Али Косимович"/>
        <s v="ИП Журжалин Станислав Витальевич"/>
        <s v="ИП Земцова Наталья Демьяновна"/>
        <s v="ИП Зубова Татьяна Борисовна"/>
        <s v="ИП Иванов Милен Атанасов"/>
        <s v="ИП Калинин Олег Владимирович"/>
        <s v="ИП Косинов Денис Вадимович"/>
        <s v="ИП Кравченко Владимир Геннадиевич"/>
        <s v="ИП Кулагина Екатерина Владимировна"/>
        <s v="ИП Левин Антон Николаевич"/>
        <s v="ИП Мельник Андрей Анатольевич"/>
        <s v="ИП Михальчук Олег Александрович"/>
        <s v="ИП Моисеев Антон Александрович"/>
        <s v="ИП Неганов Дмитрий Витальевич"/>
        <s v="ИП Никольская Екатерина Николаевна"/>
        <s v="ИП Осипов Тарас Евгеньевич"/>
        <s v="ИП Пушин Алексей Николаевич"/>
        <s v="ИП Сайпов Дайтбек Магомедхабибович"/>
        <s v="ИП Серебрянников Андрей Евгеньевич"/>
        <s v="ИП Стародумов Дмитрий Сергеевич"/>
        <s v="ИП Стрелкова Валентина Владимировна"/>
        <s v="ИП Тарасов Игорь Павлович"/>
        <s v="ИП Швец Ольга Владимировна"/>
        <s v="КАЛИПСО ООО"/>
        <s v="МЕГАПОЛИС77 ООО"/>
        <s v="НайсУан ООО"/>
        <s v="ОганСпорт ООО"/>
        <s v="Перфект Трэйд ООО"/>
        <s v="Престиж ООО"/>
        <s v="Призма ООО"/>
        <s v="Спорт-Люкс ООО"/>
        <s v="СТАФ ФО ЛАЙФ ООО"/>
        <s v="Траектория ООО"/>
        <s v="Центральный универмаг ООО"/>
        <m/>
        <s v="ИП Исхаков Тимур Маратович" u="1"/>
        <s v="ИП Янчевский Владимир Дмитриевич" u="1"/>
        <s v="ИП Лохова Юлия Сергеевна" u="1"/>
        <s v="Лестейт ООО" u="1"/>
      </sharedItems>
    </cacheField>
    <cacheField name="Дата" numFmtId="0">
      <sharedItems containsBlank="1"/>
    </cacheField>
    <cacheField name="Подразделение" numFmtId="0">
      <sharedItems containsBlank="1"/>
    </cacheField>
    <cacheField name="Вид операции" numFmtId="0">
      <sharedItems containsBlank="1"/>
    </cacheField>
    <cacheField name="Договор.Наименование" numFmtId="0">
      <sharedItems containsBlank="1"/>
    </cacheField>
    <cacheField name="2. Долг &gt; 45 дней и &lt; 3-х месяцев" numFmtId="0">
      <sharedItems containsBlank="1"/>
    </cacheField>
    <cacheField name="3. Долг ≥ 3 и &lt; 6 месяцев" numFmtId="3">
      <sharedItems containsNonDate="0" containsString="0" containsBlank="1"/>
    </cacheField>
    <cacheField name="4. Долг ≥ 6 и &lt; 9 месяцев" numFmtId="3">
      <sharedItems containsNonDate="0" containsString="0" containsBlank="1"/>
    </cacheField>
    <cacheField name="6. Долг &gt; 12 месяцев" numFmtId="3">
      <sharedItems containsNonDate="0" containsString="0" containsBlank="1"/>
    </cacheField>
    <cacheField name="Сумма авансов" numFmtId="3">
      <sharedItems containsNonDate="0" containsString="0" containsBlank="1"/>
    </cacheField>
    <cacheField name="Сумма депозита" numFmtId="3">
      <sharedItems containsBlank="1" count="3">
        <s v="Negative"/>
        <s v="Positive"/>
        <m/>
      </sharedItems>
    </cacheField>
    <cacheField name="Итого" numFmtId="0">
      <sharedItems containsString="0" containsBlank="1" containsNumber="1" minValue="-15757218" maxValue="169827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t.tyuleneva" refreshedDate="44454.512617361113" createdVersion="6" refreshedVersion="5" minRefreshableVersion="3" recordCount="2583">
  <cacheSource type="worksheet">
    <worksheetSource ref="A5:X2588" sheet="Отчет по покупателям УТ"/>
  </cacheSource>
  <cacheFields count="24">
    <cacheField name="Doc Type" numFmtId="0">
      <sharedItems containsBlank="1" count="20">
        <s v="Платежное поручение входящее"/>
        <s v="Возврат товаров от покупателя"/>
        <s v="Реализация товаров и услуг"/>
        <s v="Отчет комиссионера о продажах"/>
        <s v="Deposit"/>
        <m/>
        <s v="Payment" u="1"/>
        <s v="Платежное поручение входящее " u="1"/>
        <s v="Документ расчетов с контрагентом (ручной учет)" u="1"/>
        <s v="Поступление доп. расходов " u="1"/>
        <s v="Поступление товаров и услуг" u="1"/>
        <s v="Возврат товаров от покупателя " u="1"/>
        <s v="Реализация товаров и услуг " u="1"/>
        <s v="Корректировка долга" u="1"/>
        <s v="Поступление товаров и услуг " u="1"/>
        <s v="Документ расчетов с контрагентом (ручной учет) " u="1"/>
        <s v="Отчет комиссионера о продажах " u="1"/>
        <s v="Поступление доп. расходов" u="1"/>
        <s v="Платежное поручение исходящее" u="1"/>
        <s v="Корректировка долга " u="1"/>
      </sharedItems>
    </cacheField>
    <cacheField name="Credit Days Nominal" numFmtId="0">
      <sharedItems containsString="0" containsBlank="1" containsNumber="1" containsInteger="1" minValue="0" maxValue="125"/>
    </cacheField>
    <cacheField name="Extra Credit Days (TYPE IN)" numFmtId="0">
      <sharedItems containsString="0" containsBlank="1" containsNumber="1" containsInteger="1" minValue="1" maxValue="43"/>
    </cacheField>
    <cacheField name="Doc Date" numFmtId="0">
      <sharedItems containsNonDate="0" containsDate="1" containsString="0" containsBlank="1" minDate="1899-12-30T00:00:00" maxDate="2021-09-15T00:00:00"/>
    </cacheField>
    <cacheField name="Due Date" numFmtId="14">
      <sharedItems containsNonDate="0" containsDate="1" containsString="0" containsBlank="1" minDate="1899-12-30T00:00:00" maxDate="2022-01-13T13:37:05"/>
    </cacheField>
    <cacheField name="OVRDS Days" numFmtId="0">
      <sharedItems containsString="0" containsBlank="1" containsNumber="1" minValue="-121.56741898148175" maxValue="44453"/>
    </cacheField>
    <cacheField name="Days Range Weekly" numFmtId="0">
      <sharedItems containsBlank="1" count="10">
        <s v="Advance"/>
        <s v="180+ days"/>
        <s v="91-180 days"/>
        <s v="46-90 days"/>
        <s v="31-45 days"/>
        <s v="Current"/>
        <s v="15-30 days"/>
        <s v="1-14 days"/>
        <m/>
        <e v="#N/A" u="1"/>
      </sharedItems>
    </cacheField>
    <cacheField name="Days Range Monthly" numFmtId="0">
      <sharedItems containsBlank="1" count="8">
        <s v="Advance"/>
        <s v="&gt;12 months"/>
        <s v="6 - 9 months"/>
        <s v="3 - 6 months"/>
        <s v="Current"/>
        <m/>
        <e v="#N/A" u="1"/>
        <s v="9 - 12 months" u="1"/>
      </sharedItems>
    </cacheField>
    <cacheField name="Brand Temp" numFmtId="0">
      <sharedItems containsBlank="1"/>
    </cacheField>
    <cacheField name="Brand" numFmtId="0">
      <sharedItems containsBlank="1" count="21">
        <s v="Multibrand"/>
        <s v="Converse"/>
        <s v="UGG"/>
        <s v="Saucony"/>
        <s v="Dr.Martens"/>
        <s v="Havaianas"/>
        <s v="Hush Puppies"/>
        <m/>
        <s v="Сток" u="1"/>
        <s v="Сток Converse" u="1"/>
        <s v="Сток Saucony" u="1"/>
        <s v="Nonconform" u="1"/>
        <s v="Дисконт" u="1"/>
        <s v="Сток Havaianas" u="1"/>
        <e v="#N/A" u="1"/>
        <s v="Экспорт" u="1"/>
        <s v="Сток Dr.Martens" u="1"/>
        <s v="Havainas" u="1"/>
        <s v="Check PLEASE" u="1"/>
        <s v="Сток UGG" u="1"/>
        <s v="Unknown" u="1"/>
      </sharedItems>
    </cacheField>
    <cacheField name="Amount" numFmtId="3">
      <sharedItems containsString="0" containsBlank="1" containsNumber="1" minValue="-15757218" maxValue="16982721"/>
    </cacheField>
    <cacheField name="Документ" numFmtId="0">
      <sharedItems containsBlank="1" count="3175">
        <s v="Платежное поручение входящее БПБП0002007 от 07.05.2018 23:59:59"/>
        <s v="Платежное поручение входящее БПБП0004770 от 18.09.2018 23:59:59"/>
        <s v="Возврат товаров от покупателя УТ000000466 от 03.12.2018 13:35:35"/>
        <s v="Платежное поручение входящее БПБП0002194 от 05.04.2019 23:55:59"/>
        <s v="Платежное поручение входящее БПБП0006749 от 28.10.2019 23:59:59"/>
        <s v="Платежное поручение входящее БПБП0007225 от 18.11.2019 23:59:59"/>
        <s v="Платежное поручение входящее УТ000000015 от 29.01.2020 23:59:59"/>
        <s v="Платежное поручение входящее БПБП0000906 от 11.02.2020 2:35:59"/>
        <s v="Реализация товаров и услуг УТ000002322 от 17.02.2020 11:38:25"/>
        <s v="Платежное поручение входящее 00BF-001664 от 22.09.2020 23:03:50"/>
        <s v="Реализация товаров и услуг УТ000030440 от 27.10.2020 18:42:25"/>
        <s v="Платежное поручение входящее 00BF-002672 от 30.10.2020 17:00:00"/>
        <s v="Реализация товаров и услуг УТ000032158 от 30.11.2020 16:52:35"/>
        <s v="Реализация товаров и услуг УТ000032160 от 30.11.2020 16:54:56"/>
        <s v="Реализация товаров и услуг УТ000032161 от 30.11.2020 16:55:25"/>
        <s v="Платежное поручение входящее 00BF-003765 от 08.12.2020 17:00:00"/>
        <s v="Реализация товаров и услуг УТ000032946 от 10.12.2020 14:53:39"/>
        <s v="Платежное поручение входящее 00BF-000343 от 15.01.2021 17:00:00"/>
        <s v="Реализация товаров и услуг УТ000002390 от 05.02.2021 14:34:05"/>
        <s v="Реализация товаров и услуг УТ000002392 от 05.02.2021 14:38:34"/>
        <s v="Реализация товаров и услуг УТ000002438 от 12.02.2021 11:35:17"/>
        <s v="Платежное поручение входящее 00BF-001044 от 12.02.2021 17:00:00"/>
        <s v="Реализация товаров и услуг УТ000002459 от 15.02.2021 12:18:01"/>
        <s v="Реализация товаров и услуг УТ000002485 от 18.02.2021 10:47:27"/>
        <s v="Реализация товаров и услуг УТ000002487 от 18.02.2021 12:28:03"/>
        <s v="Реализация товаров и услуг УТ000004012 от 26.02.2021 14:20:48"/>
        <s v="Реализация товаров и услуг УТ000004873 от 10.03.2021 12:07:54"/>
        <s v="Реализация товаров и услуг УТ000005003 от 12.03.2021 13:22:44"/>
        <s v="Реализация товаров и услуг УТ000005429 от 18.03.2021 11:02:50"/>
        <s v="Реализация товаров и услуг УТ000005486 от 19.03.2021 11:02:30"/>
        <s v="Платежное поручение входящее 00BF-002076 от 23.03.2021 17:00:00"/>
        <s v="Реализация товаров и услуг УТ000005867 от 24.03.2021 17:03:10"/>
        <s v="Реализация товаров и услуг УТ000005988 от 26.03.2021 16:22:25"/>
        <s v="Реализация товаров и услуг УТ000005990 от 26.03.2021 16:25:27"/>
        <s v="Платежное поручение входящее 00BF-002577 от 12.04.2021 17:00:00"/>
        <s v="Платежное поручение входящее УТ000000082 от 13.04.2021 23:41:08"/>
        <s v="Реализация товаров и услуг УТ000007810 от 15.04.2021 11:24:29"/>
        <s v="Реализация товаров и услуг УТ000007835 от 15.04.2021 18:42:45"/>
        <s v="Реализация товаров и услуг УТ000008560 от 21.04.2021 18:33:34"/>
        <s v="Платежное поручение входящее 00BF-002869 от 22.04.2021 17:00:00"/>
        <s v="Платежное поручение входящее УТ000000107 от 23.04.2021 23:50:07"/>
        <s v="Реализация товаров и услуг УТ000009134 от 27.04.2021 10:41:26"/>
        <s v="Реализация товаров и услуг УТ000009135 от 27.04.2021 10:41:36"/>
        <s v="Реализация товаров и услуг УТ000009264 от 28.04.2021 16:07:29"/>
        <s v="Реализация товаров и услуг УТ000009357 от 29.04.2021 9:56:15"/>
        <s v="Реализация товаров и услуг УТ000009358 от 29.04.2021 9:57:11"/>
        <s v="Реализация товаров и услуг УТ000009359 от 29.04.2021 9:58:08"/>
        <s v="Реализация товаров и услуг УТ000009360 от 29.04.2021 9:59:16"/>
        <s v="Реализация товаров и услуг УТ000009414 от 29.04.2021 23:21:13"/>
        <s v="Отчет комиссионера о продажах УТ000000233 от 30.04.2021 17:23:13"/>
        <s v="Реализация товаров и услуг УТ000010295 от 11.05.2021 14:38:55"/>
        <s v="Реализация товаров и услуг УТ000010902 от 17.05.2021 17:40:52"/>
        <s v="Реализация товаров и услуг УТ000011179 от 19.05.2021 13:34:36"/>
        <s v="Реализация товаров и услуг УТ000011308 от 20.05.2021 12:10:50"/>
        <s v="Реализация товаров и услуг УТ000011317 от 20.05.2021 16:20:39"/>
        <s v="Реализация товаров и услуг УТ000011948 от 26.05.2021 12:49:04"/>
        <s v="Реализация товаров и услуг УТ000011949 от 26.05.2021 12:51:56"/>
        <s v="Реализация товаров и услуг УТ000011950 от 26.05.2021 12:54:58"/>
        <s v="Реализация товаров и услуг УТ000011951 от 26.05.2021 13:07:48"/>
        <s v="Реализация товаров и услуг УТ000011953 от 26.05.2021 13:08:01"/>
        <s v="Реализация товаров и услуг УТ000011954 от 26.05.2021 13:12:23"/>
        <s v="Реализация товаров и услуг УТ000011952 от 26.05.2021 14:59:23"/>
        <s v="Отчет комиссионера о продажах УТ000000271 от 31.05.2021 12:57:59"/>
        <s v="Отчет комиссионера о продажах УТ000000272 от 31.05.2021 12:59:11"/>
        <s v="Отчет комиссионера о продажах УТ000000273 от 31.05.2021 13:00:28"/>
        <s v="Отчет комиссионера о продажах УТ000000274 от 31.05.2021 13:02:17"/>
        <s v="Платежное поручение входящее 00BF-004046 от 08.06.2021 17:00:00"/>
        <s v="Платежное поручение входящее 00BF-004050 от 08.06.2021 17:00:00"/>
        <s v="Реализация товаров и услуг УТ000013449 от 10.06.2021 10:46:49"/>
        <s v="Реализация товаров и услуг УТ000013453 от 10.06.2021 10:52:56"/>
        <s v="Реализация товаров и услуг УТ000013452 от 10.06.2021 13:34:25"/>
        <s v="Реализация товаров и услуг УТ000013448 от 10.06.2021 13:35:04"/>
        <s v="Реализация товаров и услуг УТ000013454 от 10.06.2021 14:08:05"/>
        <s v="Реализация товаров и услуг УТ000013472 от 10.06.2021 15:20:44"/>
        <s v="Реализация товаров и услуг УТ000013589 от 11.06.2021 12:40:27"/>
        <s v="Реализация товаров и услуг УТ000013590 от 11.06.2021 12:43:25"/>
        <s v="Реализация товаров и услуг УТ000013588 от 11.06.2021 14:50:07"/>
        <s v="Реализация товаров и услуг УТ000013595 от 11.06.2021 15:49:46"/>
        <s v="Платежное поручение входящее 00BF-004129 от 11.06.2021 17:00:00"/>
        <s v="Реализация товаров и услуг УТ000014764 от 21.06.2021 20:51:10"/>
        <s v="Платежное поручение входящее 00BF-004404 от 22.06.2021 17:00:00"/>
        <s v="Платежное поручение входящее 00BF-004557 от 29.06.2021 17:00:00"/>
        <s v="Отчет комиссионера о продажах УТ000000307 от 30.06.2021 19:02:46"/>
        <s v="Отчет комиссионера о продажах УТ000000309 от 30.06.2021 19:04:30"/>
        <s v="Отчет комиссионера о продажах УТ000000310 от 30.06.2021 19:05:27"/>
        <s v="Отчет комиссионера о продажах УТ000000311 от 30.06.2021 19:06:26"/>
        <s v="Реализация товаров и услуг УТ000016050 от 01.07.2021 12:33:37"/>
        <s v="Реализация товаров и услуг УТ000016051 от 01.07.2021 12:47:17"/>
        <s v="Реализация товаров и услуг УТ000016054 от 01.07.2021 13:12:35"/>
        <s v="Реализация товаров и услуг УТ000016055 от 01.07.2021 13:17:30"/>
        <s v="Реализация товаров и услуг УТ000016056 от 01.07.2021 13:26:34"/>
        <s v="Реализация товаров и услуг УТ000016059 от 01.07.2021 14:02:40"/>
        <s v="Реализация товаров и услуг УТ000016064 от 01.07.2021 14:38:05"/>
        <s v="Реализация товаров и услуг УТ000016065 от 01.07.2021 14:40:45"/>
        <s v="Реализация товаров и услуг УТ000016067 от 01.07.2021 15:33:57"/>
        <s v="Реализация товаров и услуг УТ000016075 от 01.07.2021 17:19:34"/>
        <s v="Реализация товаров и услуг УТ000016867 от 08.07.2021 13:49:28"/>
        <s v="Реализация товаров и услуг УТ000017483 от 14.07.2021 13:18:35"/>
        <s v="Реализация товаров и услуг УТ000017795 от 16.07.2021 10:37:31"/>
        <s v="Реализация товаров и услуг УТ000017796 от 16.07.2021 10:39:17"/>
        <s v="Реализация товаров и услуг УТ000018149 от 19.07.2021 13:52:21"/>
        <s v="Реализация товаров и услуг УТ000018162 от 19.07.2021 16:45:35"/>
        <s v="Реализация товаров и услуг УТ000018448 от 21.07.2021 11:42:32"/>
        <s v="Реализация товаров и услуг УТ000018645 от 22.07.2021 15:18:36"/>
        <s v="Реализация товаров и услуг УТ000018784 от 28.07.2021 15:40:27"/>
        <s v="Реализация товаров и услуг УТ000018788 от 29.07.2021 14:02:12"/>
        <s v="Реализация товаров и услуг УТ000018792 от 29.07.2021 17:02:08"/>
        <s v="Реализация товаров и услуг УТ000018791 от 29.07.2021 17:03:35"/>
        <s v="Реализация товаров и услуг УТ000018790 от 29.07.2021 17:07:48"/>
        <s v="Реализация товаров и услуг УТ000018811 от 30.07.2021 15:00:13"/>
        <s v="Платежное поручение входящее 00BF-005350 от 30.07.2021 17:00:00"/>
        <s v="Отчет комиссионера о продажах УТ000000340 от 31.07.2021 16:27:49"/>
        <s v="Отчет комиссионера о продажах УТ000000341 от 31.07.2021 16:29:01"/>
        <s v="Отчет комиссионера о продажах УТ000000342 от 31.07.2021 16:30:07"/>
        <s v="Отчет комиссионера о продажах УТ000000343 от 31.07.2021 16:30:58"/>
        <s v="Отчет комиссионера о продажах УТ000000349 от 31.07.2021 17:04:41"/>
        <s v="Реализация товаров и услуг УТ000018841 от 05.08.2021 12:34:40"/>
        <s v="Реализация товаров и услуг УТ000018842 от 05.08.2021 12:36:39"/>
        <s v="Реализация товаров и услуг УТ000018840 от 05.08.2021 13:10:51"/>
        <s v="Реализация товаров и услуг УТ000018870 от 12.08.2021 13:37:54"/>
        <s v="Платежное поручение входящее 00BF-005750 от 14.08.2021 17:00:00"/>
        <s v="Реализация товаров и услуг УТ000018889 от 16.08.2021 10:40:16"/>
        <s v="Реализация товаров и услуг УТ000026361 от 20.08.2021 0:00:00"/>
        <s v="Реализация товаров и услуг УТ000026219 от 20.08.2021 11:33:02"/>
        <s v="Реализация товаров и услуг УТ000026235 от 20.08.2021 11:36:30"/>
        <s v="Реализация товаров и услуг УТ000026243 от 20.08.2021 11:39:00"/>
        <s v="Реализация товаров и услуг УТ000026251 от 20.08.2021 11:40:29"/>
        <s v="Реализация товаров и услуг УТ000026296 от 20.08.2021 11:51:07"/>
        <s v="Реализация товаров и услуг УТ000026306 от 20.08.2021 12:00:00"/>
        <s v="Реализация товаров и услуг УТ000026355 от 20.08.2021 12:27:52"/>
        <s v="Реализация товаров и услуг УТ000026356 от 20.08.2021 12:34:11"/>
        <s v="Реализация товаров и услуг УТ000026357 от 20.08.2021 12:42:12"/>
        <s v="Реализация товаров и услуг УТ000026358 от 20.08.2021 12:45:40"/>
        <s v="Реализация товаров и услуг УТ000026362 от 20.08.2021 14:11:33"/>
        <s v="Реализация товаров и услуг УТ000026724 от 23.08.2021 11:51:43"/>
        <s v="Реализация товаров и услуг УТ000026725 от 23.08.2021 11:54:34"/>
        <s v="Реализация товаров и услуг УТ000026726 от 23.08.2021 11:56:13"/>
        <s v="Реализация товаров и услуг УТ000026727 от 23.08.2021 12:00:08"/>
        <s v="Реализация товаров и услуг УТ000026728 от 23.08.2021 12:01:54"/>
        <s v="Реализация товаров и услуг УТ000026864 от 24.08.2021 11:54:22"/>
        <s v="Реализация товаров и услуг УТ000026865 от 24.08.2021 11:56:09"/>
        <s v="Реализация товаров и услуг УТ000027034 от 25.08.2021 13:35:23"/>
        <s v="Реализация товаров и услуг УТ000027046 от 25.08.2021 17:19:55"/>
        <s v="Реализация товаров и услуг УТ000027195 от 26.08.2021 11:33:57"/>
        <s v="Реализация товаров и услуг УТ000027196 от 26.08.2021 11:35:20"/>
        <s v="Реализация товаров и услуг УТ000027454 от 27.08.2021 9:57:25"/>
        <s v="Реализация товаров и услуг УТ000027456 от 27.08.2021 11:25:08"/>
        <s v="Реализация товаров и услуг УТ000027459 от 27.08.2021 11:31:15"/>
        <s v="Реализация товаров и услуг УТ000027460 от 27.08.2021 11:32:09"/>
        <s v="Реализация товаров и услуг УТ000027461 от 27.08.2021 11:33:14"/>
        <s v="Реализация товаров и услуг УТ000027462 от 27.08.2021 11:34:04"/>
        <s v="Реализация товаров и услуг УТ000027463 от 27.08.2021 11:35:03"/>
        <s v="Платежное поручение входящее 00BF-006047 от 27.08.2021 17:00:00"/>
        <s v="Платежное поручение входящее 00BF-006048 от 27.08.2021 17:00:00"/>
        <s v="Отчет комиссионера о продажах УТ000000380 от 31.08.2021 14:48:58"/>
        <s v="Отчет комиссионера о продажах УТ000000381 от 31.08.2021 14:49:46"/>
        <s v="Отчет комиссионера о продажах УТ000000382 от 31.08.2021 14:50:46"/>
        <s v="Отчет комиссионера о продажах УТ000000383 от 31.08.2021 14:51:32"/>
        <s v="Отчет комиссионера о продажах УТ000000389 от 31.08.2021 16:10:41"/>
        <s v="Отчет комиссионера о продажах УТ000000390 от 31.08.2021 16:14:22"/>
        <s v="Отчет комиссионера о продажах УТ000000391 от 31.08.2021 16:30:46"/>
        <s v="Отчет комиссионера о продажах УТ000000392 от 31.08.2021 16:35:09"/>
        <s v="Отчет комиссионера о продажах УТ000000393 от 31.08.2021 16:46:33"/>
        <s v="Отчет комиссионера о продажах УТ000000394 от 31.08.2021 17:08:57"/>
        <s v="Отчет комиссионера о продажах УТ000000395 от 31.08.2021 17:43:09"/>
        <s v="Отчет комиссионера о продажах УТ000000396 от 31.08.2021 17:57:34"/>
        <s v="Реализация товаров и услуг УТ000028102 от 01.09.2021 0:00:00"/>
        <s v="Реализация товаров и услуг УТ000028114 от 01.09.2021 0:00:00"/>
        <s v="Реализация товаров и услуг УТ000028115 от 01.09.2021 0:00:00"/>
        <s v="Реализация товаров и услуг УТ000028116 от 01.09.2021 0:00:00"/>
        <s v="Реализация товаров и услуг УТ000028117 от 01.09.2021 0:00:00"/>
        <s v="Реализация товаров и услуг УТ000028118 от 01.09.2021 0:00:00"/>
        <s v="Реализация товаров и услуг УТ000028466 от 02.09.2021 14:14:41"/>
        <s v="Реализация товаров и услуг УТ000028468 от 02.09.2021 14:19:06"/>
        <s v="Реализация товаров и услуг УТ000028469 от 02.09.2021 14:20:40"/>
        <s v="Платежное поручение входящее 00BF-006155 от 02.09.2021 17:00:00"/>
        <s v="Реализация товаров и услуг УТ000028585 от 03.09.2021 14:43:02"/>
        <s v="Реализация товаров и услуг УТ000028586 от 03.09.2021 14:46:06"/>
        <s v="Реализация товаров и услуг УТ000028587 от 03.09.2021 14:46:44"/>
        <s v="Реализация товаров и услуг УТ000028592 от 03.09.2021 17:07:43"/>
        <s v="Реализация товаров и услуг УТ000028593 от 03.09.2021 17:09:58"/>
        <s v="Реализация товаров и услуг УТ000028594 от 03.09.2021 17:11:00"/>
        <s v="Реализация товаров и услуг УТ000028597 от 03.09.2021 17:31:46"/>
        <s v="Реализация товаров и услуг УТ000028598 от 03.09.2021 17:33:14"/>
        <s v="Реализация товаров и услуг УТ000028599 от 03.09.2021 17:34:35"/>
        <s v="Реализация товаров и услуг УТ000028600 от 03.09.2021 17:37:04"/>
        <s v="Реализация товаров и услуг УТ000028601 от 03.09.2021 17:39:09"/>
        <s v="Реализация товаров и услуг УТ000028602 от 03.09.2021 17:40:00"/>
        <s v="Реализация товаров и услуг УТ000028603 от 03.09.2021 17:41:20"/>
        <s v="Реализация товаров и услуг УТ000028604 от 03.09.2021 17:49:57"/>
        <s v="Реализация товаров и услуг УТ000028605 от 03.09.2021 17:52:34"/>
        <s v="Реализация товаров и услуг УТ000028708 от 06.09.2021 10:25:41"/>
        <s v="Реализация товаров и услуг УТ000028709 от 06.09.2021 12:43:36"/>
        <s v="Реализация товаров и услуг УТ000028710 от 06.09.2021 17:21:03"/>
        <s v="Реализация товаров и услуг УТ000028711 от 06.09.2021 19:49:41"/>
        <s v="Реализация товаров и услуг УТ000028712 от 06.09.2021 19:52:42"/>
        <s v="Платежное поручение входящее 00BF-006265 от 07.09.2021 17:00:00"/>
        <s v="Реализация товаров и услуг УТ000028725 от 09.09.2021 0:00:00"/>
        <s v="Реализация товаров и услуг УТ000028734 от 09.09.2021 11:50:22"/>
        <s v="Реализация товаров и услуг УТ000028735 от 09.09.2021 12:11:50"/>
        <s v="Реализация товаров и услуг УТ000028736 от 09.09.2021 12:12:36"/>
        <s v="Реализация товаров и услуг УТ000028724 от 09.09.2021 12:47:05"/>
        <s v="Реализация товаров и услуг УТ000028737 от 09.09.2021 13:40:59"/>
        <s v="Реализация товаров и услуг УТ000028738 от 09.09.2021 13:42:42"/>
        <s v="Реализация товаров и услуг УТ000028739 от 09.09.2021 13:43:56"/>
        <s v="Реализация товаров и услуг УТ000028740 от 09.09.2021 16:03:59"/>
        <s v="Реализация товаров и услуг УТ000028741 от 09.09.2021 16:05:43"/>
        <s v="Платежное поручение входящее 00BF-006328 от 09.09.2021 17:00:00"/>
        <s v="Реализация товаров и услуг УТ000028742 от 09.09.2021 18:32:37"/>
        <s v="Реализация товаров и услуг УТ000028743 от 09.09.2021 18:35:19"/>
        <s v="Реализация товаров и услуг УТ000028757 от 10.09.2021 12:03:22"/>
        <s v="Реализация товаров и услуг УТ000028758 от 10.09.2021 12:08:45"/>
        <s v="Реализация товаров и услуг УТ000028761 от 10.09.2021 13:37:05"/>
        <s v="Реализация товаров и услуг УТ000028774 от 13.09.2021 11:24:02"/>
        <s v="Реализация товаров и услуг УТ000028775 от 13.09.2021 11:30:09"/>
        <s v="Платежное поручение входящее 00BF-006414 от 13.09.2021 17:00:00"/>
        <s v="Платежное поручение входящее 00BF-006416 от 13.09.2021 17:00:00"/>
        <s v="Платежное поручение входящее 00BF-006417 от 13.09.2021 17:00:00"/>
        <s v="Платежное поручение входящее 00BF-006419 от 13.09.2021 17:00:00"/>
        <s v="Платежное поручение входящее УТ000000227 от 13.09.2021 23:59:59"/>
        <s v="Платежное поручение входящее 00BF-006442 от 14.09.2021 17:00:00"/>
        <s v="Платежное поручение входящее 00BF-006444 от 14.09.2021 17:00:00"/>
        <s v="Платежное поручение входящее 00BF-006445 от 14.09.2021 17:00:00"/>
        <s v="Платежное поручение входящее 00BF-006446 от 14.09.2021 17:00:00"/>
        <m/>
        <s v="Поступление товаров и услуг УТ000000016 от 07.02.2019 12:43:37" u="1"/>
        <s v="Реализация товаров и услуг УТ000028461 от 02.09.2021 12:17:33" u="1"/>
        <s v="Реализация товаров и услуг УТ000014766 от 21.06.2021 12:53:42" u="1"/>
        <s v="Реализация товаров и услуг УТ000005792 от 23.03.2021 15:02:19" u="1"/>
        <s v="Поступление доп. расходов УТ000000162 от 06.04.2019 23:53:01" u="1"/>
        <s v="Поступление товаров и услуг УТ000000086 от 14.06.2018 0:00:33" u="1"/>
        <s v="Платежное поручение входящее 00BF-000344 от 15.01.2021 17:00:00" u="1"/>
        <s v="Платежное поручение входящее 00BF-000502 от 21.01.2021 17:00:00" u="1"/>
        <s v="Платежное поручение входящее 00BF-000590 от 25.01.2021 17:00:00" u="1"/>
        <s v="Платежное поручение входящее 00BF-001404 от 25.02.2021 17:00:00" u="1"/>
        <s v="Платежное поручение входящее 00BF-001556 от 03.03.2021 17:00:00" u="1"/>
        <s v="Платежное поручение входящее 00BF-001585 от 04.03.2021 17:00:00" u="1"/>
        <s v="Платежное поручение входящее 00BF-002052 от 22.03.2021 17:00:00" u="1"/>
        <s v="Платежное поручение входящее 00BF-002074 от 23.03.2021 17:00:00" u="1"/>
        <s v="Платежное поручение входящее 00BF-002271 от 31.03.2021 17:00:00" u="1"/>
        <s v="Платежное поручение входящее 00BF-002411 от 06.04.2021 17:00:00" u="1"/>
        <s v="Платежное поручение входящее 00BF-002451 от 07.04.2021 17:00:00" u="1"/>
        <s v="Платежное поручение входящее 00BF-002547 от 26.10.2020 17:00:00" u="1"/>
        <s v="Платежное поручение входящее 00BF-002575 от 27.10.2020 17:00:00" u="1"/>
        <s v="Платежное поручение входящее 00BF-002605 от 13.04.2021 17:00:00" u="1"/>
        <s v="Платежное поручение входящее 00BF-002772 от 19.04.2021 17:00:00" u="1"/>
        <s v="Платежное поручение входящее 00BF-002904 от 23.04.2021 17:00:00" u="1"/>
        <s v="Платежное поручение входящее 00BF-003023 от 12.11.2020 17:00:00" u="1"/>
        <s v="Платежное поручение входящее 00BF-003060 от 29.04.2021 17:00:00" u="1"/>
        <s v="Платежное поручение входящее 00BF-003149 от 17.11.2020 17:00:00" u="1"/>
        <s v="Платежное поручение входящее 00BF-003159 от 07.05.2021 17:00:00" u="1"/>
        <s v="Платежное поручение входящее 00BF-003161 от 07.05.2021 17:00:00" u="1"/>
        <s v="Платежное поручение входящее 00BF-003210 от 04.05.2021 17:00:00" u="1"/>
        <s v="Платежное поручение входящее 00BF-003211 от 04.05.2021 17:00:00" u="1"/>
        <s v="Платежное поручение входящее 00BF-003215 от 04.05.2021 17:00:00" u="1"/>
        <s v="Платежное поручение входящее 00BF-003221 от 05.05.2021 17:00:00" u="1"/>
        <s v="Платежное поручение входящее 00BF-003227 от 06.05.2021 17:00:00" u="1"/>
        <s v="Платежное поручение входящее 00BF-003345 от 11.05.2021 17:00:00" u="1"/>
        <s v="Платежное поручение входящее 00BF-003386 от 13.05.2021 17:00:00" u="1"/>
        <s v="Платежное поручение входящее 00BF-003387 от 13.05.2021 17:00:00" u="1"/>
        <s v="Платежное поручение входящее 00BF-003388 от 13.05.2021 17:00:00" u="1"/>
        <s v="Платежное поручение входящее 00BF-003389 от 13.05.2021 17:00:00" u="1"/>
        <s v="Платежное поручение входящее 00BF-003390 от 13.05.2021 17:00:00" u="1"/>
        <s v="Платежное поручение входящее 00BF-003391 от 13.05.2021 17:00:00" u="1"/>
        <s v="Платежное поручение входящее 00BF-003392 от 13.05.2021 17:00:00" u="1"/>
        <s v="Платежное поручение входящее 00BF-003393 от 13.05.2021 17:00:00" u="1"/>
        <s v="Платежное поручение входящее 00BF-003526 от 30.11.2020 17:00:00" u="1"/>
        <s v="Платежное поручение входящее 00BF-003556 от 01.12.2020 17:00:00" u="1"/>
        <s v="Платежное поручение входящее 00BF-003559 от 01.12.2020 17:00:00" u="1"/>
        <s v="Платежное поручение входящее 00BF-003567 от 20.05.2021 17:00:00" u="1"/>
        <s v="Платежное поручение входящее 00BF-003568 от 20.05.2021 17:00:00" u="1"/>
        <s v="Платежное поручение входящее 00BF-003569 от 20.05.2021 17:00:00" u="1"/>
        <s v="Платежное поручение входящее 00BF-003588 от 02.12.2020 17:00:00" u="1"/>
        <s v="Платежное поручение входящее 00BF-003592 от 21.05.2021 17:00:00" u="1"/>
        <s v="Платежное поручение входящее 00BF-003651 от 24.05.2021 17:00:00" u="1"/>
        <s v="Платежное поручение входящее 00BF-003652 от 24.05.2021 17:00:00" u="1"/>
        <s v="Платежное поручение входящее 00BF-003839 от 31.05.2021 17:00:00" u="1"/>
        <s v="Платежное поручение входящее 00BF-003841 от 31.05.2021 17:00:00" u="1"/>
        <s v="Платежное поручение входящее 00BF-003929 от 03.06.2021 17:00:00" u="1"/>
        <s v="Платежное поручение входящее 00BF-003989 от 15.12.2020 17:00:00" u="1"/>
        <s v="Платежное поручение входящее 00BF-004012 от 07.06.2021 17:00:00" u="1"/>
        <s v="Платежное поручение входящее 00BF-004402 от 22.06.2021 17:00:00" u="1"/>
        <s v="Платежное поручение входящее 00BF-004403 от 22.06.2021 17:00:00" u="1"/>
        <s v="Платежное поручение входящее 00BF-004415 от 23.06.2021 17:00:00" u="1"/>
        <s v="Платежное поручение входящее 00BF-004442 от 24.06.2021 17:00:00" u="1"/>
        <s v="Платежное поручение входящее 00BF-004530 от 28.06.2021 17:00:00" u="1"/>
        <s v="Платежное поручение входящее 00BF-004531 от 28.06.2021 17:00:00" u="1"/>
        <s v="Платежное поручение входящее 00BF-004532 от 28.06.2021 17:00:00" u="1"/>
        <s v="Платежное поручение входящее 00BF-004533 от 28.06.2021 17:00:00" u="1"/>
        <s v="Платежное поручение входящее 00BF-004580 от 30.06.2021 17:00:00" u="1"/>
        <s v="Платежное поручение входящее 00BF-004587 от 30.06.2021 17:00:00" u="1"/>
        <s v="Платежное поручение входящее 00BF-004641 от 02.07.2021 17:00:00" u="1"/>
        <s v="Платежное поручение входящее 00BF-004698 от 05.07.2021 17:00:00" u="1"/>
        <s v="Платежное поручение входящее 00BF-004699 от 05.07.2021 17:00:00" u="1"/>
        <s v="Платежное поручение входящее 00BF-004700 от 05.07.2021 17:00:00" u="1"/>
        <s v="Платежное поручение входящее 00BF-004894 от 12.07.2021 17:00:00" u="1"/>
        <s v="Платежное поручение входящее 00BF-004895 от 12.07.2021 17:00:00" u="1"/>
        <s v="Платежное поручение входящее 00BF-004896 от 12.07.2021 17:00:00" u="1"/>
        <s v="Платежное поручение входящее 00BF-004897 от 12.07.2021 17:00:00" u="1"/>
        <s v="Платежное поручение входящее 00BF-004898 от 12.07.2021 17:00:00" u="1"/>
        <s v="Платежное поручение входящее 00BF-004900 от 12.07.2021 17:00:00" u="1"/>
        <s v="Платежное поручение входящее 00BF-004921 от 13.07.2021 17:00:00" u="1"/>
        <s v="Платежное поручение входящее 00BF-005266 от 27.07.2021 17:00:00" u="1"/>
        <s v="Платежное поручение входящее 00BF-005270 от 27.07.2021 17:00:00" u="1"/>
        <s v="Платежное поручение входящее 00BF-005300 от 28.07.2021 17:00:00" u="1"/>
        <s v="Платежное поручение входящее 00BF-005325 от 29.07.2021 17:00:00" u="1"/>
        <s v="Платежное поручение входящее 00BF-005352 от 30.07.2021 17:00:00" u="1"/>
        <s v="Платежное поручение входящее 00BF-005415 от 02.08.2021 17:00:00" u="1"/>
        <s v="Платежное поручение входящее 00BF-005417 от 02.08.2021 17:00:00" u="1"/>
        <s v="Платежное поручение входящее 00BF-005446 от 03.08.2021 17:00:00" u="1"/>
        <s v="Платежное поручение входящее 00BF-005450 от 03.08.2021 17:00:00" u="1"/>
        <s v="Платежное поручение входящее 00BF-005497 от 05.08.2021 17:00:00" u="1"/>
        <s v="Платежное поручение входящее 00BF-005589 от 09.08.2021 17:00:00" u="1"/>
        <s v="Платежное поручение входящее 00BF-005614 от 10.08.2021 17:00:00" u="1"/>
        <s v="Платежное поручение входящее 00BF-005616 от 10.08.2021 17:00:00" u="1"/>
        <s v="Платежное поручение входящее 00BF-005746 от 16.08.2021 17:00:00" u="1"/>
        <s v="Платежное поручение входящее 00BF-005748 от 16.08.2021 17:00:00" u="1"/>
        <s v="Платежное поручение входящее 00BF-005802 от 18.08.2021 17:00:00" u="1"/>
        <s v="Платежное поручение входящее 00BF-005851 от 20.08.2021 17:00:00" u="1"/>
        <s v="Платежное поручение входящее 00BF-005907 от 23.08.2021 17:00:00" u="1"/>
        <s v="Платежное поручение входящее 00BF-005909 от 23.08.2021 17:00:00" u="1"/>
        <s v="Платежное поручение входящее 00BF-005984 от 26.08.2021 17:00:00" u="1"/>
        <s v="Платежное поручение входящее 00BF-005985 от 26.08.2021 17:00:00" u="1"/>
        <s v="Платежное поручение входящее 00BF-005986 от 26.08.2021 17:00:00" u="1"/>
        <s v="Платежное поручение входящее 00BF-005987 от 26.08.2021 17:00:00" u="1"/>
        <s v="Платежное поручение входящее 00BF-005990 от 26.08.2021 17:00:00" u="1"/>
        <s v="Платежное поручение входящее 00BF-006038 от 27.08.2021 17:00:00" u="1"/>
        <s v="Платежное поручение входящее 00BF-006045 от 27.08.2021 17:00:00" u="1"/>
        <s v="Платежное поручение входящее 00BF-006075 от 30.08.2021 17:00:00" u="1"/>
        <s v="Платежное поручение входящее 00BF-006076 от 30.08.2021 17:00:00" u="1"/>
        <s v="Платежное поручение входящее 00BF-006077 от 30.08.2021 17:00:00" u="1"/>
        <s v="Платежное поручение входящее 00BF-006102 от 31.08.2021 17:00:00" u="1"/>
        <s v="Платежное поручение входящее 00BF-006103 от 31.08.2021 17:00:00" u="1"/>
        <s v="Платежное поручение входящее 00BF-006105 от 31.08.2021 17:00:00" u="1"/>
        <s v="Платежное поручение входящее 00BF-006107 от 31.08.2021 17:00:00" u="1"/>
        <s v="Платежное поручение входящее 00BF-006132 от 01.09.2021 17:00:00" u="1"/>
        <s v="Платежное поручение входящее 00BF-006134 от 01.09.2021 17:00:00" u="1"/>
        <s v="Платежное поручение входящее 00BF-006135 от 01.09.2021 17:00:00" u="1"/>
        <s v="Платежное поручение входящее 00BF-006156 от 02.09.2021 17:00:00" u="1"/>
        <s v="Платежное поручение входящее 00BF-006157 от 02.09.2021 17:00:00" u="1"/>
        <s v="Платежное поручение входящее 00BF-006232 от 06.09.2021 17:00:00" u="1"/>
        <s v="Платежное поручение входящее 00BF-006233 от 06.09.2021 17:00:00" u="1"/>
        <s v="Платежное поручение входящее 00BF-006234 от 06.09.2021 17:00:00" u="1"/>
        <s v="Платежное поручение входящее 00BF-006235 от 06.09.2021 17:00:00" u="1"/>
        <s v="Платежное поручение входящее 00BF-006237 от 06.09.2021 17:00:00" u="1"/>
        <s v="Платежное поручение входящее 00BF-006238 от 06.09.2021 17:00:00" u="1"/>
        <s v="Платежное поручение входящее 00BF-006239 от 06.09.2021 17:00:00" u="1"/>
        <s v="Платежное поручение входящее 00BF-006240 от 06.09.2021 17:00:00" u="1"/>
        <s v="Платежное поручение входящее 00BF-006241 от 06.09.2021 17:00:00" u="1"/>
        <s v="Платежное поручение входящее 00BF-006242 от 06.09.2021 17:00:00" u="1"/>
        <s v="Платежное поручение входящее 00BF-006324 от 09.09.2021 17:00:00" u="1"/>
        <s v="Платежное поручение входящее 00BF-006351 от 10.09.2021 17:00:00" u="1"/>
        <s v="Поступление доп. расходов УТ000000163 от 06.04.2019 23:53:02" u="1"/>
        <s v="Поступление доп. расходов УТ000000166 от 06.04.2019 23:53:05" u="1"/>
        <s v="Поступление доп. расходов УТ000000167 от 06.04.2019 23:53:06" u="1"/>
        <s v="Поступление товаров и услуг УТ000000089 от 01.05.2019 0:00:03" u="1"/>
        <s v="Поступление товаров и услуг УТ000000030 от 01.02.2019 0:00:13" u="1"/>
        <s v="Поступление товаров и услуг УТ000000231 от 01.11.2019 0:00:13" u="1"/>
        <s v="Поступление товаров и услуг УТ000000103 от 16.05.2019 8:26:41" u="1"/>
        <s v="Поступление доп. расходов УТ000000170 от 06.04.2019 23:53:09" u="1"/>
        <s v="Реализация товаров и услуг УТ000007696 от 14.04.2021 16:32:24" u="1"/>
        <s v="Реализация товаров и услуг УТ000015285 от 25.06.2021 11:39:06" u="1"/>
        <s v="Поступление доп. расходов УТ000000572 от 05.12.2020 23:55:40" u="1"/>
        <s v="Поступление доп. расходов УТ000000053 от 18.03.2017 23:54:00" u="1"/>
        <s v="Поступление доп. расходов УТ000000054 от 18.03.2017 23:54:01" u="1"/>
        <s v="Поступление доп. расходов УТ000000055 от 18.03.2017 23:54:02" u="1"/>
        <s v="Поступление доп. расходов УТ000000618 от 03.11.2019 23:54:02" u="1"/>
        <s v="Поступление доп. расходов УТ000000075 от 01.04.2017 23:55:43" u="1"/>
        <s v="Поступление доп. расходов УТ000000619 от 03.11.2019 23:54:03" u="1"/>
        <s v="Платежное поручение исходящее УТ000000008 от 02.08.2021 23:06:06" u="1"/>
        <s v="Поступление доп. расходов УТ000000180 от 01.05.2019 0:00:00" u="1"/>
        <s v="Поступление доп. расходов УТ000000271 от 21.05.2019 0:00:00" u="1"/>
        <s v="Поступление доп. расходов УТ000000682 от 11.12.2019 0:00:00" u="1"/>
        <s v="Поступление доп. расходов УТ000000704 от 16.12.2019 0:00:00" u="1"/>
        <s v="Поступление доп. расходов УТ000000062 от 01.02.2019 0:01:00" u="1"/>
        <s v="Поступление доп. расходов УТ000000620 от 03.11.2019 23:54:04" u="1"/>
        <s v="Корректировка долга УТ000000170 от 31.08.2015 23:59:59" u="1"/>
        <s v="Поступление доп. расходов УТ000000078 от 01.04.2017 23:55:46" u="1"/>
        <s v="Поступление доп. расходов УТ000000358 от 16.08.2020 23:55:46" u="1"/>
        <s v="Поступление доп. расходов УТ000000359 от 16.08.2020 23:55:47" u="1"/>
        <s v="Поступление доп. расходов УТ000000362 от 16.08.2020 23:55:48" u="1"/>
        <s v="Поступление доп. расходов УТ000000678 от 07.12.2019 23:55:48" u="1"/>
        <s v="Поступление доп. расходов УТ000000083 от 01.04.2017 23:55:49" u="1"/>
        <s v="Поступление доп. расходов УТ000000363 от 16.08.2020 23:55:49" u="1"/>
        <s v="Поступление доп. расходов УТ000000679 от 07.12.2019 23:55:49" u="1"/>
        <s v="Поступление товаров и услуг УТ000000022 от 01.01.2021 10:00:00" u="1"/>
        <s v="Поступление товаров и услуг УТ000000001 от 01.01.2021 12:00:00" u="1"/>
        <s v="Реализация товаров и услуг УТ000002444 от 12.02.2021 12:45:03" u="1"/>
        <s v="Реализация товаров и услуг УТ000018831 от 03.08.2021 12:13:35" u="1"/>
        <s v="Реализация товаров и услуг УТ000004005 от 26.02.2021 12:45:43" u="1"/>
        <s v="Поступление товаров и услуг УТ000000150 от 12.10.2018 0:00:14" u="1"/>
        <s v="Реализация товаров и услуг УТ000012161 от 28.05.2021 12:37:53" u="1"/>
        <s v="Поступление доп. расходов УТ000000197 от 19.07.2018 23:55:00" u="1"/>
        <s v="Поступление доп. расходов УТ000000589 от 21.12.2020 23:55:00" u="1"/>
        <s v="Реализация товаров и услуг УТ000005747 от 22.03.2021 16:30:55" u="1"/>
        <s v="Поступление доп. расходов УТ000000198 от 19.07.2018 23:55:01" u="1"/>
        <s v="Поступление доп. расходов УТ000000399 от 14.12.2018 23:55:01" u="1"/>
        <s v="Реализация товаров и услуг УТ000012924 от 04.06.2021 11:37:37" u="1"/>
        <s v="Поступление доп. расходов УТ000000199 от 19.07.2018 23:55:02" u="1"/>
        <s v="Поступление товаров и услуг УТ000000187 от 01.12.2018 0:00:44" u="1"/>
        <s v="Реализация товаров и услуг УТ000028459 от 30.09.2020 11:33:38" u="1"/>
        <s v="Поступление доп. расходов УТ000000708 от 19.12.2019 0:00:20" u="1"/>
        <s v="Поступление доп. расходов УТ000000709 от 19.12.2019 0:00:20" u="1"/>
        <s v="Поступление доп. расходов УТ000000200 от 19.07.2018 23:55:03" u="1"/>
        <s v="Поступление доп. расходов УТ000000390 от 01.08.2019 2:00:00" u="1"/>
        <s v="Поступление доп. расходов УТ000000391 от 01.08.2019 2:01:00" u="1"/>
        <s v="Поступление доп. расходов УТ000000201 от 19.07.2018 23:55:04" u="1"/>
        <s v="Поступление доп. расходов УТ000000392 от 01.08.2019 2:02:00" u="1"/>
        <s v="Поступление доп. расходов УТ000000202 от 19.07.2018 23:55:05" u="1"/>
        <s v="Поступление товаров и услуг УТ000000181 от 01.09.2019 0:00:04" u="1"/>
        <s v="Поступление товаров и услуг УТ000000027 от 01.02.2019 0:00:14" u="1"/>
        <s v="Поступление товаров и услуг УТ000000216 от 01.10.2019 0:00:14" u="1"/>
        <s v="Поступление доп. расходов УТ000000321 от 29.12.2017 13:07:43" u="1"/>
        <s v="Поступление доп. расходов УТ000000202 от 10.12.2016 23:56:49" u="1"/>
        <s v="Поступление товаров и услуг УТ000000002 от 01.01.2021 12:00:01" u="1"/>
        <s v="Поступление товаров и услуг УТ000000330 от 19.12.2020 23:55:24" u="1"/>
        <s v="Реализация товаров и услуг УТ000003438 от 19.02.2021 17:16:51" u="1"/>
        <s v="Поступление доп. расходов УТ000000393 от 01.08.2019 3:00:00" u="1"/>
        <s v="Поступление доп. расходов УТ000000394 от 01.08.2019 3:01:00" u="1"/>
        <s v="Поступление товаров и услуг УТ000000017 от 07.02.2019 12:43:48" u="1"/>
        <s v="Поступление товаров и услуг УТ000000191 от 07.12.2018 16:39:58" u="1"/>
        <s v="Реализация товаров и услуг УТ000032850 от 09.12.2020 16:04:56" u="1"/>
        <s v="Поступление доп. расходов УТ000000094 от 01.04.2017 23:56:00" u="1"/>
        <s v="Поступление доп. расходов УТ000000669 от 01.12.2019 23:56:00" u="1"/>
        <s v="Реализация товаров и услуг УТ000030727 от 30.10.2020 15:52:18" u="1"/>
        <s v="Поступление доп. расходов УТ000000670 от 01.12.2019 23:56:01" u="1"/>
        <s v="Поступление доп. расходов УТ000000065 от 01.03.2019 0:00:52" u="1"/>
        <s v="Поступление доп. расходов УТ000000671 от 01.12.2019 23:56:02" u="1"/>
        <s v="Реализация товаров и услуг УТ000005784 от 23.03.2021 11:47:47" u="1"/>
        <s v="Реализация товаров и услуг УТ000027913 от 30.08.2021 11:23:39" u="1"/>
        <s v="Поступление доп. расходов УТ000000097 от 01.04.2017 23:56:03" u="1"/>
        <s v="Поступление доп. расходов УТ000000672 от 01.12.2019 23:56:03" u="1"/>
        <s v="Реализация товаров и услуг УТ000026658 от 10.09.2020 15:40:59" u="1"/>
        <s v="Поступление доп. расходов УТ000000120 от 01.05.2017 23:56:05" u="1"/>
        <s v="Поступление доп. расходов УТ000000121 от 01.05.2017 23:56:06" u="1"/>
        <s v="Поступление доп. расходов УТ000000675 от 01.12.2019 23:56:06" u="1"/>
        <s v="Поступление доп. расходов УТ000000122 от 01.05.2017 23:56:07" u="1"/>
        <s v="Поступление доп. расходов УТ000000676 от 01.12.2019 23:56:07" u="1"/>
        <s v="Поступление товаров и услуг УТ000000072 от 19.07.2017 0:00:15" u="1"/>
        <s v="Поступление товаров и услуг УТ000000104 от 01.09.2017 0:00:15" u="1"/>
        <s v="Поступление товаров и услуг УТ000000127 от 10.10.2017 0:00:15" u="1"/>
        <s v="Поступление товаров и услуг УТ000000143 от 19.12.2017 0:00:15" u="1"/>
        <s v="Реализация товаров и услуг УТ000004184 от 01.03.2021 13:29:20" u="1"/>
        <s v="Поступление доп. расходов УТ000000123 от 01.05.2017 23:56:08" u="1"/>
        <s v="Реализация товаров и услуг УТ000006002 от 10.04.2020 17:06:22" u="1"/>
        <s v="Поступление товаров и услуг УТ000000126 от 01.06.2020 9:54:00" u="1"/>
        <s v="Поступление товаров и услуг УТ000000003 от 01.01.2021 12:00:02" u="1"/>
        <s v="Поступление доп. расходов УТ000000124 от 01.05.2017 23:56:09" u="1"/>
        <s v="Реализация товаров и услуг УТ000009144 от 27.04.2021 13:33:21" u="1"/>
        <s v="Реализация товаров и услуг УТ000004874 от 10.03.2021 12:09:05" u="1"/>
        <s v="Поступление товаров и услуг УТ000000108 от 01.05.2020 16:04:03" u="1"/>
        <s v="Поступление товаров и услуг УТ000000037 от 31.03.2017 0:00:45" u="1"/>
        <s v="Поступление товаров и услуг УТ000000073 от 17.07.2017 0:00:45" u="1"/>
        <s v="Поступление товаров и услуг УТ000000074 от 26.07.2017 0:00:45" u="1"/>
        <s v="Поступление товаров и услуг УТ000000088 от 04.08.2017 0:00:45" u="1"/>
        <s v="Поступление товаров и услуг УТ000000099 от 21.08.2017 0:00:45" u="1"/>
        <s v="Поступление товаров и услуг УТ000000129 от 20.10.2017 0:00:45" u="1"/>
        <s v="Поступление товаров и услуг УТ000000145 от 19.12.2017 0:00:45" u="1"/>
        <s v="Реализация товаров и услуг УТ000004189 от 01.03.2021 17:38:50" u="1"/>
        <s v="Реализация товаров и услуг УТ000024421 от 19.08.2021 17:22:42" u="1"/>
        <s v="Поступление доп. расходов УТ000000195 от 25.07.2019 5:00:00" u="1"/>
        <s v="Поступление товаров и услуг УТ000000098 от 30.06.2018 23:59:50" u="1"/>
        <s v="Поступление товаров и услуг УТ000000134 от 10.09.2018 12:27:59" u="1"/>
        <s v="Реализация товаров и услуг УТ000031333 от 13.11.2020 12:13:16" u="1"/>
        <s v="Поступление доп. расходов УТ000000001 от 06.01.2019 5:05:12" u="1"/>
        <s v="Поступление товаров и услуг УТ000000097 от 01.05.2020 14:23:58" u="1"/>
        <s v="Поступление товаров и услуг УТ000000196 от 01.12.2018 0:00:05" u="1"/>
        <s v="Поступление доп. расходов УТ000000218 от 07.08.2017 23:07:01" u="1"/>
        <s v="Реализация товаров и услуг УТ000010620 от 14.05.2021 9:40:51" u="1"/>
        <s v="Реализация товаров и услуг УТ000007937 от 16.04.2021 11:45:08" u="1"/>
        <s v="Поступление товаров и услуг УТ000000101 от 01.05.2020 16:03:59" u="1"/>
        <s v="Поступление товаров и услуг УТ000000001 от 16.01.2018 0:00:15" u="1"/>
        <s v="Поступление товаров и услуг УТ000000032 от 01.03.2018 0:00:15" u="1"/>
        <s v="Поступление товаров и услуг УТ000000073 от 05.06.2018 0:00:15" u="1"/>
        <s v="Поступление товаров и услуг УТ000000076 от 08.06.2018 0:00:15" u="1"/>
        <s v="Поступление товаров и услуг УТ000000081 от 08.06.2018 0:00:15" u="1"/>
        <s v="Поступление товаров и услуг УТ000000089 от 21.06.2018 0:00:15" u="1"/>
        <s v="Поступление товаров и услуг УТ000000090 от 02.07.2018 0:00:15" u="1"/>
        <s v="Поступление товаров и услуг УТ000000106 от 16.07.2018 0:00:15" u="1"/>
        <s v="Поступление товаров и услуг УТ000000113 от 24.07.2018 0:00:15" u="1"/>
        <s v="Поступление товаров и услуг УТ000000129 от 16.08.2018 0:00:15" u="1"/>
        <s v="Поступление товаров и услуг УТ000000133 от 14.08.2018 0:00:15" u="1"/>
        <s v="Поступление товаров и услуг УТ000000135 от 01.09.2018 0:00:15" u="1"/>
        <s v="Поступление товаров и услуг УТ000000145 от 04.10.2018 0:00:15" u="1"/>
        <s v="Поступление товаров и услуг УТ000000171 от 16.11.2018 0:00:15" u="1"/>
        <s v="Поступление товаров и услуг УТ000000180 от 01.12.2018 0:00:15" u="1"/>
        <s v="Поступление товаров и услуг УТ000000193 от 07.12.2018 0:00:15" u="1"/>
        <s v="Поступление товаров и услуг УТ000000197 от 06.12.2018 0:00:15" u="1"/>
        <s v="Поступление товаров и услуг УТ000000199 от 11.12.2018 0:00:15" u="1"/>
        <s v="Поступление товаров и услуг УТ000000204 от 03.12.2018 0:00:15" u="1"/>
        <s v="Поступление товаров и услуг УТ000000205 от 14.12.2018 0:00:15" u="1"/>
        <s v="Поступление товаров и услуг УТ000000209 от 21.12.2018 0:00:15" u="1"/>
        <s v="Реализация товаров и услуг УТ000031969 от 27.11.2020 11:37:18" u="1"/>
        <s v="Поступление доп. расходов УТ000000219 от 07.08.2017 23:07:02" u="1"/>
        <s v="Поступление доп. расходов УТ000000685 от 08.12.2019 23:58:40" u="1"/>
        <s v="Реализация товаров и услуг УТ000018865 от 11.08.2021 11:45:18" u="1"/>
        <s v="Поступление доп. расходов УТ000000366 от 17.08.2020 23:57:00" u="1"/>
        <s v="Поступление товаров и услуг УТ000000093 от 02.07.2018 0:00:25" u="1"/>
        <s v="Поступление товаров и услуг УТ000000100 от 04.07.2018 0:00:25" u="1"/>
        <s v="Поступление товаров и услуг УТ000000172 от 16.11.2018 0:00:25" u="1"/>
        <s v="Поступление товаров и услуг УТ000000190 от 03.12.2018 0:00:25" u="1"/>
        <s v="Реализация товаров и услуг УТ000018782 от 28.07.2021 12:33:55" u="1"/>
        <s v="Поступление доп. расходов УТ000000220 от 07.08.2017 23:07:03" u="1"/>
        <s v="Поступление доп. расходов УТ000000686 от 08.12.2019 23:58:41" u="1"/>
        <s v="Реализация товаров и услуг УТ000028463 от 02.09.2021 12:21:56" u="1"/>
        <s v="Поступление доп. расходов УТ000000367 от 17.08.2020 23:57:01" u="1"/>
        <s v="Реализация товаров и услуг УТ000003902 от 25.02.2021 9:50:53" u="1"/>
        <s v="Поступление товаров и услуг УТ000000126 от 10.08.2018 0:00:35" u="1"/>
        <s v="Поступление товаров и услуг УТ000000142 от 06.09.2018 0:00:35" u="1"/>
        <s v="Поступление товаров и услуг УТ000000162 от 07.11.2018 0:00:35" u="1"/>
        <s v="Поступление товаров и услуг УТ000000211 от 20.12.2018 0:00:35" u="1"/>
        <s v="Поступление доп. расходов УТ000000221 от 07.08.2017 23:07:04" u="1"/>
        <s v="Поступление товаров и услуг УТ000000003 от 16.01.2018 0:00:45" u="1"/>
        <s v="Поступление товаров и услуг УТ000000054 от 04.05.2018 0:00:45" u="1"/>
        <s v="Поступление товаров и услуг УТ000000071 от 03.06.2018 0:00:45" u="1"/>
        <s v="Поступление товаров и услуг УТ000000095 от 01.07.2018 0:00:45" u="1"/>
        <s v="Поступление товаров и услуг УТ000000108 от 16.07.2018 0:00:45" u="1"/>
        <s v="Поступление товаров и услуг УТ000000109 от 17.07.2018 0:00:45" u="1"/>
        <s v="Поступление товаров и услуг УТ000000131 от 16.08.2018 0:00:45" u="1"/>
        <s v="Поступление товаров и услуг УТ000000149 от 09.10.2018 0:00:45" u="1"/>
        <s v="Поступление товаров и услуг УТ000000151 от 09.10.2018 0:00:45" u="1"/>
        <s v="Поступление товаров и услуг УТ000000154 от 16.10.2018 0:00:45" u="1"/>
        <s v="Поступление доп. расходов УТ000000222 от 07.08.2017 23:07:05" u="1"/>
        <s v="Поступление доп. расходов УТ000000615 от 02.11.2019 23:57:03" u="1"/>
        <s v="Поступление товаров и услуг УТ000000048 от 06.04.2018 0:00:55" u="1"/>
        <s v="Поступление товаров и услуг УТ000000101 от 04.07.2018 0:00:55" u="1"/>
        <s v="Поступление товаров и услуг УТ000000137 от 01.09.2018 0:00:55" u="1"/>
        <s v="Поступление товаров и услуг УТ000000155 от 16.10.2018 0:00:55" u="1"/>
        <s v="Поступление товаров и услуг УТ000000183 от 01.12.2018 0:00:55" u="1"/>
        <s v="Поступление доп. расходов УТ000000196 от 25.07.2019 6:00:00" u="1"/>
        <s v="Поступление доп. расходов УТ000000223 от 07.08.2017 23:07:06" u="1"/>
        <s v="Поступление доп. расходов УТ000000616 от 02.11.2019 23:57:04" u="1"/>
        <s v="Поступление доп. расходов УТ000000224 от 07.08.2017 23:07:07" u="1"/>
        <s v="Поступление доп. расходов УТ000000617 от 02.11.2019 23:57:05" u="1"/>
        <s v="Поступление доп. расходов УТ000000225 от 07.08.2017 23:07:08" u="1"/>
        <s v="Реализация товаров и услуг УТ000013354 от 09.06.2021 13:39:00" u="1"/>
        <s v="Поступление товаров и услуг УТ000000085 от 01.05.2019 0:00:05" u="1"/>
        <s v="Поступление товаров и услуг УТ000000165 от 01.08.2019 0:00:05" u="1"/>
        <s v="Поступление товаров и услуг УТ000000189 от 01.09.2019 0:00:05" u="1"/>
        <s v="Поступление товаров и услуг УТ000000199 от 01.09.2019 0:00:05" u="1"/>
        <s v="Поступление товаров и услуг УТ000000200 от 01.09.2019 0:00:05" u="1"/>
        <s v="Поступление доп. расходов УТ000000226 от 07.08.2017 23:07:09" u="1"/>
        <s v="Поступление товаров и услуг УТ000000001 от 04.01.2019 0:00:15" u="1"/>
        <s v="Поступление товаров и услуг УТ000000003 от 14.01.2019 0:00:15" u="1"/>
        <s v="Поступление товаров и услуг УТ000000009 от 25.01.2019 0:00:15" u="1"/>
        <s v="Поступление товаров и услуг УТ000000020 от 05.02.2019 0:00:15" u="1"/>
        <s v="Поступление товаров и услуг УТ000000026 от 01.02.2019 0:00:15" u="1"/>
        <s v="Поступление товаров и услуг УТ000000036 от 01.02.2019 0:00:15" u="1"/>
        <s v="Поступление товаров и услуг УТ000000063 от 15.03.2019 0:00:15" u="1"/>
        <s v="Поступление товаров и услуг УТ000000068 от 20.03.2019 0:00:15" u="1"/>
        <s v="Поступление товаров и услуг УТ000000077 от 03.04.2019 0:00:15" u="1"/>
        <s v="Поступление товаров и услуг УТ000000078 от 03.04.2019 0:00:15" u="1"/>
        <s v="Поступление товаров и услуг УТ000000095 от 10.05.2019 0:00:15" u="1"/>
        <s v="Поступление товаров и услуг УТ000000104 от 10.05.2019 0:00:15" u="1"/>
        <s v="Поступление товаров и услуг УТ000000105 от 07.05.2019 0:00:15" u="1"/>
        <s v="Поступление товаров и услуг УТ000000108 от 03.05.2019 0:00:15" u="1"/>
        <s v="Поступление товаров и услуг УТ000000112 от 20.05.2019 0:00:15" u="1"/>
        <s v="Поступление товаров и услуг УТ000000115 от 18.05.2019 0:00:15" u="1"/>
        <s v="Поступление товаров и услуг УТ000000118 от 01.06.2019 0:00:15" u="1"/>
        <s v="Поступление товаров и услуг УТ000000124 от 14.06.2019 0:00:15" u="1"/>
        <s v="Поступление товаров и услуг УТ000000127 от 19.06.2019 0:00:15" u="1"/>
        <s v="Поступление товаров и услуг УТ000000128 от 19.06.2019 0:00:15" u="1"/>
        <s v="Поступление товаров и услуг УТ000000132 от 18.06.2019 0:00:15" u="1"/>
        <s v="Поступление товаров и услуг УТ000000134 от 17.06.2019 0:00:15" u="1"/>
        <s v="Поступление товаров и услуг УТ000000157 от 01.08.2019 0:00:15" u="1"/>
        <s v="Поступление товаров и услуг УТ000000163 от 01.08.2019 0:00:15" u="1"/>
        <s v="Поступление товаров и услуг УТ000000171 от 13.08.2019 0:00:15" u="1"/>
        <s v="Поступление товаров и услуг УТ000000180 от 01.09.2019 0:00:15" u="1"/>
        <s v="Поступление товаров и услуг УТ000000195 от 01.09.2019 0:00:15" u="1"/>
        <s v="Поступление товаров и услуг УТ000000210 от 01.10.2019 0:00:15" u="1"/>
        <s v="Поступление товаров и услуг УТ000000217 от 01.10.2019 0:00:15" u="1"/>
        <s v="Поступление товаров и услуг УТ000000234 от 01.11.2019 0:00:15" u="1"/>
        <s v="Поступление товаров и услуг УТ000000250 от 19.11.2019 0:00:15" u="1"/>
        <s v="Поступление товаров и услуг УТ000000257 от 01.12.2019 0:00:15" u="1"/>
        <s v="Поступление товаров и услуг УТ000000260 от 01.12.2019 0:00:15" u="1"/>
        <s v="Поступление товаров и услуг УТ000000262 от 02.12.2019 0:00:15" u="1"/>
        <s v="Поступление товаров и услуг УТ000000263 от 05.12.2019 0:00:15" u="1"/>
        <s v="Поступление товаров и услуг УТ000000264 от 03.12.2019 0:00:15" u="1"/>
        <s v="Поступление товаров и услуг УТ000000270 от 01.12.2019 0:00:15" u="1"/>
        <s v="Поступление товаров и услуг УТ000000274 от 19.12.2019 0:00:15" u="1"/>
        <s v="Поступление товаров и услуг УТ000000275 от 10.12.2019 0:00:15" u="1"/>
        <s v="Поступление товаров и услуг УТ000000276 от 02.12.2019 0:00:15" u="1"/>
        <s v="Поступление товаров и услуг УТ000000277 от 01.12.2019 0:00:15" u="1"/>
        <s v="Поступление товаров и услуг УТ000000279 от 10.12.2019 0:00:15" u="1"/>
        <s v="Поступление товаров и услуг УТ000000096 от 10.05.2019 0:00:25" u="1"/>
        <s v="Поступление товаров и услуг УТ000000114 от 01.06.2019 0:00:25" u="1"/>
        <s v="Поступление товаров и услуг УТ000000125 от 14.06.2019 0:00:25" u="1"/>
        <s v="Поступление товаров и услуг УТ000000127 от 01.06.2020 9:56:00" u="1"/>
        <s v="Поступление товаров и услуг УТ000000143 от 01.08.2019 0:00:25" u="1"/>
        <s v="Поступление товаров и услуг УТ000000173 от 13.08.2019 0:00:25" u="1"/>
        <s v="Поступление товаров и услуг УТ000000203 от 01.10.2019 0:00:25" u="1"/>
        <s v="Поступление товаров и услуг УТ000000214 от 01.10.2019 0:00:25" u="1"/>
        <s v="Поступление товаров и услуг УТ000000225 от 01.11.2019 0:00:25" u="1"/>
        <s v="Поступление товаров и услуг УТ000000238 от 01.11.2019 0:00:25" u="1"/>
        <s v="Поступление товаров и услуг УТ000000252 от 19.11.2019 0:00:25" u="1"/>
        <s v="Поступление товаров и услуг УТ000000261 от 01.12.2019 0:00:25" u="1"/>
        <s v="Реализация товаров и услуг УТ000013355 от 09.06.2021 13:43:11" u="1"/>
        <s v="Поступление товаров и услуг УТ000000004 от 01.01.2021 12:00:03" u="1"/>
        <s v="Реализация товаров и услуг УТ000016058 от 01.07.2021 13:39:30" u="1"/>
        <s v="Поступление товаров и услуг УТ000000082 от 31.07.2017 20:55:34" u="1"/>
        <s v="Поступление товаров и услуг УТ000000097 от 10.05.2019 0:00:35" u="1"/>
        <s v="Поступление товаров и услуг УТ000000110 от 03.05.2019 0:00:35" u="1"/>
        <s v="Поступление товаров и услуг УТ000000159 от 19.07.2019 0:00:35" u="1"/>
        <s v="Поступление товаров и услуг УТ000000175 от 13.08.2019 0:00:35" u="1"/>
        <s v="Поступление товаров и услуг УТ000000213 от 01.10.2019 0:00:35" u="1"/>
        <s v="Поступление товаров и услуг УТ000000254 от 19.11.2019 0:00:35" u="1"/>
        <s v="Поступление товаров и услуг УТ000000272 от 06.12.2019 0:00:35" u="1"/>
        <s v="Поступление товаров и услуг УТ000000109 от 01.05.2020 16:04:04" u="1"/>
        <s v="Реализация товаров и услуг УТ000024422 от 19.08.2021 17:24:32" u="1"/>
        <s v="Реализация товаров и услуг УТ000034153 от 24.12.2020 13:35:31" u="1"/>
        <s v="Поступление товаров и услуг УТ000000028 от 01.02.2019 0:00:45" u="1"/>
        <s v="Поступление товаров и услуг УТ000000082 от 01.05.2019 0:00:45" u="1"/>
        <s v="Поступление товаров и услуг УТ000000101 от 10.05.2019 0:00:45" u="1"/>
        <s v="Поступление товаров и услуг УТ000000106 от 01.06.2019 0:00:45" u="1"/>
        <s v="Поступление товаров и услуг УТ000000107 от 01.06.2019 0:00:45" u="1"/>
        <s v="Поступление товаров и услуг УТ000000117 от 01.06.2019 0:00:45" u="1"/>
        <s v="Поступление товаров и услуг УТ000000131 от 14.06.2019 0:00:45" u="1"/>
        <s v="Поступление товаров и услуг УТ000000160 от 19.07.2019 0:00:45" u="1"/>
        <s v="Поступление товаров и услуг УТ000000177 от 13.08.2019 0:00:45" u="1"/>
        <s v="Поступление товаров и услуг УТ000000208 от 01.10.2019 0:00:45" u="1"/>
        <s v="Поступление товаров и услуг УТ000000223 от 01.10.2019 0:00:45" u="1"/>
        <s v="Поступление товаров и услуг УТ000000256 от 19.11.2019 0:00:45" u="1"/>
        <s v="Поступление товаров и услуг УТ000000269 от 01.12.2019 0:00:45" u="1"/>
        <s v="Поступление товаров и услуг УТ000000037 от 01.02.2019 0:00:55" u="1"/>
        <s v="Поступление товаров и услуг УТ000000041 от 01.03.2019 0:00:55" u="1"/>
        <s v="Поступление товаров и услуг УТ000000122 от 01.06.2019 0:00:55" u="1"/>
        <s v="Поступление товаров и услуг УТ000000179 от 13.08.2019 0:00:55" u="1"/>
        <s v="Поступление товаров и услуг УТ000000229 от 01.11.2019 0:00:55" u="1"/>
        <s v="Поступление товаров и услуг УТ000000273 от 06.12.2019 0:00:55" u="1"/>
        <s v="Поступление доп. расходов УТ000000197 от 25.07.2019 7:00:00" u="1"/>
        <s v="Поступление товаров и услуг УТ000000304 от 06.11.2020 23:55:50" u="1"/>
        <s v="Реализация товаров и услуг УТ000032942 от 10.12.2020 12:15:26" u="1"/>
        <s v="Реализация товаров и услуг УТ000008765 от 23.04.2021 11:55:38" u="1"/>
        <s v="Реализация товаров и услуг УТ000004312 от 04.03.2021 9:40:14" u="1"/>
        <s v="Поступление доп. расходов УТ000000198 от 25.07.2019 8:00:00" u="1"/>
        <s v="Поступление товаров и услуг УТ000000110 от 01.05.2020 16:04:05" u="1"/>
        <s v="Поступление товаров и услуг УТ000000318 от 20.11.2020 23:55:27" u="1"/>
        <s v="Поступление товаров и услуг УТ000000117 от 25.09.2017 16:08:22" u="1"/>
        <s v="Поступление товаров и услуг УТ000000203 от 19.12.2018 15:16:21" u="1"/>
        <s v="Поступление товаров и услуг УТ000000334 от 23.12.2020 23:55:35" u="1"/>
        <s v="Поступление товаров и услуг УТ000000038 от 10.02.2020 16:40:10" u="1"/>
        <s v="Поступление доп. расходов УТ000000199 от 25.07.2019 9:00:00" u="1"/>
        <s v="Реализация товаров и услуг УТ000008766 от 23.04.2021 11:57:18" u="1"/>
        <s v="Реализация товаров и услуг УТ000011318 от 20.05.2021 16:42:46" u="1"/>
        <s v="Реализация товаров и услуг УТ000018148 от 19.07.2021 12:57:54" u="1"/>
        <s v="Реализация товаров и услуг УТ000032936 от 10.12.2020 12:01:48" u="1"/>
        <s v="Поступление доп. расходов УТ000000077 от 20.03.2018 23:59:00" u="1"/>
        <s v="Реализация товаров и услуг УТ000008532 от 21.04.2021 9:42:53" u="1"/>
        <s v="Поступление доп. расходов УТ000000078 от 20.03.2018 23:59:01" u="1"/>
        <s v="Поступление товаров и услуг УТ000000201 от 07.12.2018 0:00:36" u="1"/>
        <s v="Поступление доп. расходов УТ000000079 от 20.03.2018 23:59:02" u="1"/>
        <s v="Реализация товаров и услуг УТ000005266 от 16.03.2021 11:57:48" u="1"/>
        <s v="Поступление доп. расходов УТ000000080 от 20.03.2018 23:59:03" u="1"/>
        <s v="Поступление товаров и услуг УТ000000111 от 01.08.2018 0:00:56" u="1"/>
        <s v="Поступление доп. расходов УТ000000081 от 20.03.2018 23:59:04" u="1"/>
        <s v="Реализация товаров и услуг УТ000009352 от 29.04.2021 9:51:16" u="1"/>
        <s v="Поступление товаров и услуг УТ000000201 от 01.09.2019 0:00:06" u="1"/>
        <s v="Поступление товаров и услуг УТ000000034 от 01.02.2019 0:00:16" u="1"/>
        <s v="Поступление товаров и услуг УТ000000091 от 01.05.2019 0:00:16" u="1"/>
        <s v="Поступление товаров и услуг УТ000000098 от 01.05.2020 14:24:05" u="1"/>
        <s v="Реализация товаров и услуг УТ000007088 от 08.04.2021 17:20:04" u="1"/>
        <s v="Поступление товаров и услуг УТ000000240 от 01.11.2019 0:00:26" u="1"/>
        <s v="Отчет комиссионера о продажах УТ000000385 от 31.08.2021 15:40:50" u="1"/>
        <s v="Поступление товаров и услуг УТ000000098 от 10.05.2019 0:00:36" u="1"/>
        <s v="Поступление товаров и услуг УТ000000084 от 03.08.2017 16:36:21" u="1"/>
        <s v="Поступление товаров и услуг УТ000000053 от 30.06.2018 23:59:53" u="1"/>
        <s v="Поступление товаров и услуг УТ000000297 от 06.11.2020 23:55:44" u="1"/>
        <s v="Отчет комиссионера о продажах УТ000000192 от 30.03.2021 22:30:41" u="1"/>
        <s v="Поступление товаров и услуг УТ000000230 от 01.11.2019 0:00:56" u="1"/>
        <s v="Реализация товаров и услуг УТ000010903 от 17.05.2021 17:24:53" u="1"/>
        <s v="Реализация товаров и услуг УТ000016223 от 02.07.2021 12:03:18" u="1"/>
        <s v="Реализация товаров и услуг УТ000032938 от 10.12.2020 12:07:37" u="1"/>
        <s v="Реализация товаров и услуг УТ000006985 от 07.04.2021 9:43:50" u="1"/>
        <s v="Реализация товаров и услуг УТ000009455 от 30.04.2021 9:53:50" u="1"/>
        <s v="Поступление товаров и услуг УТ000000139 от 01.07.2019 0:30:05" u="1"/>
        <s v="Поступление товаров и услуг УТ000000007 от 01.01.2021 12:00:06" u="1"/>
        <s v="Поступление товаров и услуг УТ000000142 от 01.07.2019 0:30:15" u="1"/>
        <s v="Реализация товаров и услуг УТ000002411 от 08.02.2021 18:02:51" u="1"/>
        <s v="Платежное поручение входящее УТ000000121 от 07.05.2021 23:50:06" u="1"/>
        <s v="Поступление товаров и услуг УТ000000152 от 01.07.2019 0:30:35" u="1"/>
        <s v="Поступление товаров и услуг УТ000000099 от 01.05.2020 14:24:30" u="1"/>
        <s v="Отчет комиссионера о продажах УТ000000184 от 06.09.2020 23:50:30" u="1"/>
        <s v="Реализация товаров и услуг УТ000011177 от 19.05.2021 13:05:44" u="1"/>
        <s v="Реализация товаров и услуг УТ000005778 от 23.03.2021 9:14:50" u="1"/>
        <s v="Отчет комиссионера о продажах УТ000000185 от 06.09.2020 23:50:31" u="1"/>
        <s v="Отчет комиссионера о продажах УТ000000186 от 06.09.2020 23:50:32" u="1"/>
        <s v="Реализация товаров и услуг УТ000009140 от 27.04.2021 12:37:56" u="1"/>
        <s v="Отчет комиссионера о продажах УТ000000187 от 06.09.2020 23:50:33" u="1"/>
        <s v="Реализация товаров и услуг УТ000000049 от 14.01.2021 11:57:49" u="1"/>
        <s v="Поступление товаров и услуг УТ000000187 от 01.09.2019 0:00:07" u="1"/>
        <s v="Реализация товаров и услуг УТ000014187 от 16.06.2021 14:03:31" u="1"/>
        <s v="Поступление товаров и услуг УТ000000124 от 01.05.2020 14:24:07" u="1"/>
        <s v="Поступление товаров и услуг УТ000000044 от 01.03.2019 0:00:17" u="1"/>
        <s v="Реализация товаров и услуг УТ000009792 от 05.05.2021 10:22:40" u="1"/>
        <s v="Поступление товаров и услуг УТ000000241 от 01.11.2019 0:00:27" u="1"/>
        <s v="Поступление товаров и услуг УТ000000183 от 13.08.2019 0:00:37" u="1"/>
        <s v="Поступление товаров и услуг УТ000000299 от 06.11.2020 23:55:46" u="1"/>
        <s v="Реализация товаров и услуг УТ000003437 от 19.02.2021 17:04:35" u="1"/>
        <s v="Поступление товаров и услуг УТ000000090 от 01.05.2019 0:00:47" u="1"/>
        <s v="Поступление товаров и услуг УТ000000102 от 10.05.2019 0:00:47" u="1"/>
        <s v="Отчет комиссионера о продажах УТ000000047 от 27.01.2021 23:50:10" u="1"/>
        <s v="Отчет комиссионера о продажах УТ000000164 от 06.09.2020 23:50:10" u="1"/>
        <s v="Отчет комиссионера о продажах УТ000000048 от 27.01.2021 23:50:11" u="1"/>
        <s v="Отчет комиссионера о продажах УТ000000165 от 06.09.2020 23:50:11" u="1"/>
        <s v="Отчет комиссионера о продажах УТ000000166 от 06.09.2020 23:50:12" u="1"/>
        <s v="Отчет комиссионера о продажах УТ000000167 от 06.09.2020 23:50:13" u="1"/>
        <s v="Поступление товаров и услуг УТ000000192 от 01.12.2018 0:06:56" u="1"/>
        <s v="Отчет комиссионера о продажах УТ000000004 от 03.03.2015 15:01:57" u="1"/>
        <s v="Реализация товаров и услуг УТ000006288 от 30.03.2021 10:16:00" u="1"/>
        <s v="Отчет комиссионера о продажах УТ000000168 от 06.09.2020 23:50:14" u="1"/>
        <s v="Реализация товаров и услуг УТ000004997 от 12.03.2021 9:35:57" u="1"/>
        <s v="Реализация товаров и услуг УТ000006494 от 01.04.2021 9:15:58" u="1"/>
        <s v="Отчет комиссионера о продажах УТ000000053 от 27.01.2021 23:50:15" u="1"/>
        <s v="Отчет комиссионера о продажах УТ000000169 от 06.09.2020 23:50:15" u="1"/>
        <s v="Поступление товаров и услуг УТ000000138 от 01.07.2019 0:02:07" u="1"/>
        <s v="Отчет комиссионера о продажах УТ000000054 от 27.01.2021 23:50:16" u="1"/>
        <s v="Отчет комиссионера о продажах УТ000000170 от 06.09.2020 23:50:16" u="1"/>
        <s v="Поступление доп. расходов УТ000000394 от 17.12.2018 9:51:46" u="1"/>
        <s v="Поступление товаров и услуг УТ000000008 от 04.01.2021 0:38:46" u="1"/>
        <s v="Отчет комиссионера о продажах УТ000000386 от 31.08.2021 15:41:58" u="1"/>
        <s v="Поступление товаров и услуг УТ000000027 от 28.01.2021 16:08:34" u="1"/>
        <s v="Отчет комиссионера о продажах УТ000000171 от 06.09.2020 23:50:17" u="1"/>
        <s v="Поступление товаров и услуг УТ000000218 от 29.12.2018 15:20:23" u="1"/>
        <s v="Платежное поручение входящее УТ000000114 от 24.08.2020 23:50:02" u="1"/>
        <s v="Отчет комиссионера о продажах УТ000000172 от 06.09.2020 23:50:18" u="1"/>
        <s v="Реализация товаров и услуг УТ000013459 от 10.06.2021 13:33:54" u="1"/>
        <s v="Реализация товаров и услуг УТ000032739 от 07.12.2020 12:29:37" u="1"/>
        <s v="Отчет комиссионера о продажах УТ000000173 от 06.09.2020 23:50:19" u="1"/>
        <s v="Реализация товаров и услуг УТ000004003 от 26.02.2021 12:37:37" u="1"/>
        <s v="Поступление товаров и услуг УТ000000085 от 14.06.2018 0:00:58" u="1"/>
        <s v="Отчет комиссионера о продажах УТ000000232 от 30.04.2021 17:21:57" u="1"/>
        <s v="Реализация товаров и услуг УТ000009356 от 29.04.2021 9:55:17" u="1"/>
        <s v="Поступление товаров и услуг УТ000000188 от 01.09.2019 0:00:08" u="1"/>
        <s v="Поступление товаров и услуг УТ000000224 от 21.10.2019 13:44:24" u="1"/>
        <s v="Поступление товаров и услуг УТ000000035 от 01.02.2019 0:00:18" u="1"/>
        <s v="Поступление товаров и услуг УТ000000192 от 01.08.2019 0:00:18" u="1"/>
        <s v="Поступление товаров и услуг УТ000000194 от 01.09.2019 0:00:18" u="1"/>
        <s v="Поступление товаров и услуг УТ000000085 от 03.08.2017 16:36:25" u="1"/>
        <s v="Поступление товаров и услуг УТ000000301 от 06.11.2020 23:55:48" u="1"/>
        <s v="Поступление товаров и услуг УТ000000099 от 10.05.2019 0:00:38" u="1"/>
        <s v="Поступление товаров и услуг УТ000000064 от 17.05.2018 15:04:42" u="1"/>
        <s v="Поступление товаров и услуг УТ000000046 от 01.03.2019 0:00:58" u="1"/>
        <s v="Реализация товаров и услуг УТ000000457 от 03.04.2019 9:57:25" u="1"/>
        <s v="Поступление товаров и услуг УТ000000279 от 19.10.2020 23:56:01" u="1"/>
        <s v="Реализация товаров и услуг УТ000002481 от 18.02.2021 10:24:11" u="1"/>
        <s v="Реализация товаров и услуг УТ000028078 от 31.08.2021 10:44:10" u="1"/>
        <s v="Поступление товаров и услуг УТ000000261 от 01.10.2020 11:28:27" u="1"/>
        <s v="Реализация товаров и услуг УТ000007070 от 08.04.2021 9:36:17" u="1"/>
        <s v="Реализация товаров и услуг УТ000009794 от 05.05.2021 9:56:16" u="1"/>
        <s v="Поступление товаров и услуг УТ000000014 от 04.02.2019 13:52:16" u="1"/>
        <s v="Поступление доп. расходов УТ000000200 от 25.07.2019 10:00:00" u="1"/>
        <s v="Поступление доп. расходов УТ000000186 от 07.05.2020 13:30:58" u="1"/>
        <s v="Поступление доп. расходов УТ000000187 от 07.05.2020 13:30:59" u="1"/>
        <s v="Поступление товаров и услуг УТ000000302 от 06.11.2020 23:55:49" u="1"/>
        <s v="Реализация товаров и услуг УТ000018783 от 28.07.2021 16:38:08" u="1"/>
        <s v="Поступление товаров и услуг УТ000000137 от 01.06.2020 14:12:50" u="1"/>
        <s v="Поступление товаров и услуг УТ000000102 от 21.08.2017 0:00:59" u="1"/>
        <s v="Реализация товаров и услуг УТ000004007 от 26.02.2021 12:49:27" u="1"/>
        <s v="Отчет комиссионера о продажах УТ000000244 от 30.04.2021 19:01:34" u="1"/>
        <s v="Реализация товаров и услуг УТ000005482 от 19.03.2021 9:28:50" u="1"/>
        <s v="Реализация товаров и услуг УТ000005779 от 23.03.2021 9:17:10" u="1"/>
        <s v="Поступление доп. расходов УТ000000261 от 26.09.2018 0:00:05" u="1"/>
        <s v="Реализация товаров и услуг УТ000006419 от 17.04.2020 16:38:48" u="1"/>
        <s v="Поступление товаров и услуг УТ000000013 от 01.02.2018 0:00:59" u="1"/>
        <s v="Реализация товаров и услуг УТ000012070 от 27.05.2021 18:52:21" u="1"/>
        <s v="Реализация товаров и услуг УТ000003430 от 19.02.2021 10:42:21" u="1"/>
        <s v="Поступление товаров и услуг УТ000000205 от 01.09.2019 0:00:09" u="1"/>
        <s v="Реализация товаров и услуг УТ000028267 от 01.09.2021 9:48:59" u="1"/>
        <s v="Отчет комиссионера о продажах УТ000000468 от 23.12.2020 18:01:01" u="1"/>
        <s v="Реализация товаров и услуг УТ000010623 от 14.05.2021 9:58:59" u="1"/>
        <s v="Реализация товаров и услуг УТ000000731 от 13.05.2019 10:38:50" u="1"/>
        <s v="Поступление товаров и услуг УТ000000088 от 01.04.2020 23:59:59" u="1"/>
        <s v="Поступление товаров и услуг УТ000000089 от 01.04.2020 23:59:59" u="1"/>
        <s v="Поступление товаров и услуг УТ000000090 от 01.04.2020 23:59:59" u="1"/>
        <s v="Поступление товаров и услуг УТ000000091 от 01.04.2020 23:59:59" u="1"/>
        <s v="Поступление товаров и услуг УТ000000092 от 01.04.2020 23:59:59" u="1"/>
        <s v="Поступление товаров и услуг УТ000000093 от 01.04.2020 23:59:59" u="1"/>
        <s v="Поступление товаров и услуг УТ000000129 от 01.06.2020 23:59:59" u="1"/>
        <s v="Поступление товаров и услуг УТ000000131 от 01.06.2020 23:59:59" u="1"/>
        <s v="Поступление товаров и услуг УТ000000136 от 01.06.2020 23:59:59" u="1"/>
        <s v="Поступление товаров и услуг УТ000000138 от 01.07.2020 23:59:59" u="1"/>
        <s v="Поступление товаров и услуг УТ000000139 от 01.07.2020 23:59:59" u="1"/>
        <s v="Поступление товаров и услуг УТ000000142 от 01.07.2020 23:59:59" u="1"/>
        <s v="Поступление товаров и услуг УТ000000143 от 01.07.2020 23:59:59" u="1"/>
        <s v="Поступление товаров и услуг УТ000000144 от 01.07.2020 23:59:59" u="1"/>
        <s v="Поступление товаров и услуг УТ000000145 от 01.07.2020 23:59:59" u="1"/>
        <s v="Поступление товаров и услуг УТ000000146 от 01.07.2020 23:59:59" u="1"/>
        <s v="Поступление товаров и услуг УТ000000149 от 01.07.2020 23:59:59" u="1"/>
        <s v="Поступление товаров и услуг УТ000000150 от 01.07.2020 23:59:59" u="1"/>
        <s v="Поступление товаров и услуг УТ000000151 от 09.07.2020 23:59:59" u="1"/>
        <s v="Поступление товаров и услуг УТ000000156 от 01.07.2020 23:59:59" u="1"/>
        <s v="Поступление товаров и услуг УТ000000157 от 01.07.2020 23:59:59" u="1"/>
        <s v="Поступление товаров и услуг УТ000000191 от 01.08.2020 23:59:59" u="1"/>
        <s v="Поступление товаров и услуг УТ000000192 от 01.08.2020 23:59:59" u="1"/>
        <s v="Поступление товаров и услуг УТ000000205 от 01.08.2020 23:59:59" u="1"/>
        <s v="Поступление товаров и услуг УТ000000206 от 01.08.2020 23:59:59" u="1"/>
        <s v="Поступление товаров и услуг УТ000000208 от 01.08.2020 23:59:59" u="1"/>
        <s v="Поступление товаров и услуг УТ000000209 от 01.08.2020 23:59:59" u="1"/>
        <s v="Поступление товаров и услуг УТ000000211 от 01.08.2020 23:59:59" u="1"/>
        <s v="Поступление товаров и услуг УТ000000221 от 01.09.2020 23:59:59" u="1"/>
        <s v="Поступление товаров и услуг УТ000000222 от 01.09.2020 23:59:59" u="1"/>
        <s v="Поступление товаров и услуг УТ000000223 от 01.09.2020 23:59:59" u="1"/>
        <s v="Поступление товаров и услуг УТ000000239 от 01.09.2020 23:59:59" u="1"/>
        <s v="Поступление товаров и услуг УТ000000241 от 01.09.2020 23:59:59" u="1"/>
        <s v="Поступление товаров и услуг УТ000000242 от 01.10.2020 23:59:59" u="1"/>
        <s v="Поступление товаров и услуг УТ000000243 от 01.09.2020 23:59:59" u="1"/>
        <s v="Поступление товаров и услуг УТ000000245 от 01.10.2020 23:59:59" u="1"/>
        <s v="Поступление товаров и услуг УТ000000246 от 01.10.2020 23:59:59" u="1"/>
        <s v="Поступление товаров и услуг УТ000000247 от 01.09.2020 23:59:59" u="1"/>
        <s v="Поступление товаров и услуг УТ000000248 от 01.09.2020 23:59:59" u="1"/>
        <s v="Поступление товаров и услуг УТ000000257 от 01.10.2020 23:59:59" u="1"/>
        <s v="Поступление товаров и услуг УТ000000258 от 01.10.2020 23:59:59" u="1"/>
        <s v="Поступление товаров и услуг УТ000000259 от 01.10.2020 23:59:59" u="1"/>
        <s v="Поступление товаров и услуг УТ000000260 от 01.10.2020 23:59:59" u="1"/>
        <s v="Поступление товаров и услуг УТ000000262 от 01.10.2020 23:59:59" u="1"/>
        <s v="Поступление товаров и услуг УТ000000263 от 01.10.2020 23:59:59" u="1"/>
        <s v="Поступление товаров и услуг УТ000000264 от 01.10.2020 23:59:59" u="1"/>
        <s v="Поступление товаров и услуг УТ000000267 от 01.10.2020 23:59:59" u="1"/>
        <s v="Поступление товаров и услуг УТ000000268 от 01.10.2020 23:59:59" u="1"/>
        <s v="Поступление товаров и услуг УТ000000269 от 01.10.2020 23:59:59" u="1"/>
        <s v="Поступление товаров и услуг УТ000000277 от 01.10.2020 23:59:59" u="1"/>
        <s v="Поступление товаров и услуг УТ000000278 от 01.10.2020 23:59:59" u="1"/>
        <s v="Поступление товаров и услуг УТ000000280 от 01.10.2020 23:59:59" u="1"/>
        <s v="Поступление товаров и услуг УТ000000284 от 01.11.2020 23:59:59" u="1"/>
        <s v="Поступление товаров и услуг УТ000000295 от 01.11.2020 23:59:59" u="1"/>
        <s v="Поступление товаров и услуг УТ000000296 от 01.11.2020 23:59:59" u="1"/>
        <s v="Поступление товаров и услуг УТ000000309 от 01.11.2020 23:59:59" u="1"/>
        <s v="Поступление товаров и услуг УТ000000310 от 01.11.2020 23:59:59" u="1"/>
        <s v="Поступление товаров и услуг УТ000000311 от 01.11.2020 23:59:59" u="1"/>
        <s v="Поступление товаров и услуг УТ000000312 от 01.11.2020 23:59:59" u="1"/>
        <s v="Поступление товаров и услуг УТ000000335 от 25.12.2020 23:59:59" u="1"/>
        <s v="Поступление доп. расходов УТ000000017 от 26.01.2018 23:51:50" u="1"/>
        <s v="Поступление доп. расходов УТ000000036 от 24.02.2017 23:51:50" u="1"/>
        <s v="Реализация товаров и услуг УТ000033235 от 14.12.2020 17:48:24" u="1"/>
        <s v="Поступление доп. расходов УТ000000035 от 26.01.2021 23:50:10" u="1"/>
        <s v="Поступление доп. расходов УТ000000065 от 04.03.2018 23:50:10" u="1"/>
        <s v="Поступление доп. расходов УТ000000514 от 20.10.2020 23:50:10" u="1"/>
        <s v="Поступление доп. расходов УТ000000551 от 11.11.2020 23:50:10" u="1"/>
        <s v="Поступление доп. расходов УТ000000018 от 26.01.2018 23:51:51" u="1"/>
        <s v="Поступление доп. расходов УТ000000037 от 24.02.2017 23:51:51" u="1"/>
        <s v="Поступление доп. расходов УТ000000036 от 26.01.2021 23:50:11" u="1"/>
        <s v="Поступление доп. расходов УТ000000485 от 01.09.2019 23:50:11" u="1"/>
        <s v="Поступление доп. расходов УТ000000552 от 11.11.2020 23:50:11" u="1"/>
        <s v="Поступление доп. расходов УТ000000032 от 01.02.2020 23:51:52" u="1"/>
        <s v="Поступление доп. расходов УТ000000038 от 24.02.2017 23:51:52" u="1"/>
        <s v="Поступление доп. расходов УТ000000037 от 26.01.2021 23:50:12" u="1"/>
        <s v="Поступление доп. расходов УТ000000553 от 11.11.2020 23:50:12" u="1"/>
        <s v="Отчет комиссионера о продажах УТ000000387 от 31.08.2021 15:43:51" u="1"/>
        <s v="Поступление доп. расходов УТ000000033 от 01.02.2020 23:51:53" u="1"/>
        <s v="Поступление доп. расходов УТ000000038 от 26.01.2021 23:50:13" u="1"/>
        <s v="Поступление доп. расходов УТ000000554 от 11.11.2020 23:50:13" u="1"/>
        <s v="Поступление товаров и услуг УТ000000042 от 01.03.2019 0:00:59" u="1"/>
        <s v="Поступление товаров и услуг УТ000000045 от 01.03.2019 0:00:59" u="1"/>
        <s v="Поступление товаров и услуг УТ000000116 от 01.06.2019 0:00:59" u="1"/>
        <s v="Поступление доп. расходов УТ000000034 от 01.02.2020 23:51:54" u="1"/>
        <s v="Поступление доп. расходов УТ000000039 от 26.01.2021 23:50:14" u="1"/>
        <s v="Поступление доп. расходов УТ000000488 от 01.09.2019 23:50:14" u="1"/>
        <s v="Поступление доп. расходов УТ000000555 от 11.11.2020 23:50:14" u="1"/>
        <s v="Реализация товаров и услуг УТ000002450 от 14.02.2021 16:36:29" u="1"/>
        <s v="Поступление доп. расходов УТ000000040 от 26.01.2021 23:50:15" u="1"/>
        <s v="Поступление доп. расходов УТ000000489 от 01.09.2019 23:50:15" u="1"/>
        <s v="Поступление доп. расходов УТ000000556 от 11.11.2020 23:50:15" u="1"/>
        <s v="Отчет комиссионера о продажах УТ000000013 от 31.07.2014 13:03:34" u="1"/>
        <s v="Поступление доп. расходов УТ000000129 от 11.07.2016 23:40:16" u="1"/>
        <s v="Поступление доп. расходов УТ000000041 от 26.01.2021 23:50:16" u="1"/>
        <s v="Поступление доп. расходов УТ000000134 от 01.03.2020 23:50:16" u="1"/>
        <s v="Поступление доп. расходов УТ000000490 от 01.09.2019 23:50:16" u="1"/>
        <s v="Поступление доп. расходов УТ000000557 от 11.11.2020 23:50:16" u="1"/>
        <s v="Поступление доп. расходов УТ000000130 от 11.07.2016 23:40:17" u="1"/>
        <s v="Реализация товаров и услуг УТ000006281 от 30.03.2021 9:18:12" u="1"/>
        <s v="Поступление доп. расходов УТ000000042 от 26.01.2021 23:50:17" u="1"/>
        <s v="Поступление доп. расходов УТ000000135 от 01.03.2020 23:50:17" u="1"/>
        <s v="Поступление доп. расходов УТ000000491 от 01.09.2019 23:50:17" u="1"/>
        <s v="Поступление доп. расходов УТ000000558 от 11.11.2020 23:50:17" u="1"/>
        <s v="Поступление доп. расходов УТ000000131 от 11.07.2016 23:40:18" u="1"/>
        <s v="Поступление доп. расходов УТ000000043 от 26.01.2021 23:50:18" u="1"/>
        <s v="Поступление доп. расходов УТ000000132 от 11.07.2016 23:40:19" u="1"/>
        <s v="Поступление доп. расходов УТ000000044 от 26.01.2021 23:50:19" u="1"/>
        <s v="Поступление доп. расходов УТ000000493 от 01.09.2019 23:50:19" u="1"/>
        <s v="Реализация товаров и услуг УТ000010625 от 14.05.2021 10:28:11" u="1"/>
        <s v="Реализация товаров и услуг УТ000028456 от 02.09.2021 10:24:12" u="1"/>
        <s v="Реализация товаров и услуг УТ000008664 от 22.04.2021 10:48:30" u="1"/>
        <s v="Поступление доп. расходов УТ000000006 от 21.01.2018 23:21:10" u="1"/>
        <s v="Реализация товаров и услуг УТ000007926 от 16.04.2021 10:16:42" u="1"/>
        <s v="Поступление доп. расходов УТ000000007 от 21.01.2018 23:21:11" u="1"/>
        <s v="Поступление доп. расходов УТ000000472 от 03.08.2019 23:52:50" u="1"/>
        <s v="Реализация товаров и услуг УТ000004313 от 04.03.2021 10:16:52" u="1"/>
        <s v="Поступление доп. расходов УТ000000493 от 12.10.2020 23:51:10" u="1"/>
        <s v="Поступление доп. расходов УТ000000008 от 21.01.2018 23:21:12" u="1"/>
        <s v="Поступление доп. расходов УТ000000494 от 12.10.2020 23:51:11" u="1"/>
        <s v="Поступление доп. расходов УТ000000009 от 21.01.2018 23:21:13" u="1"/>
        <s v="Поступление доп. расходов УТ000000098 от 05.05.2018 23:52:52" u="1"/>
        <s v="Поступление доп. расходов УТ000000495 от 12.10.2020 23:51:12" u="1"/>
        <s v="Поступление доп. расходов УТ000000010 от 21.01.2018 23:21:14" u="1"/>
        <s v="Поступление доп. расходов УТ000000099 от 05.05.2018 23:52:53" u="1"/>
        <s v="Поступление доп. расходов УТ000000496 от 12.10.2020 23:51:13" u="1"/>
        <s v="Поступление доп. расходов УТ000000011 от 21.01.2018 23:21:15" u="1"/>
        <s v="Поступление доп. расходов УТ000000100 от 05.05.2018 23:52:54" u="1"/>
        <s v="Поступление доп. расходов УТ000000497 от 12.10.2020 23:51:14" u="1"/>
        <s v="Платежное поручение входящее УТ000000110 от 17.08.2020 23:56:54" u="1"/>
        <s v="Поступление доп. расходов УТ000000012 от 21.01.2018 23:21:16" u="1"/>
        <s v="Поступление доп. расходов УТ000000101 от 05.05.2018 23:52:55" u="1"/>
        <s v="Поступление доп. расходов УТ000000498 от 12.10.2020 23:51:15" u="1"/>
        <s v="Поступление доп. расходов УТ000000013 от 21.01.2018 23:21:17" u="1"/>
        <s v="Поступление доп. расходов УТ000000102 от 05.05.2018 23:52:56" u="1"/>
        <s v="Поступление доп. расходов УТ000000014 от 21.01.2018 23:21:18" u="1"/>
        <s v="Поступление доп. расходов УТ000000103 от 05.05.2018 23:52:57" u="1"/>
        <s v="Поступление товаров и услуг УТ000000216 от 01.09.2020 10:52:19" u="1"/>
        <s v="Реализация товаров и услуг УТ000015287 от 25.06.2021 14:43:12" u="1"/>
        <s v="Реализация товаров и услуг УТ000034672 от 28.12.2020 14:07:33" u="1"/>
        <s v="Реализация товаров и услуг УТ000001660 от 26.01.2021 14:55:31" u="1"/>
        <s v="Реализация товаров и услуг УТ000005259 от 16.03.2021 10:06:33" u="1"/>
        <s v="Реализация товаров и услуг УТ000005735 от 22.03.2021 10:54:31" u="1"/>
        <s v="Поступление товаров и услуг УТ000000141 от 28.06.2019 8:50:48" u="1"/>
        <s v="Реализация товаров и услуг УТ000007090 от 08.04.2021 17:24:47" u="1"/>
        <s v="Поступление доп. расходов УТ000000094 от 08.03.2019 23:52:13" u="1"/>
        <s v="Реализация товаров и услуг УТ000009020 от 26.04.2021 10:08:13" u="1"/>
        <s v="Реализация товаров и услуг УТ000033231 от 14.12.2020 14:17:23" u="1"/>
        <s v="Реализация товаров и услуг УТ000007189 от 08.05.2020 14:01:35" u="1"/>
        <s v="Поступление доп. расходов УТ000000415 от 28.12.2018 14:44:40" u="1"/>
        <s v="Реализация товаров и услуг УТ000013457 от 10.06.2021 13:13:08" u="1"/>
        <s v="Поступление доп. расходов УТ000000171 от 06.04.2019 23:53:10" u="1"/>
        <s v="Реализация товаров и услуг УТ000006502 от 01.04.2021 17:54:26" u="1"/>
        <s v="Поступление доп. расходов УТ000000146 от 25.03.2020 23:23:13" u="1"/>
        <s v="Поступление доп. расходов УТ000000147 от 25.03.2020 23:23:14" u="1"/>
        <s v="Реализация товаров и услуг УТ000005934 от 25.03.2021 13:33:47" u="1"/>
        <s v="Реализация товаров и услуг УТ000009252 от 28.04.2021 17:34:57" u="1"/>
        <s v="Отчет комиссионера о продажах УТ000000015 от 24.09.2014 13:04:13" u="1"/>
        <s v="Отчет комиссионера о продажах УТ000000461 от 23.12.2020 17:44:53" u="1"/>
        <s v="Поступление доп. расходов УТ000000168 от 24.06.2017 23:54:58" u="1"/>
        <s v="Поступление доп. расходов УТ000000397 от 14.12.2018 23:54:59" u="1"/>
        <s v="Поступление доп. расходов УТ000000588 от 21.12.2020 23:54:59" u="1"/>
        <s v="Реализация товаров и услуг УТ000000707 от 06.05.2019 15:03:31" u="1"/>
        <s v="Реализация товаров и услуг УТ000014198 от 16.06.2021 18:32:14" u="1"/>
        <s v="Реализация товаров и услуг УТ000012162 от 28.05.2021 10:22:24" u="1"/>
        <s v="Реализация товаров и услуг УТ000029575 от 14.10.2020 14:19:43" u="1"/>
        <s v="Поступление доп. расходов УТ000000084 от 01.04.2017 23:55:50" u="1"/>
        <s v="Поступление доп. расходов УТ000000582 от 24.12.2020 23:55:50" u="1"/>
        <s v="Реализация товаров и услуг УТ000009019 от 26.04.2021 10:06:54" u="1"/>
        <s v="Поступление доп. расходов УТ000000583 от 24.12.2020 23:55:51" u="1"/>
        <s v="Реализация товаров и услуг УТ000005933 от 25.03.2021 13:31:18" u="1"/>
        <s v="Поступление доп. расходов УТ000000087 от 01.04.2017 23:55:53" u="1"/>
        <s v="Поступление доп. расходов УТ000000147 от 26.08.2016 23:54:13" u="1"/>
        <s v="Поступление доп. расходов УТ000000088 от 01.04.2017 23:55:54" u="1"/>
        <s v="Поступление доп. расходов УТ000000148 от 26.08.2016 23:54:14" u="1"/>
        <s v="Поступление доп. расходов УТ000000089 от 01.04.2017 23:55:55" u="1"/>
        <s v="Поступление доп. расходов УТ000000149 от 26.08.2016 23:54:15" u="1"/>
        <s v="Поступление доп. расходов УТ000000090 от 01.04.2017 23:55:56" u="1"/>
        <s v="Поступление доп. расходов УТ000000150 от 26.08.2016 23:54:16" u="1"/>
        <s v="Поступление доп. расходов УТ000000091 от 01.04.2017 23:55:57" u="1"/>
        <s v="Отчет комиссионера о продажах УТ000000241 от 30.04.2021 18:23:04" u="1"/>
        <s v="Поступление доп. расходов УТ000000151 от 26.08.2016 23:54:17" u="1"/>
        <s v="Поступление доп. расходов УТ000000092 от 01.04.2017 23:55:58" u="1"/>
        <s v="Поступление доп. расходов УТ000000152 от 26.08.2016 23:54:18" u="1"/>
        <s v="Поступление доп. расходов УТ000000093 от 01.04.2017 23:55:59" u="1"/>
        <s v="Реализация товаров и услуг УТ" u="1"/>
        <s v="Поступление доп. расходов УТ000000020 от 01.02.2018 15:45:35" u="1"/>
        <s v="Поступление товаров и услуг УТ000000096 от 01.05.2020 13:08:58" u="1"/>
        <s v="Реализация товаров и услуг УТ000009146 от 27.04.2021 13:09:18" u="1"/>
        <s v="Реализация товаров и услуг УТ000017227 от 12.07.2021 14:29:53" u="1"/>
        <s v="Поступление доп. расходов УТ000000203 от 10.12.2016 23:56:50" u="1"/>
        <s v="Поступление доп. расходов УТ000000204 от 10.12.2016 23:56:51" u="1"/>
        <s v="Поступление товаров и услуг УТ000000128 от 01.06.2020 9:58:56" u="1"/>
        <s v="Поступление доп. расходов УТ000000347 от 01.09.2020 23:56:56" u="1"/>
        <s v="Поступление доп. расходов УТ000000348 от 01.09.2020 23:56:57" u="1"/>
        <s v="Поступление доп. расходов УТ000000364 от 17.08.2020 23:56:58" u="1"/>
        <s v="Поступление доп. расходов УТ000000365 от 17.08.2020 23:56:59" u="1"/>
        <s v="Реализация товаров и услуг УТ000006573 от 02.04.2021 11:50:20" u="1"/>
        <s v="Реализация товаров и услуг УТ000000074 от 19.01.2021 11:26:40" u="1"/>
        <s v="Реализация товаров и услуг УТ000007933 от 16.04.2021 10:38:43" u="1"/>
        <s v="Поступление товаров и услуг УТ000000278 от 12.12.2019 15:36:57" u="1"/>
        <s v="Поступление доп. расходов УТ000000104 от 01.04.2017 23:56:10" u="1"/>
        <s v="Поступление доп. расходов УТ000000125 от 01.05.2017 23:56:10" u="1"/>
        <s v="Реализация товаров и услуг УТ000010901 от 17.05.2021 17:24:29" u="1"/>
        <s v="Поступление товаров и услуг УТ000000033 от 31.01.2020 17:20:56" u="1"/>
        <s v="Реализация товаров и услуг УТ000009021 от 26.04.2021 10:10:56" u="1"/>
        <s v="Реализация товаров и услуг УТ000009263 от 28.04.2021 17:24:39" u="1"/>
        <s v="Поступление доп. расходов УТ000000241 от 22.08.2017 23:06:17" u="1"/>
        <s v="Поступление доп. расходов УТ000000242 от 22.08.2017 23:06:18" u="1"/>
        <s v="Отчет комиссионера о продажах УТ000000194 от 30.03.2021 23:16:55" u="1"/>
        <s v="Поступление товаров и услуг УТ000000282 от 18.12.2019 15:33:01" u="1"/>
        <s v="Поступление доп. расходов УТ000000320 от 29.12.2017 13:07:16" u="1"/>
        <s v="Поступление доп. расходов УТ000000177 от 21.04.2020 13:48:55" u="1"/>
        <s v="Реализация товаров и услуг УТ000006285 от 30.03.2021 11:12:52" u="1"/>
        <s v="Поступление доп. расходов УТ000000178 от 21.04.2020 13:48:56" u="1"/>
        <s v="Реализация товаров и услуг УТ000002327 от 18.02.2020 17:18:09" u="1"/>
        <s v="Поступление товаров и услуг УТ000000219 от 01.09.2020 15:40:48" u="1"/>
        <s v="Отчет комиссионера о продажах УТ000000245 от 30.04.2021 19:04:19" u="1"/>
        <s v="Реализация товаров и услуг УТ000028457 от 02.09.2021 10:36:44" u="1"/>
        <s v="Отчет комиссионера о продажах УТ000000117 от 27.02.2021 23:55:16" u="1"/>
        <s v="Реализация товаров и услуг УТ000002409 от 08.02.2021 13:57:17" u="1"/>
        <s v="Реализация товаров и услуг УТ000027194 от 26.08.2021 10:56:53" u="1"/>
        <s v="Реализация товаров и услуг УТ000034148 от 24.12.2020 13:33:19" u="1"/>
        <s v="Отчет комиссионера о продажах УТ000000118 от 27.02.2021 23:55:17" u="1"/>
        <s v="Реализация товаров и услуг УТ000033222 от 14.12.2020 13:25:39" u="1"/>
        <s v="Реализация товаров и услуг УТ000016644 от 06.07.2021 13:17:49" u="1"/>
        <s v="Реализация товаров и услуг УТ000017223 от 12.07.2021 13:17:59" u="1"/>
        <s v="Поступление доп. расходов УТ000000237 от 18.08.2018 23:58:54" u="1"/>
        <s v="Отчет комиссионера о продажах УТ000000199 от 30.03.2021 15:46:32" u="1"/>
        <s v="Реализация товаров и услуг УТ000007417 от 12.04.2021 11:34:11" u="1"/>
        <s v="Платежное поручение исходящее УТ000000003 от 31.03.2021 23:50:12" u="1"/>
        <s v="Поступление доп. расходов УТ000000076 от 20.03.2018 23:58:59" u="1"/>
        <s v="Реализация товаров и услуг УТ000008538 от 21.04.2021 11:10:13" u="1"/>
        <s v="Платежное поручение исходящее УТ000000004 от 31.03.2021 23:50:13" u="1"/>
        <s v="Реализация товаров и услуг УТ000028460 от 30.09.2020 11:42:31" u="1"/>
        <s v="Отчет комиссионера о продажах УТ000000234 от 30.04.2021 17:25:16" u="1"/>
        <s v="Платежное поручение исходящее УТ000000005 от 31.03.2021 23:50:14" u="1"/>
        <s v="Реализация товаров и услуг УТ000018890 от 16.08.2021 10:42:15" u="1"/>
        <s v="Реализация товаров и услуг УТ000008536 от 21.04.2021 10:50:15" u="1"/>
        <s v="Платежное поручение исходящее УТ000000006 от 31.03.2021 23:50:15" u="1"/>
        <s v="Отчет комиссионера о продажах УТ000000316 от 30.06.2021 21:36:18" u="1"/>
        <s v="Поступление доп. расходов УТ000000304 от 20.11.2017 23:08:16" u="1"/>
        <s v="Поступление доп. расходов УТ000000164 от 30.06.2018 23:59:55" u="1"/>
        <s v="Поступление доп. расходов УТ000000165 от 30.06.2018 23:59:55" u="1"/>
        <s v="Отчет комиссионера о продажах УТ000000235 от 30.04.2021 17:26:34" u="1"/>
        <s v="Поступление доп. расходов УТ000000307 от 20.11.2017 23:08:19" u="1"/>
        <s v="Реализация товаров и услуг УТ000007418 от 12.04.2021 11:36:01" u="1"/>
        <s v="Поступление доп. расходов УТ000000002 от 10.01.2019 23:59:59" u="1"/>
        <s v="Поступление доп. расходов УТ000000005 от 07.02.2017 23:59:59" u="1"/>
        <s v="Поступление доп. расходов УТ000000005 от 13.01.2020 23:59:59" u="1"/>
        <s v="Поступление доп. расходов УТ000000006 от 07.02.2017 23:59:59" u="1"/>
        <s v="Поступление доп. расходов УТ000000006 от 13.01.2020 23:59:59" u="1"/>
        <s v="Поступление доп. расходов УТ000000007 от 13.01.2020 23:59:59" u="1"/>
        <s v="Поступление доп. расходов УТ000000007 от 14.01.2019 23:59:59" u="1"/>
        <s v="Поступление доп. расходов УТ000000010 от 20.01.2020 23:59:59" u="1"/>
        <s v="Поступление доп. расходов УТ000000010 от 25.01.2019 23:59:59" u="1"/>
        <s v="Поступление доп. расходов УТ000000011 от 20.01.2020 23:59:59" u="1"/>
        <s v="Поступление доп. расходов УТ000000011 от 25.01.2019 23:59:59" u="1"/>
        <s v="Поступление доп. расходов УТ000000012 от 20.01.2020 23:59:59" u="1"/>
        <s v="Поступление доп. расходов УТ000000012 от 28.01.2019 23:59:59" u="1"/>
        <s v="Поступление доп. расходов УТ000000013 от 10.02.2017 23:59:59" u="1"/>
        <s v="Поступление доп. расходов УТ000000013 от 20.01.2020 23:59:59" u="1"/>
        <s v="Поступление доп. расходов УТ000000013 от 28.01.2019 23:59:59" u="1"/>
        <s v="Поступление доп. расходов УТ000000014 от 10.02.2017 23:59:59" u="1"/>
        <s v="Поступление доп. расходов УТ000000014 от 22.01.2020 23:59:59" u="1"/>
        <s v="Поступление доп. расходов УТ000000014 от 28.01.2019 23:59:59" u="1"/>
        <s v="Поступление доп. расходов УТ000000015 от 10.02.2017 23:59:59" u="1"/>
        <s v="Поступление доп. расходов УТ000000015 от 22.01.2020 23:59:59" u="1"/>
        <s v="Поступление доп. расходов УТ000000015 от 28.01.2019 23:59:59" u="1"/>
        <s v="Поступление доп. расходов УТ000000016 от 10.02.2017 23:59:59" u="1"/>
        <s v="Поступление доп. расходов УТ000000017 от 10.02.2017 23:59:59" u="1"/>
        <s v="Поступление доп. расходов УТ000000018 от 10.02.2017 23:59:59" u="1"/>
        <s v="Поступление доп. расходов УТ000000019 от 10.02.2017 23:59:59" u="1"/>
        <s v="Поступление доп. расходов УТ000000020 от 16.02.2017 23:59:59" u="1"/>
        <s v="Поступление доп. расходов УТ000000021 от 16.02.2017 23:59:59" u="1"/>
        <s v="Поступление доп. расходов УТ000000021 от 22.01.2021 23:59:59" u="1"/>
        <s v="Поступление доп. расходов УТ000000022 от 05.02.2018 23:59:59" u="1"/>
        <s v="Поступление доп. расходов УТ000000022 от 16.02.2017 23:59:59" u="1"/>
        <s v="Поступление доп. расходов УТ000000022 от 22.01.2021 23:59:59" u="1"/>
        <s v="Поступление доп. расходов УТ000000023 от 01.02.2019 23:59:59" u="1"/>
        <s v="Поступление доп. расходов УТ000000023 от 16.02.2017 23:59:59" u="1"/>
        <s v="Поступление доп. расходов УТ000000024 от 01.02.2019 23:59:59" u="1"/>
        <s v="Поступление доп. расходов УТ000000024 от 16.02.2017 23:59:59" u="1"/>
        <s v="Поступление доп. расходов УТ000000025 от 04.02.2019 23:59:59" u="1"/>
        <s v="Поступление доп. расходов УТ000000025 от 05.02.2018 23:59:59" u="1"/>
        <s v="Поступление доп. расходов УТ000000025 от 16.02.2017 23:59:59" u="1"/>
        <s v="Поступление доп. расходов УТ000000026 от 04.02.2019 23:59:59" u="1"/>
        <s v="Поступление доп. расходов УТ000000026 от 05.02.2018 23:59:59" u="1"/>
        <s v="Поступление доп. расходов УТ000000026 от 16.02.2017 23:59:59" u="1"/>
        <s v="Поступление доп. расходов УТ000000026 от 27.01.2020 23:59:59" u="1"/>
        <s v="Поступление доп. расходов УТ000000027 от 05.02.2018 23:59:59" u="1"/>
        <s v="Поступление доп. расходов УТ000000027 от 16.02.2017 23:59:59" u="1"/>
        <s v="Поступление доп. расходов УТ000000027 от 27.01.2020 23:59:59" u="1"/>
        <s v="Поступление доп. расходов УТ000000028 от 05.02.2018 23:59:59" u="1"/>
        <s v="Поступление доп. расходов УТ000000028 от 16.02.2017 23:59:59" u="1"/>
        <s v="Поступление доп. расходов УТ000000028 от 27.01.2020 23:59:59" u="1"/>
        <s v="Поступление доп. расходов УТ000000029 от 05.02.2018 23:59:59" u="1"/>
        <s v="Поступление доп. расходов УТ000000029 от 27.01.2020 23:59:59" u="1"/>
        <s v="Поступление доп. расходов УТ000000030 от 05.02.2018 23:59:59" u="1"/>
        <s v="Поступление доп. расходов УТ000000030 от 27.01.2020 23:59:59" u="1"/>
        <s v="Поступление доп. расходов УТ000000031 от 09.02.2018 23:59:59" u="1"/>
        <s v="Поступление доп. расходов УТ000000031 от 11.02.2019 23:59:59" u="1"/>
        <s v="Поступление доп. расходов УТ000000031 от 27.01.2020 23:59:59" u="1"/>
        <s v="Поступление доп. расходов УТ000000032 от 11.02.2019 23:59:59" u="1"/>
        <s v="Поступление доп. расходов УТ000000038 от 03.02.2020 23:59:59" u="1"/>
        <s v="Поступление доп. расходов УТ000000038 от 19.02.2018 23:59:59" u="1"/>
        <s v="Поступление доп. расходов УТ000000039 от 01.03.2017 23:59:59" u="1"/>
        <s v="Поступление доп. расходов УТ000000039 от 03.02.2020 23:59:59" u="1"/>
        <s v="Поступление доп. расходов УТ000000039 от 15.02.2019 23:59:59" u="1"/>
        <s v="Поступление доп. расходов УТ000000039 от 19.02.2018 23:59:59" u="1"/>
        <s v="Поступление доп. расходов УТ000000040 от 01.03.2017 23:59:59" u="1"/>
        <s v="Поступление доп. расходов УТ000000040 от 15.02.2019 23:59:59" u="1"/>
        <s v="Поступление доп. расходов УТ000000040 от 19.02.2018 23:59:59" u="1"/>
        <s v="Поступление доп. расходов УТ000000041 от 01.03.2017 23:59:59" u="1"/>
        <s v="Поступление доп. расходов УТ000000041 от 15.02.2019 23:59:59" u="1"/>
        <s v="Поступление доп. расходов УТ000000041 от 19.02.2018 23:59:59" u="1"/>
        <s v="Поступление доп. расходов УТ000000042 от 01.03.2017 23:59:59" u="1"/>
        <s v="Поступление доп. расходов УТ000000042 от 15.02.2019 23:59:59" u="1"/>
        <s v="Поступление доп. расходов УТ000000042 от 19.02.2018 23:59:59" u="1"/>
        <s v="Поступление доп. расходов УТ000000043 от 01.03.2017 23:59:59" u="1"/>
        <s v="Поступление доп. расходов УТ000000043 от 15.02.2019 23:59:59" u="1"/>
        <s v="Поступление доп. расходов УТ000000043 от 19.02.2018 23:59:59" u="1"/>
        <s v="Поступление доп. расходов УТ000000044 от 01.03.2017 23:59:59" u="1"/>
        <s v="Поступление доп. расходов УТ000000044 от 15.02.2019 23:59:59" u="1"/>
        <s v="Поступление доп. расходов УТ000000044 от 19.02.2018 23:59:59" u="1"/>
        <s v="Поступление доп. расходов УТ000000045 от 06.02.2019 23:59:59" u="1"/>
        <s v="Поступление доп. расходов УТ000000045 от 10.03.2017 23:59:59" u="1"/>
        <s v="Поступление доп. расходов УТ000000045 от 19.02.2018 23:59:59" u="1"/>
        <s v="Поступление доп. расходов УТ000000046 от 06.02.2019 23:59:59" u="1"/>
        <s v="Поступление доп. расходов УТ000000046 от 10.03.2017 23:59:59" u="1"/>
        <s v="Поступление доп. расходов УТ000000046 от 19.02.2018 23:59:59" u="1"/>
        <s v="Поступление доп. расходов УТ000000047 от 06.02.2019 23:59:59" u="1"/>
        <s v="Поступление доп. расходов УТ000000047 от 10.03.2017 23:59:59" u="1"/>
        <s v="Поступление доп. расходов УТ000000047 от 19.02.2018 23:59:59" u="1"/>
        <s v="Поступление доп. расходов УТ000000048 от 06.02.2019 23:59:59" u="1"/>
        <s v="Поступление доп. расходов УТ000000048 от 19.02.2018 23:59:59" u="1"/>
        <s v="Поступление доп. расходов УТ000000049 от 06.02.2019 23:59:59" u="1"/>
        <s v="Поступление доп. расходов УТ000000049 от 19.02.2018 23:59:59" u="1"/>
        <s v="Поступление доп. расходов УТ000000050 от 06.02.2019 23:59:59" u="1"/>
        <s v="Поступление доп. расходов УТ000000050 от 13.03.2017 23:59:59" u="1"/>
        <s v="Поступление доп. расходов УТ000000050 от 19.02.2018 23:59:59" u="1"/>
        <s v="Поступление доп. расходов УТ000000051 от 06.02.2019 23:59:59" u="1"/>
        <s v="Поступление доп. расходов УТ000000051 от 13.03.2017 23:59:59" u="1"/>
        <s v="Поступление доп. расходов УТ000000051 от 19.02.2018 23:59:59" u="1"/>
        <s v="Поступление доп. расходов УТ000000052 от 06.02.2019 23:59:59" u="1"/>
        <s v="Поступление доп. расходов УТ000000052 от 13.03.2017 23:59:59" u="1"/>
        <s v="Поступление доп. расходов УТ000000052 от 18.02.2020 23:59:59" u="1"/>
        <s v="Поступление доп. расходов УТ000000053 от 06.02.2019 23:59:59" u="1"/>
        <s v="Поступление доп. расходов УТ000000053 от 18.02.2020 23:59:59" u="1"/>
        <s v="Поступление доп. расходов УТ000000054 от 06.02.2019 23:59:59" u="1"/>
        <s v="Поступление доп. расходов УТ000000055 от 06.02.2019 23:59:59" u="1"/>
        <s v="Поступление доп. расходов УТ000000056 от 06.02.2019 23:59:59" u="1"/>
        <s v="Поступление доп. расходов УТ000000057 от 06.02.2019 23:59:59" u="1"/>
        <s v="Поступление доп. расходов УТ000000057 от 10.02.2020 23:59:59" u="1"/>
        <s v="Поступление доп. расходов УТ000000058 от 06.02.2019 23:59:59" u="1"/>
        <s v="Поступление доп. расходов УТ000000058 от 10.02.2020 23:59:59" u="1"/>
        <s v="Поступление доп. расходов УТ000000059 от 10.02.2020 23:59:59" u="1"/>
        <s v="Поступление доп. расходов УТ000000060 от 10.02.2020 23:59:59" u="1"/>
        <s v="Поступление доп. расходов УТ000000060 от 27.03.2017 23:59:59" u="1"/>
        <s v="Поступление доп. расходов УТ000000061 от 01.02.2019 23:59:59" u="1"/>
        <s v="Поступление доп. расходов УТ000000061 от 10.02.2020 23:59:59" u="1"/>
        <s v="Поступление доп. расходов УТ000000061 от 27.03.2017 23:59:59" u="1"/>
        <s v="Поступление доп. расходов УТ000000062 от 10.02.2020 23:59:59" u="1"/>
        <s v="Поступление доп. расходов УТ000000062 от 27.03.2017 23:59:59" u="1"/>
        <s v="Поступление доп. расходов УТ000000063 от 10.02.2020 23:59:59" u="1"/>
        <s v="Поступление доп. расходов УТ000000063 от 19.02.2019 23:59:59" u="1"/>
        <s v="Поступление доп. расходов УТ000000063 от 27.03.2017 23:59:59" u="1"/>
        <s v="Поступление доп. расходов УТ000000064 от 06.05.2016 23:59:59" u="1"/>
        <s v="Поступление доп. расходов УТ000000064 от 10.02.2020 23:59:59" u="1"/>
        <s v="Поступление доп. расходов УТ000000064 от 19.02.2019 23:59:59" u="1"/>
        <s v="Поступление доп. расходов УТ000000064 от 27.03.2017 23:59:59" u="1"/>
        <s v="Поступление доп. расходов УТ000000065 от 06.05.2016 23:59:59" u="1"/>
        <s v="Поступление доп. расходов УТ000000065 от 10.02.2020 23:59:59" u="1"/>
        <s v="Поступление доп. расходов УТ000000065 от 27.03.2017 23:59:59" u="1"/>
        <s v="Поступление доп. расходов УТ000000066 от 06.05.2016 23:59:59" u="1"/>
        <s v="Поступление доп. расходов УТ000000066 от 10.02.2020 23:59:59" u="1"/>
        <s v="Поступление доп. расходов УТ000000066 от 27.03.2017 23:59:59" u="1"/>
        <s v="Поступление доп. расходов УТ000000067 от 06.05.2016 23:59:59" u="1"/>
        <s v="Поступление доп. расходов УТ000000067 от 10.02.2020 23:59:59" u="1"/>
        <s v="Поступление доп. расходов УТ000000067 от 27.03.2017 23:59:59" u="1"/>
        <s v="Поступление доп. расходов УТ000000068 от 06.05.2016 23:59:59" u="1"/>
        <s v="Поступление доп. расходов УТ000000068 от 10.02.2020 23:59:59" u="1"/>
        <s v="Поступление доп. расходов УТ000000068 от 27.03.2017 23:59:59" u="1"/>
        <s v="Поступление доп. расходов УТ000000069 от 04.03.2019 23:59:59" u="1"/>
        <s v="Поступление доп. расходов УТ000000069 от 06.05.2016 23:59:59" u="1"/>
        <s v="Поступление доп. расходов УТ000000069 от 10.02.2020 23:59:59" u="1"/>
        <s v="Поступление доп. расходов УТ000000070 от 04.03.2019 23:59:59" u="1"/>
        <s v="Поступление доп. расходов УТ000000070 от 10.02.2020 23:59:59" u="1"/>
        <s v="Поступление доп. расходов УТ000000070 от 23.05.2016 23:59:59" u="1"/>
        <s v="Поступление доп. расходов УТ000000071 от 04.03.2019 23:59:59" u="1"/>
        <s v="Поступление доп. расходов УТ000000071 от 10.02.2020 23:59:59" u="1"/>
        <s v="Поступление доп. расходов УТ000000071 от 23.05.2016 23:59:59" u="1"/>
        <s v="Поступление доп. расходов УТ000000072 от 04.03.2019 23:59:59" u="1"/>
        <s v="Поступление доп. расходов УТ000000072 от 10.02.2020 23:59:59" u="1"/>
        <s v="Поступление доп. расходов УТ000000072 от 13.03.2018 23:59:59" u="1"/>
        <s v="Поступление доп. расходов УТ000000072 от 23.05.2016 23:59:59" u="1"/>
        <s v="Поступление доп. расходов УТ000000073 от 04.03.2019 23:59:59" u="1"/>
        <s v="Поступление доп. расходов УТ000000073 от 10.02.2020 23:59:59" u="1"/>
        <s v="Поступление доп. расходов УТ000000073 от 13.03.2018 23:59:59" u="1"/>
        <s v="Поступление доп. расходов УТ000000073 от 23.05.2016 23:59:59" u="1"/>
        <s v="Поступление доп. расходов УТ000000074 от 04.03.2019 23:59:59" u="1"/>
        <s v="Поступление доп. расходов УТ000000074 от 10.02.2020 23:59:59" u="1"/>
        <s v="Поступление доп. расходов УТ000000074 от 13.03.2018 23:59:59" u="1"/>
        <s v="Поступление доп. расходов УТ000000074 от 24.05.2016 23:59:59" u="1"/>
        <s v="Поступление доп. расходов УТ000000075 от 10.02.2020 23:59:59" u="1"/>
        <s v="Поступление доп. расходов УТ000000075 от 13.03.2018 23:59:59" u="1"/>
        <s v="Поступление доп. расходов УТ000000076 от 10.02.2020 23:59:59" u="1"/>
        <s v="Поступление доп. расходов УТ000000077 от 10.02.2020 23:59:59" u="1"/>
        <s v="Поступление доп. расходов УТ000000078 от 10.02.2020 23:59:59" u="1"/>
        <s v="Поступление доп. расходов УТ000000079 от 01.03.2019 23:59:59" u="1"/>
        <s v="Поступление доп. расходов УТ000000079 от 10.02.2020 23:59:59" u="1"/>
        <s v="Поступление доп. расходов УТ000000080 от 01.03.2019 23:59:59" u="1"/>
        <s v="Поступление доп. расходов УТ000000080 от 10.02.2020 23:59:59" u="1"/>
        <s v="Поступление доп. расходов УТ000000081 от 10.02.2020 23:59:59" u="1"/>
        <s v="Поступление доп. расходов УТ000000081 от 27.05.2016 23:59:59" u="1"/>
        <s v="Поступление доп. расходов УТ000000082 от 06.04.2018 23:59:59" u="1"/>
        <s v="Поступление доп. расходов УТ000000082 от 10.02.2020 23:59:59" u="1"/>
        <s v="Поступление доп. расходов УТ000000083 от 10.02.2020 23:59:59" u="1"/>
        <s v="Поступление доп. расходов УТ000000083 от 10.04.2018 23:59:59" u="1"/>
        <s v="Поступление доп. расходов УТ000000084 от 10.02.2020 23:59:59" u="1"/>
        <s v="Поступление доп. расходов УТ000000084 от 10.04.2018 23:59:59" u="1"/>
        <s v="Поступление доп. расходов УТ000000084 от 27.05.2016 23:59:59" u="1"/>
        <s v="Поступление доп. расходов УТ000000085 от 10.04.2018 23:59:59" u="1"/>
        <s v="Поступление доп. расходов УТ000000086 от 10.02.2020 23:59:59" u="1"/>
        <s v="Поступление доп. расходов УТ000000086 от 10.04.2018 23:59:59" u="1"/>
        <s v="Поступление доп. расходов УТ000000087 от 05.03.2019 23:59:59" u="1"/>
        <s v="Поступление доп. расходов УТ000000087 от 10.02.2020 23:59:59" u="1"/>
        <s v="Поступление доп. расходов УТ000000087 от 10.04.2018 23:59:59" u="1"/>
        <s v="Поступление доп. расходов УТ000000087 от 27.05.2016 23:59:59" u="1"/>
        <s v="Поступление доп. расходов УТ000000088 от 05.03.2019 23:59:59" u="1"/>
        <s v="Поступление доп. расходов УТ000000088 от 10.02.2020 23:59:59" u="1"/>
        <s v="Поступление доп. расходов УТ000000088 от 10.04.2018 23:59:59" u="1"/>
        <s v="Поступление доп. расходов УТ000000088 от 26.05.2016 23:59:59" u="1"/>
        <s v="Поступление доп. расходов УТ000000089 от 05.03.2019 23:59:59" u="1"/>
        <s v="Поступление доп. расходов УТ000000089 от 10.02.2020 23:59:59" u="1"/>
        <s v="Поступление доп. расходов УТ000000090 от 05.03.2019 23:59:59" u="1"/>
        <s v="Поступление доп. расходов УТ000000090 от 10.02.2020 23:59:59" u="1"/>
        <s v="Поступление доп. расходов УТ000000091 от 10.02.2020 23:59:59" u="1"/>
        <s v="Поступление доп. расходов УТ000000091 от 27.05.2016 23:59:59" u="1"/>
        <s v="Поступление доп. расходов УТ000000092 от 10.02.2020 23:59:59" u="1"/>
        <s v="Поступление доп. расходов УТ000000093 от 10.02.2020 23:59:59" u="1"/>
        <s v="Поступление доп. расходов УТ000000094 от 10.02.2020 23:59:59" u="1"/>
        <s v="Поступление доп. расходов УТ000000094 от 27.05.2016 23:59:59" u="1"/>
        <s v="Поступление доп. расходов УТ000000095 от 10.02.2020 23:59:59" u="1"/>
        <s v="Поступление доп. расходов УТ000000095 от 11.03.2019 23:59:59" u="1"/>
        <s v="Поступление доп. расходов УТ000000096 от 10.02.2020 23:59:59" u="1"/>
        <s v="Поступление доп. расходов УТ000000097 от 01.06.2016 23:59:59" u="1"/>
        <s v="Поступление доп. расходов УТ000000097 от 10.02.2020 23:59:59" u="1"/>
        <s v="Поступление доп. расходов УТ000000098 от 01.06.2016 23:59:59" u="1"/>
        <s v="Поступление доп. расходов УТ000000098 от 10.02.2020 23:59:59" u="1"/>
        <s v="Поступление доп. расходов УТ000000099 от 10.02.2020 23:59:59" u="1"/>
        <s v="Поступление доп. расходов УТ000000100 от 10.02.2020 23:59:59" u="1"/>
        <s v="Поступление доп. расходов УТ000000101 от 01.06.2016 23:59:59" u="1"/>
        <s v="Поступление доп. расходов УТ000000101 от 10.02.2020 23:59:59" u="1"/>
        <s v="Поступление доп. расходов УТ000000101 от 11.03.2019 23:59:59" u="1"/>
        <s v="Поступление доп. расходов УТ000000102 от 10.02.2020 23:59:59" u="1"/>
        <s v="Поступление доп. расходов УТ000000102 от 20.03.2019 23:59:59" u="1"/>
        <s v="Поступление доп. расходов УТ000000103 от 10.02.2020 23:59:59" u="1"/>
        <s v="Поступление доп. расходов УТ000000103 от 20.03.2019 23:59:59" u="1"/>
        <s v="Поступление доп. расходов УТ000000104 от 01.06.2016 23:59:59" u="1"/>
        <s v="Поступление доп. расходов УТ000000104 от 07.05.2018 23:59:59" u="1"/>
        <s v="Поступление доп. расходов УТ000000104 от 10.02.2020 23:59:59" u="1"/>
        <s v="Поступление доп. расходов УТ000000104 от 20.03.2019 23:59:59" u="1"/>
        <s v="Поступление доп. расходов УТ000000105 от 07.05.2018 23:59:59" u="1"/>
        <s v="Поступление доп. расходов УТ000000105 от 10.02.2020 23:59:59" u="1"/>
        <s v="Поступление доп. расходов УТ000000105 от 20.03.2019 23:59:59" u="1"/>
        <s v="Поступление доп. расходов УТ000000106 от 10.02.2020 23:59:59" u="1"/>
        <s v="Поступление доп. расходов УТ000000106 от 10.05.2018 23:59:59" u="1"/>
        <s v="Поступление доп. расходов УТ000000106 от 20.03.2019 23:59:59" u="1"/>
        <s v="Поступление доп. расходов УТ000000107 от 07.06.2016 23:59:59" u="1"/>
        <s v="Поступление доп. расходов УТ000000107 от 10.02.2020 23:59:59" u="1"/>
        <s v="Поступление доп. расходов УТ000000107 от 10.05.2018 23:59:59" u="1"/>
        <s v="Поступление доп. расходов УТ000000107 от 20.03.2019 23:59:59" u="1"/>
        <s v="Поступление доп. расходов УТ000000108 от 10.02.2020 23:59:59" u="1"/>
        <s v="Поступление доп. расходов УТ000000108 от 10.05.2018 23:59:59" u="1"/>
        <s v="Поступление доп. расходов УТ000000108 от 20.03.2019 23:59:59" u="1"/>
        <s v="Поступление доп. расходов УТ000000109 от 10.02.2020 23:59:59" u="1"/>
        <s v="Поступление доп. расходов УТ000000109 от 10.04.2017 23:59:59" u="1"/>
        <s v="Поступление доп. расходов УТ000000109 от 10.05.2018 23:59:59" u="1"/>
        <s v="Поступление доп. расходов УТ000000109 от 20.03.2019 23:59:59" u="1"/>
        <s v="Поступление доп. расходов УТ000000110 от 10.02.2020 23:59:59" u="1"/>
        <s v="Поступление доп. расходов УТ000000110 от 10.04.2017 23:59:59" u="1"/>
        <s v="Поступление доп. расходов УТ000000110 от 10.05.2018 23:59:59" u="1"/>
        <s v="Поступление доп. расходов УТ000000110 от 15.06.2016 23:59:59" u="1"/>
        <s v="Поступление доп. расходов УТ000000110 от 24.03.2019 23:59:59" u="1"/>
        <s v="Поступление доп. расходов УТ000000111 от 10.04.2017 23:59:59" u="1"/>
        <s v="Поступление доп. расходов УТ000000111 от 10.05.2018 23:59:59" u="1"/>
        <s v="Поступление доп. расходов УТ000000113 от 07.05.2018 23:59:59" u="1"/>
        <s v="Поступление доп. расходов УТ000000113 от 15.06.2016 23:59:59" u="1"/>
        <s v="Поступление доп. расходов УТ000000113 от 21.02.2020 23:59:59" u="1"/>
        <s v="Поступление доп. расходов УТ000000114 от 01.04.2019 23:59:59" u="1"/>
        <s v="Поступление доп. расходов УТ000000114 от 18.05.2018 23:59:59" u="1"/>
        <s v="Поступление доп. расходов УТ000000114 от 21.02.2020 23:59:59" u="1"/>
        <s v="Поступление доп. расходов УТ000000115 от 18.05.2018 23:59:59" u="1"/>
        <s v="Поступление доп. расходов УТ000000115 от 21.02.2020 23:59:59" u="1"/>
        <s v="Поступление доп. расходов УТ000000116 от 15.06.2016 23:59:59" u="1"/>
        <s v="Поступление доп. расходов УТ000000116 от 18.05.2018 23:59:59" u="1"/>
        <s v="Поступление доп. расходов УТ000000116 от 21.02.2020 23:59:59" u="1"/>
        <s v="Поступление доп. расходов УТ000000117 от 18.05.2018 23:59:59" u="1"/>
        <s v="Поступление доп. расходов УТ000000117 от 25.02.2020 23:59:59" u="1"/>
        <s v="Поступление доп. расходов УТ000000118 от 18.05.2018 23:59:59" u="1"/>
        <s v="Поступление доп. расходов УТ000000118 от 25.02.2020 23:59:59" u="1"/>
        <s v="Поступление доп. расходов УТ000000119 от 15.06.2016 23:59:59" u="1"/>
        <s v="Поступление доп. расходов УТ000000119 от 18.05.2018 23:59:59" u="1"/>
        <s v="Поступление доп. расходов УТ000000120 от 01.04.2019 23:59:59" u="1"/>
        <s v="Поступление доп. расходов УТ000000120 от 04.06.2018 23:59:59" u="1"/>
        <s v="Поступление доп. расходов УТ000000121 от 04.06.2018 23:59:59" u="1"/>
        <s v="Поступление доп. расходов УТ000000122 от 01.04.2019 23:59:59" u="1"/>
        <s v="Поступление доп. расходов УТ000000122 от 05.06.2018 23:59:59" u="1"/>
        <s v="Поступление доп. расходов УТ000000122 от 24.06.2016 23:59:59" u="1"/>
        <s v="Поступление доп. расходов УТ000000123 от 05.06.2018 23:59:59" u="1"/>
        <s v="Поступление доп. расходов УТ000000123 от 05.07.2016 23:59:59" u="1"/>
        <s v="Поступление доп. расходов УТ000000124 от 01.06.2018 23:59:59" u="1"/>
        <s v="Поступление доп. расходов УТ000000125 от 01.06.2018 23:59:59" u="1"/>
        <s v="Поступление доп. расходов УТ000000126 от 05.07.2016 23:59:59" u="1"/>
        <s v="Поступление доп. расходов УТ000000126 от 07.06.2018 23:59:59" u="1"/>
        <s v="Поступление доп. расходов УТ000000127 от 07.06.2018 23:59:59" u="1"/>
        <s v="Поступление доп. расходов УТ000000128 от 07.06.2018 23:59:59" u="1"/>
        <s v="Поступление доп. расходов УТ000000129 от 01.04.2019 23:59:59" u="1"/>
        <s v="Поступление доп. расходов УТ000000129 от 07.06.2018 23:59:59" u="1"/>
        <s v="Поступление доп. расходов УТ000000130 от 07.06.2018 23:59:59" u="1"/>
        <s v="Поступление доп. расходов УТ000000131 от 07.06.2018 23:59:59" u="1"/>
        <s v="Поступление доп. расходов УТ000000132 от 06.06.2018 23:59:59" u="1"/>
        <s v="Поступление доп. расходов УТ000000133 от 06.06.2018 23:59:59" u="1"/>
        <s v="Поступление доп. расходов УТ000000133 от 24.05.2017 23:59:59" u="1"/>
        <s v="Поступление доп. расходов УТ000000134 от 08.06.2018 23:59:59" u="1"/>
        <s v="Поступление доп. расходов УТ000000135 от 02.04.2019 23:59:59" u="1"/>
        <s v="Поступление доп. расходов УТ000000135 от 08.06.2018 23:59:59" u="1"/>
        <s v="Поступление доп. расходов УТ000000135 от 22.07.2016 23:59:59" u="1"/>
        <s v="Поступление доп. расходов УТ000000136 от 02.04.2019 23:59:59" u="1"/>
        <s v="Поступление доп. расходов УТ000000136 от 08.06.2018 23:59:59" u="1"/>
        <s v="Поступление доп. расходов УТ000000136 от 22.07.2016 23:59:59" u="1"/>
        <s v="Поступление доп. расходов УТ000000137 от 01.06.2017 23:59:59" u="1"/>
        <s v="Поступление доп. расходов УТ000000137 от 08.06.2018 23:59:59" u="1"/>
        <s v="Поступление доп. расходов УТ000000138 от 02.04.2019 23:59:59" u="1"/>
        <s v="Поступление доп. расходов УТ000000138 от 13.06.2018 23:59:59" u="1"/>
        <s v="Поступление доп. расходов УТ000000139 от 02.04.2019 23:59:59" u="1"/>
        <s v="Поступление доп. расходов УТ000000139 от 13.06.2018 23:59:59" u="1"/>
        <s v="Поступление доп. расходов УТ000000139 от 15.08.2016 23:59:59" u="1"/>
        <s v="Поступление доп. расходов УТ000000140 от 01.06.2017 23:59:59" u="1"/>
        <s v="Поступление доп. расходов УТ000000140 от 13.06.2018 23:59:59" u="1"/>
        <s v="Поступление доп. расходов УТ000000140 от 16.08.2016 23:59:59" u="1"/>
        <s v="Поступление доп. расходов УТ000000141 от 13.06.2018 23:59:59" u="1"/>
        <s v="Поступление доп. расходов УТ000000141 от 15.08.2016 23:59:59" u="1"/>
        <s v="Поступление доп. расходов УТ000000142 от 04.04.2019 23:59:59" u="1"/>
        <s v="Поступление доп. расходов УТ000000142 от 13.06.2018 23:59:59" u="1"/>
        <s v="Поступление доп. расходов УТ000000142 от 16.08.2016 23:59:59" u="1"/>
        <s v="Поступление доп. расходов УТ000000143 от 01.06.2017 23:59:59" u="1"/>
        <s v="Поступление доп. расходов УТ000000143 от 13.06.2018 23:59:59" u="1"/>
        <s v="Поступление доп. расходов УТ000000144 от 12.03.2020 23:59:59" u="1"/>
        <s v="Поступление доп. расходов УТ000000144 от 13.06.2018 23:59:59" u="1"/>
        <s v="Поступление доп. расходов УТ000000145 от 12.03.2020 23:59:59" u="1"/>
        <s v="Поступление доп. расходов УТ000000145 от 13.06.2018 23:59:59" u="1"/>
        <s v="Поступление доп. расходов УТ000000146 от 01.06.2017 23:59:59" u="1"/>
        <s v="Поступление доп. расходов УТ000000146 от 04.04.2019 23:59:59" u="1"/>
        <s v="Поступление доп. расходов УТ000000146 от 13.06.2018 23:59:59" u="1"/>
        <s v="Поступление доп. расходов УТ000000147 от 06.06.2017 23:59:59" u="1"/>
        <s v="Поступление доп. расходов УТ000000147 от 13.06.2018 23:59:59" u="1"/>
        <s v="Поступление доп. расходов УТ000000148 от 19.06.2018 23:59:59" u="1"/>
        <s v="Поступление доп. расходов УТ000000149 от 19.06.2018 23:59:59" u="1"/>
        <s v="Поступление доп. расходов УТ000000150 от 04.04.2019 23:59:59" u="1"/>
        <s v="Поступление доп. расходов УТ000000150 от 19.06.2018 23:59:59" u="1"/>
        <s v="Поступление доп. расходов УТ000000151 от 13.06.2017 23:59:59" u="1"/>
        <s v="Поступление доп. расходов УТ000000151 от 19.06.2018 23:59:59" u="1"/>
        <s v="Поступление доп. расходов УТ000000152 от 03.04.2020 23:59:59" u="1"/>
        <s v="Поступление доп. расходов УТ000000152 от 13.06.2017 23:59:59" u="1"/>
        <s v="Поступление доп. расходов УТ000000152 от 19.06.2018 23:59:59" u="1"/>
        <s v="Поступление доп. расходов УТ000000153 от 03.04.2020 23:59:59" u="1"/>
        <s v="Поступление доп. расходов УТ000000153 от 07.09.2016 23:59:59" u="1"/>
        <s v="Поступление доп. расходов УТ000000153 от 13.06.2017 23:59:59" u="1"/>
        <s v="Поступление доп. расходов УТ000000153 от 19.06.2018 23:59:59" u="1"/>
        <s v="Поступление доп. расходов УТ000000154 от 04.04.2019 23:59:59" u="1"/>
        <s v="Поступление доп. расходов УТ000000154 от 07.09.2016 23:59:59" u="1"/>
        <s v="Поступление доп. расходов УТ000000154 от 13.06.2017 23:59:59" u="1"/>
        <s v="Поступление доп. расходов УТ000000154 от 19.06.2018 23:59:59" u="1"/>
        <s v="Поступление доп. расходов УТ000000155 от 03.04.2020 23:59:59" u="1"/>
        <s v="Поступление доп. расходов УТ000000155 от 13.06.2017 23:59:59" u="1"/>
        <s v="Поступление доп. расходов УТ000000155 от 14.09.2016 23:59:59" u="1"/>
        <s v="Поступление доп. расходов УТ000000155 от 19.06.2018 23:59:59" u="1"/>
        <s v="Поступление доп. расходов УТ000000156 от 03.04.2020 23:59:59" u="1"/>
        <s v="Поступление доп. расходов УТ000000156 от 13.06.2017 23:59:59" u="1"/>
        <s v="Поступление доп. расходов УТ000000156 от 14.09.2016 23:59:59" u="1"/>
        <s v="Поступление доп. расходов УТ000000156 от 19.06.2018 23:59:59" u="1"/>
        <s v="Поступление доп. расходов УТ000000157 от 03.04.2020 23:59:59" u="1"/>
        <s v="Поступление доп. расходов УТ000000157 от 13.06.2017 23:59:59" u="1"/>
        <s v="Поступление доп. расходов УТ000000157 от 14.09.2016 23:59:59" u="1"/>
        <s v="Поступление доп. расходов УТ000000157 от 19.06.2018 23:59:59" u="1"/>
        <s v="Поступление доп. расходов УТ000000158 от 03.04.2020 23:59:59" u="1"/>
        <s v="Поступление доп. расходов УТ000000158 от 13.06.2017 23:59:59" u="1"/>
        <s v="Поступление доп. расходов УТ000000158 от 14.06.2018 23:59:59" u="1"/>
        <s v="Поступление доп. расходов УТ000000158 от 14.09.2016 23:59:59" u="1"/>
        <s v="Поступление доп. расходов УТ000000159 от 03.04.2020 23:59:59" u="1"/>
        <s v="Поступление доп. расходов УТ000000159 от 13.06.2017 23:59:59" u="1"/>
        <s v="Поступление доп. расходов УТ000000159 от 14.06.2018 23:59:59" u="1"/>
        <s v="Поступление доп. расходов УТ000000159 от 14.09.2016 23:59:59" u="1"/>
        <s v="Поступление доп. расходов УТ000000160 от 03.04.2020 23:59:59" u="1"/>
        <s v="Поступление доп. расходов УТ000000160 от 14.09.2016 23:59:59" u="1"/>
        <s v="Поступление доп. расходов УТ000000161 от 03.04.2020 23:59:59" u="1"/>
        <s v="Поступление доп. расходов УТ000000161 от 14.09.2016 23:59:59" u="1"/>
        <s v="Поступление доп. расходов УТ000000162 от 03.04.2020 23:59:59" u="1"/>
        <s v="Поступление доп. расходов УТ000000162 от 14.09.2016 23:59:59" u="1"/>
        <s v="Поступление доп. расходов УТ000000163 от 03.04.2020 23:59:59" u="1"/>
        <s v="Поступление доп. расходов УТ000000163 от 04.10.2016 23:59:59" u="1"/>
        <s v="Поступление доп. расходов УТ000000164 от 04.10.2016 23:59:59" u="1"/>
        <s v="Поступление доп. расходов УТ000000164 от 16.06.2017 23:59:59" u="1"/>
        <s v="Поступление доп. расходов УТ000000165 от 04.10.2016 23:59:59" u="1"/>
        <s v="Поступление доп. расходов УТ000000165 от 16.06.2017 23:59:59" u="1"/>
        <s v="Поступление доп. расходов УТ000000166 от 04.10.2016 23:59:59" u="1"/>
        <s v="Поступление доп. расходов УТ000000167 от 04.10.2016 23:59:59" u="1"/>
        <s v="Поступление доп. расходов УТ000000168 от 04.10.2016 23:59:59" u="1"/>
        <s v="Поступление доп. расходов УТ000000169 от 04.10.2016 23:59:59" u="1"/>
        <s v="Поступление доп. расходов УТ000000170 от 04.10.2016 23:59:59" u="1"/>
        <s v="Поступление доп. расходов УТ000000172 от 14.04.2020 23:59:59" u="1"/>
        <s v="Поступление доп. расходов УТ000000173 от 02.07.2018 23:59:59" u="1"/>
        <s v="Поступление доп. расходов УТ000000173 от 14.04.2020 23:59:59" u="1"/>
        <s v="Поступление доп. расходов УТ000000173 от 20.07.2017 23:59:59" u="1"/>
        <s v="Поступление доп. расходов УТ000000174 от 02.07.2018 23:59:59" u="1"/>
        <s v="Поступление доп. расходов УТ000000174 от 05.04.2019 23:59:59" u="1"/>
        <s v="Поступление доп. расходов УТ000000174 от 14.04.2020 23:59:59" u="1"/>
        <s v="Поступление доп. расходов УТ000000175 от 02.07.2018 23:59:59" u="1"/>
        <s v="Поступление доп. расходов УТ000000175 от 05.04.2019 23:59:59" u="1"/>
        <s v="Поступление доп. расходов УТ000000175 от 13.04.2020 23:59:59" u="1"/>
        <s v="Поступление доп. расходов УТ000000176 от 02.07.2018 23:59:59" u="1"/>
        <s v="Поступление доп. расходов УТ000000176 от 05.04.2019 23:59:59" u="1"/>
        <s v="Поступление доп. расходов УТ000000176 от 13.04.2020 23:59:59" u="1"/>
        <s v="Поступление доп. расходов УТ000000177 от 02.07.2018 23:59:59" u="1"/>
        <s v="Поступление доп. расходов УТ000000177 от 05.04.2019 23:59:59" u="1"/>
        <s v="Поступление доп. расходов УТ000000178 от 02.07.2018 23:59:59" u="1"/>
        <s v="Поступление доп. расходов УТ000000179 от 03.07.2018 23:59:59" u="1"/>
        <s v="Поступление доп. расходов УТ000000180 от 03.07.2018 23:59:59" u="1"/>
        <s v="Поступление доп. расходов УТ000000180 от 23.04.2020 23:59:59" u="1"/>
        <s v="Поступление доп. расходов УТ000000181 от 03.07.2018 23:59:59" u="1"/>
        <s v="Поступление доп. расходов УТ000000182 от 03.07.2018 23:59:59" u="1"/>
        <s v="Поступление доп. расходов УТ000000183 от 03.07.2018 23:59:59" u="1"/>
        <s v="Поступление доп. расходов УТ000000183 от 23.04.2020 23:59:59" u="1"/>
        <s v="Поступление доп. расходов УТ000000184 от 03.07.2018 23:59:59" u="1"/>
        <s v="Поступление доп. расходов УТ000000185 от 06.07.2018 23:59:59" u="1"/>
        <s v="Поступление доп. расходов УТ000000185 от 08.11.2016 23:59:59" u="1"/>
        <s v="Поступление доп. расходов УТ000000186 от 06.07.2018 23:59:59" u="1"/>
        <s v="Поступление доп. расходов УТ000000186 от 08.11.2016 23:59:59" u="1"/>
        <s v="Поступление доп. расходов УТ000000187 от 06.07.2018 23:59:59" u="1"/>
        <s v="Поступление доп. расходов УТ000000187 от 07.05.2019 23:59:59" u="1"/>
        <s v="Поступление доп. расходов УТ000000188 от 06.07.2018 23:59:59" u="1"/>
        <s v="Поступление доп. расходов УТ000000188 от 07.05.2019 23:59:59" u="1"/>
        <s v="Поступление доп. расходов УТ000000188 от 26.07.2017 23:59:59" u="1"/>
        <s v="Поступление доп. расходов УТ000000189 от 06.07.2018 23:59:59" u="1"/>
        <s v="Поступление доп. расходов УТ000000189 от 07.05.2019 23:59:59" u="1"/>
        <s v="Поступление доп. расходов УТ000000189 от 11.11.2016 23:59:59" u="1"/>
        <s v="Поступление доп. расходов УТ000000190 от 06.07.2018 23:59:59" u="1"/>
        <s v="Поступление доп. расходов УТ000000190 от 25.05.2020 23:59:59" u="1"/>
        <s v="Поступление доп. расходов УТ000000191 от 13.07.2018 23:59:59" u="1"/>
        <s v="Поступление доп. расходов УТ000000191 от 25.05.2020 23:59:59" u="1"/>
        <s v="Поступление доп. расходов УТ000000191 от 27.07.2017 23:59:59" u="1"/>
        <s v="Поступление доп. расходов УТ000000192 от 13.07.2018 23:59:59" u="1"/>
        <s v="Поступление доп. расходов УТ000000192 от 25.05.2020 23:59:59" u="1"/>
        <s v="Поступление доп. расходов УТ000000192 от 27.07.2017 23:59:59" u="1"/>
        <s v="Поступление доп. расходов УТ000000193 от 15.05.2020 23:59:59" u="1"/>
        <s v="Поступление доп. расходов УТ000000193 от 22.11.2016 23:59:59" u="1"/>
        <s v="Поступление доп. расходов УТ000000193 от 27.07.2017 23:59:59" u="1"/>
        <s v="Поступление доп. расходов УТ000000194 от 15.05.2020 23:59:59" u="1"/>
        <s v="Поступление доп. расходов УТ000000194 от 22.11.2016 23:59:59" u="1"/>
        <s v="Поступление доп. расходов УТ000000194 от 27.07.2017 23:59:59" u="1"/>
        <s v="Поступление доп. расходов УТ000000195 от 15.05.2020 23:59:59" u="1"/>
        <s v="Поступление доп. расходов УТ000000195 от 22.11.2016 23:59:59" u="1"/>
        <s v="Поступление доп. расходов УТ000000195 от 27.07.2017 23:59:59" u="1"/>
        <s v="Поступление доп. расходов УТ000000196 от 15.05.2020 23:59:59" u="1"/>
        <s v="Поступление доп. расходов УТ000000196 от 27.07.2017 23:59:59" u="1"/>
        <s v="Поступление доп. расходов УТ000000197 от 15.05.2020 23:59:59" u="1"/>
        <s v="Поступление доп. расходов УТ000000197 от 27.07.2017 23:59:59" u="1"/>
        <s v="Поступление доп. расходов УТ000000198 от 15.05.2020 23:59:59" u="1"/>
        <s v="Поступление доп. расходов УТ000000198 от 27.07.2017 23:59:59" u="1"/>
        <s v="Поступление доп. расходов УТ000000199 от 15.05.2020 23:59:59" u="1"/>
        <s v="Поступление доп. расходов УТ000000199 от 27.07.2017 23:59:59" u="1"/>
        <s v="Поступление доп. расходов УТ000000200 от 01.08.2017 23:59:59" u="1"/>
        <s v="Поступление доп. расходов УТ000000200 от 15.05.2020 23:59:59" u="1"/>
        <s v="Поступление доп. расходов УТ000000201 от 01.08.2017 23:59:59" u="1"/>
        <s v="Поступление доп. расходов УТ000000201 от 15.05.2020 23:59:59" u="1"/>
        <s v="Поступление доп. расходов УТ000000202 от 01.08.2017 23:59:59" u="1"/>
        <s v="Поступление доп. расходов УТ000000202 от 15.05.2020 23:59:59" u="1"/>
        <s v="Поступление доп. расходов УТ000000203 от 01.08.2017 23:59:59" u="1"/>
        <s v="Поступление доп. расходов УТ000000203 от 15.05.2020 23:59:59" u="1"/>
        <s v="Поступление доп. расходов УТ000000203 от 20.07.2018 23:59:59" u="1"/>
        <s v="Поступление доп. расходов УТ000000204 от 01.08.2017 23:59:59" u="1"/>
        <s v="Поступление доп. расходов УТ000000204 от 15.05.2020 23:59:59" u="1"/>
        <s v="Поступление доп. расходов УТ000000204 от 20.07.2018 23:59:59" u="1"/>
        <s v="Поступление доп. расходов УТ000000205 от 01.08.2017 23:59:59" u="1"/>
        <s v="Поступление доп. расходов УТ000000205 от 15.05.2020 23:59:59" u="1"/>
        <s v="Поступление доп. расходов УТ000000206 от 01.08.2017 23:59:59" u="1"/>
        <s v="Поступление доп. расходов УТ000000206 от 15.05.2020 23:59:59" u="1"/>
        <s v="Поступление доп. расходов УТ000000207 от 01.08.2017 23:59:59" u="1"/>
        <s v="Поступление доп. расходов УТ000000207 от 15.05.2020 23:59:59" u="1"/>
        <s v="Поступление доп. расходов УТ000000208 от 01.08.2017 23:59:59" u="1"/>
        <s v="Поступление доп. расходов УТ000000208 от 25.05.2020 23:59:59" u="1"/>
        <s v="Поступление доп. расходов УТ000000209 от 01.08.2017 23:59:59" u="1"/>
        <s v="Поступление доп. расходов УТ000000209 от 25.05.2020 23:59:59" u="1"/>
        <s v="Поступление доп. расходов УТ000000210 от 01.08.2017 23:59:59" u="1"/>
        <s v="Поступление доп. расходов УТ000000210 от 25.05.2020 23:59:59" u="1"/>
        <s v="Поступление доп. расходов УТ000000211 от 01.08.2017 23:59:59" u="1"/>
        <s v="Поступление доп. расходов УТ000000211 от 13.12.2016 23:59:59" u="1"/>
        <s v="Поступление доп. расходов УТ000000211 от 22.05.2020 23:59:59" u="1"/>
        <s v="Поступление доп. расходов УТ000000212 от 01.08.2017 23:59:59" u="1"/>
        <s v="Поступление доп. расходов УТ000000212 от 22.05.2020 23:59:59" u="1"/>
        <s v="Поступление доп. расходов УТ000000213 от 01.08.2017 23:59:59" u="1"/>
        <s v="Поступление доп. расходов УТ000000213 от 22.05.2020 23:59:59" u="1"/>
        <s v="Поступление доп. расходов УТ000000214 от 01.08.2017 23:59:59" u="1"/>
        <s v="Поступление доп. расходов УТ000000214 от 12.12.2016 23:59:59" u="1"/>
        <s v="Поступление доп. расходов УТ000000214 от 22.05.2020 23:59:59" u="1"/>
        <s v="Поступление доп. расходов УТ000000215 от 01.08.2017 23:59:59" u="1"/>
        <s v="Поступление доп. расходов УТ000000215 от 12.12.2016 23:59:59" u="1"/>
        <s v="Поступление доп. расходов УТ000000215 от 22.05.2020 23:59:59" u="1"/>
        <s v="Поступление доп. расходов УТ000000216 от 01.08.2017 23:59:59" u="1"/>
        <s v="Поступление доп. расходов УТ000000216 от 01.08.2018 23:59:59" u="1"/>
        <s v="Поступление доп. расходов УТ000000216 от 22.05.2020 23:59:59" u="1"/>
        <s v="Поступление доп. расходов УТ000000217 от 01.08.2017 23:59:59" u="1"/>
        <s v="Поступление доп. расходов УТ000000217 от 01.08.2018 23:59:59" u="1"/>
        <s v="Поступление доп. расходов УТ000000217 от 12.12.2016 23:59:59" u="1"/>
        <s v="Поступление доп. расходов УТ000000217 от 22.05.2020 23:59:59" u="1"/>
        <s v="Поступление доп. расходов УТ000000218 от 01.08.2018 23:59:59" u="1"/>
        <s v="Поступление доп. расходов УТ000000218 от 12.12.2016 23:59:59" u="1"/>
        <s v="Поступление доп. расходов УТ000000218 от 22.05.2020 23:59:59" u="1"/>
        <s v="Поступление доп. расходов УТ000000219 от 01.08.2018 23:59:59" u="1"/>
        <s v="Поступление доп. расходов УТ000000219 от 22.05.2020 23:59:59" u="1"/>
        <s v="Поступление доп. расходов УТ000000220 от 01.08.2018 23:59:59" u="1"/>
        <s v="Поступление доп. расходов УТ000000220 от 22.05.2020 23:59:59" u="1"/>
        <s v="Поступление доп. расходов УТ000000221 от 01.08.2018 23:59:59" u="1"/>
        <s v="Поступление доп. расходов УТ000000221 от 22.05.2020 23:59:59" u="1"/>
        <s v="Поступление доп. расходов УТ000000222 от 01.08.2018 23:59:59" u="1"/>
        <s v="Поступление доп. расходов УТ000000222 от 22.05.2020 23:59:59" u="1"/>
        <s v="Поступление доп. расходов УТ000000223 от 01.08.2018 23:59:59" u="1"/>
        <s v="Поступление доп. расходов УТ000000223 от 22.05.2020 23:59:59" u="1"/>
        <s v="Поступление доп. расходов УТ000000224 от 01.08.2018 23:59:59" u="1"/>
        <s v="Поступление доп. расходов УТ000000224 от 22.05.2020 23:59:59" u="1"/>
        <s v="Поступление доп. расходов УТ000000225 от 01.08.2018 23:59:59" u="1"/>
        <s v="Поступление доп. расходов УТ000000225 от 22.05.2020 23:59:59" u="1"/>
        <s v="Поступление доп. расходов УТ000000226 от 22.05.2020 23:59:59" u="1"/>
        <s v="Поступление доп. расходов УТ000000227 от 08.05.2019 23:59:59" u="1"/>
        <s v="Поступление доп. расходов УТ000000227 от 22.05.2020 23:59:59" u="1"/>
        <s v="Поступление доп. расходов УТ000000228 от 14.05.2019 23:59:59" u="1"/>
        <s v="Поступление доп. расходов УТ000000228 от 22.05.2020 23:59:59" u="1"/>
        <s v="Поступление доп. расходов УТ000000229 от 08.08.2018 23:59:59" u="1"/>
        <s v="Поступление доп. расходов УТ000000229 от 13.05.2020 23:59:59" u="1"/>
        <s v="Поступление доп. расходов УТ000000229 от 14.05.2019 23:59:59" u="1"/>
        <s v="Поступление доп. расходов УТ000000230 от 08.08.2018 23:59:59" u="1"/>
        <s v="Поступление доп. расходов УТ000000230 от 13.05.2020 23:59:59" u="1"/>
        <s v="Поступление доп. расходов УТ000000230 от 14.05.2019 23:59:59" u="1"/>
        <s v="Поступление доп. расходов УТ000000231 от 08.08.2018 23:59:59" u="1"/>
        <s v="Поступление доп. расходов УТ000000231 от 13.05.2020 23:59:59" u="1"/>
        <s v="Поступление доп. расходов УТ000000231 от 14.05.2019 23:59:59" u="1"/>
        <s v="Поступление доп. расходов УТ000000232 от 14.05.2019 23:59:59" u="1"/>
        <s v="Поступление доп. расходов УТ000000232 от 15.05.2020 23:59:59" u="1"/>
        <s v="Поступление доп. расходов УТ000000233 от 14.05.2019 23:59:59" u="1"/>
        <s v="Поступление доп. расходов УТ000000233 от 15.05.2020 23:59:59" u="1"/>
        <s v="Поступление доп. расходов УТ000000234 от 14.05.2019 23:59:59" u="1"/>
        <s v="Поступление доп. расходов УТ000000234 от 15.05.2020 23:59:59" u="1"/>
        <s v="Поступление доп. расходов УТ000000235 от 13.05.2020 23:59:59" u="1"/>
        <s v="Поступление доп. расходов УТ000000235 от 14.05.2019 23:59:59" u="1"/>
        <s v="Поступление доп. расходов УТ000000236 от 13.05.2020 23:59:59" u="1"/>
        <s v="Поступление доп. расходов УТ000000236 от 14.05.2019 23:59:59" u="1"/>
        <s v="Поступление доп. расходов УТ000000237 от 13.05.2020 23:59:59" u="1"/>
        <s v="Поступление доп. расходов УТ000000237 от 14.05.2019 23:59:59" u="1"/>
        <s v="Поступление доп. расходов УТ000000238 от 13.05.2020 23:59:59" u="1"/>
        <s v="Поступление доп. расходов УТ000000238 от 14.05.2019 23:59:59" u="1"/>
        <s v="Поступление доп. расходов УТ000000238 от 14.08.2018 23:59:59" u="1"/>
        <s v="Поступление доп. расходов УТ000000239 от 13.05.2020 23:59:59" u="1"/>
        <s v="Поступление доп. расходов УТ000000239 от 14.05.2019 23:59:59" u="1"/>
        <s v="Поступление доп. расходов УТ000000239 от 14.08.2018 23:59:59" u="1"/>
        <s v="Поступление доп. расходов УТ000000240 от 13.05.2020 23:59:59" u="1"/>
        <s v="Поступление доп. расходов УТ000000240 от 14.05.2019 23:59:59" u="1"/>
        <s v="Поступление доп. расходов УТ000000240 от 14.08.2018 23:59:59" u="1"/>
        <s v="Поступление доп. расходов УТ000000241 от 13.05.2020 23:59:59" u="1"/>
        <s v="Поступление доп. расходов УТ000000241 от 14.05.2019 23:59:59" u="1"/>
        <s v="Поступление доп. расходов УТ000000241 от 14.08.2018 23:59:59" u="1"/>
        <s v="Поступление доп. расходов УТ000000242 от 13.05.2020 23:59:59" u="1"/>
        <s v="Поступление доп. расходов УТ000000242 от 14.05.2019 23:59:59" u="1"/>
        <s v="Поступление доп. расходов УТ000000242 от 14.08.2018 23:59:59" u="1"/>
        <s v="Поступление доп. расходов УТ000000243 от 04.09.2017 23:59:59" u="1"/>
        <s v="Поступление доп. расходов УТ000000243 от 13.05.2020 23:59:59" u="1"/>
        <s v="Поступление доп. расходов УТ000000243 от 14.05.2019 23:59:59" u="1"/>
        <s v="Поступление доп. расходов УТ000000243 от 14.08.2018 23:59:59" u="1"/>
        <s v="Поступление доп. расходов УТ000000244 от 04.09.2017 23:59:59" u="1"/>
        <s v="Поступление доп. расходов УТ000000244 от 13.05.2020 23:59:59" u="1"/>
        <s v="Поступление доп. расходов УТ000000244 от 14.08.2018 23:59:59" u="1"/>
        <s v="Поступление доп. расходов УТ000000244 от 16.05.2019 23:59:59" u="1"/>
        <s v="Поступление доп. расходов УТ000000245 от 04.09.2017 23:59:59" u="1"/>
        <s v="Поступление доп. расходов УТ000000245 от 13.05.2020 23:59:59" u="1"/>
        <s v="Поступление доп. расходов УТ000000245 от 14.08.2018 23:59:59" u="1"/>
        <s v="Поступление доп. расходов УТ000000245 от 16.05.2019 23:59:59" u="1"/>
        <s v="Поступление доп. расходов УТ000000246 от 04.09.2017 23:59:59" u="1"/>
        <s v="Поступление доп. расходов УТ000000246 от 13.05.2020 23:59:59" u="1"/>
        <s v="Поступление доп. расходов УТ000000246 от 14.08.2018 23:59:59" u="1"/>
        <s v="Поступление доп. расходов УТ000000247 от 04.09.2017 23:59:59" u="1"/>
        <s v="Поступление доп. расходов УТ000000247 от 13.05.2020 23:59:59" u="1"/>
        <s v="Поступление доп. расходов УТ000000247 от 14.08.2018 23:59:59" u="1"/>
        <s v="Поступление доп. расходов УТ000000248 от 04.09.2017 23:59:59" u="1"/>
        <s v="Поступление доп. расходов УТ000000248 от 13.05.2020 23:59:59" u="1"/>
        <s v="Поступление доп. расходов УТ000000248 от 14.08.2018 23:59:59" u="1"/>
        <s v="Поступление доп. расходов УТ000000249 от 04.09.2017 23:59:59" u="1"/>
        <s v="Поступление доп. расходов УТ000000249 от 13.05.2020 23:59:59" u="1"/>
        <s v="Поступление доп. расходов УТ000000249 от 14.08.2018 23:59:59" u="1"/>
        <s v="Поступление доп. расходов УТ000000250 от 04.09.2017 23:59:59" u="1"/>
        <s v="Поступление доп. расходов УТ000000250 от 13.05.2020 23:59:59" u="1"/>
        <s v="Поступление доп. расходов УТ000000250 от 20.08.2018 23:59:59" u="1"/>
        <s v="Поступление доп. расходов УТ000000251 от 11.09.2017 23:59:59" u="1"/>
        <s v="Поступление доп. расходов УТ000000251 от 13.05.2020 23:59:59" u="1"/>
        <s v="Поступление доп. расходов УТ000000251 от 20.08.2018 23:59:59" u="1"/>
        <s v="Поступление доп. расходов УТ000000252 от 11.09.2017 23:59:59" u="1"/>
        <s v="Поступление доп. расходов УТ000000252 от 13.05.2020 23:59:59" u="1"/>
        <s v="Поступление доп. расходов УТ000000252 от 20.08.2018 23:59:59" u="1"/>
        <s v="Поступление доп. расходов УТ000000253 от 11.09.2017 23:59:59" u="1"/>
        <s v="Поступление доп. расходов УТ000000253 от 17.05.2019 23:59:59" u="1"/>
        <s v="Поступление доп. расходов УТ000000253 от 18.05.2020 23:59:59" u="1"/>
        <s v="Поступление доп. расходов УТ000000253 от 20.08.2018 23:59:59" u="1"/>
        <s v="Поступление доп. расходов УТ000000254 от 11.09.2017 23:59:59" u="1"/>
        <s v="Поступление доп. расходов УТ000000254 от 16.05.2019 23:59:59" u="1"/>
        <s v="Поступление доп. расходов УТ000000254 от 18.05.2020 23:59:59" u="1"/>
        <s v="Поступление доп. расходов УТ000000255 от 11.09.2017 23:59:59" u="1"/>
        <s v="Поступление доп. расходов УТ000000255 от 16.05.2019 23:59:59" u="1"/>
        <s v="Поступление доп. расходов УТ000000256 от 11.09.2017 23:59:59" u="1"/>
        <s v="Поступление доп. расходов УТ000000256 от 13.09.2018 23:59:59" u="1"/>
        <s v="Поступление доп. расходов УТ000000256 от 16.05.2019 23:59:59" u="1"/>
        <s v="Поступление доп. расходов УТ000000256 от 18.05.2020 23:59:59" u="1"/>
        <s v="Поступление доп. расходов УТ000000257 от 13.09.2018 23:59:59" u="1"/>
        <s v="Поступление доп. расходов УТ000000257 от 16.05.2019 23:59:59" u="1"/>
        <s v="Поступление доп. расходов УТ000000257 от 21.05.2020 23:59:59" u="1"/>
        <s v="Поступление доп. расходов УТ000000257 от 22.09.2017 23:59:59" u="1"/>
        <s v="Поступление доп. расходов УТ000000258 от 13.09.2018 23:59:59" u="1"/>
        <s v="Поступление доп. расходов УТ000000258 от 16.05.2019 23:59:59" u="1"/>
        <s v="Поступление доп. расходов УТ000000258 от 21.05.2020 23:59:59" u="1"/>
        <s v="Поступление доп. расходов УТ000000258 от 22.09.2017 23:59:59" u="1"/>
        <s v="Поступление доп. расходов УТ000000259 от 13.09.2018 23:59:59" u="1"/>
        <s v="Поступление доп. расходов УТ000000259 от 16.05.2019 23:59:59" u="1"/>
        <s v="Поступление доп. расходов УТ000000259 от 21.05.2020 23:59:59" u="1"/>
        <s v="Поступление доп. расходов УТ000000259 от 22.09.2017 23:59:59" u="1"/>
        <s v="Поступление доп. расходов УТ000000260 от 13.09.2018 23:59:59" u="1"/>
        <s v="Поступление доп. расходов УТ000000260 от 16.05.2019 23:59:59" u="1"/>
        <s v="Поступление доп. расходов УТ000000260 от 21.05.2020 23:59:59" u="1"/>
        <s v="Поступление доп. расходов УТ000000260 от 22.09.2017 23:59:59" u="1"/>
        <s v="Поступление доп. расходов УТ000000261 от 16.05.2019 23:59:59" u="1"/>
        <s v="Поступление доп. расходов УТ000000261 от 26.09.2017 23:59:59" u="1"/>
        <s v="Поступление доп. расходов УТ000000262 от 14.09.2018 23:59:59" u="1"/>
        <s v="Поступление доп. расходов УТ000000262 от 16.05.2019 23:59:59" u="1"/>
        <s v="Поступление доп. расходов УТ000000262 от 26.09.2017 23:59:59" u="1"/>
        <s v="Поступление доп. расходов УТ000000263 от 14.05.2019 23:59:59" u="1"/>
        <s v="Поступление доп. расходов УТ000000263 от 14.09.2018 23:59:59" u="1"/>
        <s v="Поступление доп. расходов УТ000000264 от 14.05.2019 23:59:59" u="1"/>
        <s v="Поступление доп. расходов УТ000000264 от 14.09.2018 23:59:59" u="1"/>
        <s v="Поступление доп. расходов УТ000000265 от 03.10.2017 23:59:59" u="1"/>
        <s v="Поступление доп. расходов УТ000000265 от 14.05.2019 23:59:59" u="1"/>
        <s v="Поступление доп. расходов УТ000000265 от 14.09.2018 23:59:59" u="1"/>
        <s v="Поступление доп. расходов УТ000000266 от 03.10.2017 23:59:59" u="1"/>
        <s v="Поступление доп. расходов УТ000000266 от 14.05.2019 23:59:59" u="1"/>
        <s v="Поступление доп. расходов УТ000000266 от 14.09.2018 23:59:59" u="1"/>
        <s v="Поступление доп. расходов УТ000000267 от 09.10.2017 23:59:59" u="1"/>
        <s v="Поступление доп. расходов УТ000000267 от 14.05.2019 23:59:59" u="1"/>
        <s v="Поступление доп. расходов УТ000000267 от 14.09.2018 23:59:59" u="1"/>
        <s v="Поступление доп. расходов УТ000000268 от 09.10.2017 23:59:59" u="1"/>
        <s v="Поступление доп. расходов УТ000000268 от 14.05.2019 23:59:59" u="1"/>
        <s v="Поступление доп. расходов УТ000000268 от 14.09.2018 23:59:59" u="1"/>
        <s v="Поступление доп. расходов УТ000000269 от 10.06.2020 23:59:59" u="1"/>
        <s v="Поступление доп. расходов УТ000000269 от 13.10.2017 23:59:59" u="1"/>
        <s v="Поступление доп. расходов УТ000000269 от 14.05.2019 23:59:59" u="1"/>
        <s v="Поступление доп. расходов УТ000000269 от 14.09.2018 23:59:59" u="1"/>
        <s v="Поступление доп. расходов УТ000000270 от 03.06.2020 23:59:59" u="1"/>
        <s v="Поступление доп. расходов УТ000000270 от 13.10.2017 23:59:59" u="1"/>
        <s v="Поступление доп. расходов УТ000000270 от 14.05.2019 23:59:59" u="1"/>
        <s v="Поступление доп. расходов УТ000000270 от 14.09.2018 23:59:59" u="1"/>
        <s v="Поступление доп. расходов УТ000000271 от 03.06.2020 23:59:59" u="1"/>
        <s v="Поступление доп. расходов УТ000000271 от 13.10.2017 23:59:59" u="1"/>
        <s v="Поступление доп. расходов УТ000000271 от 14.09.2018 23:59:59" u="1"/>
        <s v="Поступление доп. расходов УТ000000272 от 13.10.2017 23:59:59" u="1"/>
        <s v="Поступление доп. расходов УТ000000272 от 14.09.2018 23:59:59" u="1"/>
        <s v="Поступление доп. расходов УТ000000272 от 21.05.2019 23:59:59" u="1"/>
        <s v="Поступление доп. расходов УТ000000273 от 13.10.2017 23:59:59" u="1"/>
        <s v="Поступление доп. расходов УТ000000273 от 14.09.2018 23:59:59" u="1"/>
        <s v="Поступление доп. расходов УТ000000274 от 03.06.2020 23:59:59" u="1"/>
        <s v="Поступление доп. расходов УТ000000274 от 13.10.2017 23:59:59" u="1"/>
        <s v="Поступление доп. расходов УТ000000274 от 14.09.2018 23:59:59" u="1"/>
        <s v="Поступление доп. расходов УТ000000274 от 23.05.2019 23:59:59" u="1"/>
        <s v="Поступление доп. расходов УТ000000275 от 03.06.2020 23:59:59" u="1"/>
        <s v="Поступление доп. расходов УТ000000275 от 14.09.2018 23:59:59" u="1"/>
        <s v="Поступление доп. расходов УТ000000276 от 03.06.2020 23:59:59" u="1"/>
        <s v="Поступление доп. расходов УТ000000276 от 14.09.2018 23:59:59" u="1"/>
        <s v="Поступление доп. расходов УТ000000276 от 24.10.2017 23:59:59" u="1"/>
        <s v="Поступление доп. расходов УТ000000277 от 03.06.2020 23:59:59" u="1"/>
        <s v="Поступление доп. расходов УТ000000277 от 14.09.2018 23:59:59" u="1"/>
        <s v="Поступление доп. расходов УТ000000277 от 23.10.2017 23:59:59" u="1"/>
        <s v="Поступление доп. расходов УТ000000278 от 03.06.2020 23:59:59" u="1"/>
        <s v="Поступление доп. расходов УТ000000278 от 14.09.2018 23:59:59" u="1"/>
        <s v="Поступление доп. расходов УТ000000278 от 23.10.2017 23:59:59" u="1"/>
        <s v="Поступление доп. расходов УТ000000278 от 27.05.2019 23:59:59" u="1"/>
        <s v="Поступление доп. расходов УТ000000279 от 03.06.2020 23:59:59" u="1"/>
        <s v="Поступление доп. расходов УТ000000279 от 14.09.2018 23:59:59" u="1"/>
        <s v="Поступление доп. расходов УТ000000279 от 27.10.2017 23:59:59" u="1"/>
        <s v="Поступление доп. расходов УТ000000280 от 27.10.2017 23:59:59" u="1"/>
        <s v="Поступление доп. расходов УТ000000281 от 03.06.2020 23:59:59" u="1"/>
        <s v="Поступление доп. расходов УТ000000281 от 10.11.2017 23:59:59" u="1"/>
        <s v="Поступление доп. расходов УТ000000282 от 09.06.2020 23:59:59" u="1"/>
        <s v="Поступление доп. расходов УТ000000282 от 10.11.2017 23:59:59" u="1"/>
        <s v="Поступление доп. расходов УТ000000283 от 05.06.2019 23:59:59" u="1"/>
        <s v="Поступление доп. расходов УТ000000283 от 09.06.2020 23:59:59" u="1"/>
        <s v="Поступление доп. расходов УТ000000283 от 10.11.2017 23:59:59" u="1"/>
        <s v="Поступление доп. расходов УТ000000284 от 05.06.2019 23:59:59" u="1"/>
        <s v="Поступление доп. расходов УТ000000284 от 10.11.2017 23:59:59" u="1"/>
        <s v="Поступление доп. расходов УТ000000284 от 11.06.2020 23:59:59" u="1"/>
        <s v="Поступление доп. расходов УТ000000285 от 10.11.2017 23:59:59" u="1"/>
        <s v="Поступление доп. расходов УТ000000285 от 11.06.2020 23:59:59" u="1"/>
        <s v="Поступление доп. расходов УТ000000286 от 10.11.2017 23:59:59" u="1"/>
        <s v="Поступление доп. расходов УТ000000286 от 19.06.2020 23:59:59" u="1"/>
        <s v="Поступление доп. расходов УТ000000287 от 11.10.2018 23:59:59" u="1"/>
        <s v="Поступление доп. расходов УТ000000287 от 19.06.2020 23:59:59" u="1"/>
        <s v="Поступление доп. расходов УТ000000288 от 11.10.2018 23:59:59" u="1"/>
        <s v="Поступление доп. расходов УТ000000288 от 15.11.2017 23:59:59" u="1"/>
        <s v="Поступление доп. расходов УТ000000288 от 21.06.2019 23:59:59" u="1"/>
        <s v="Поступление доп. расходов УТ000000288 от 23.06.2020 23:59:59" u="1"/>
        <s v="Поступление доп. расходов УТ000000289 от 11.10.2018 23:59:59" u="1"/>
        <s v="Поступление доп. расходов УТ000000289 от 21.06.2019 23:59:59" u="1"/>
        <s v="Поступление доп. расходов УТ000000289 от 23.06.2020 23:59:59" u="1"/>
        <s v="Поступление доп. расходов УТ000000290 от 05.06.2019 23:59:59" u="1"/>
        <s v="Поступление доп. расходов УТ000000290 от 11.10.2018 23:59:59" u="1"/>
        <s v="Поступление доп. расходов УТ000000290 от 16.11.2017 23:59:59" u="1"/>
        <s v="Поступление доп. расходов УТ000000290 от 23.06.2020 23:59:59" u="1"/>
        <s v="Поступление доп. расходов УТ000000291 от 05.06.2019 23:59:59" u="1"/>
        <s v="Поступление доп. расходов УТ000000291 от 11.10.2018 23:59:59" u="1"/>
        <s v="Поступление доп. расходов УТ000000291 от 16.11.2017 23:59:59" u="1"/>
        <s v="Поступление доп. расходов УТ000000291 от 23.06.2020 23:59:59" u="1"/>
        <s v="Поступление доп. расходов УТ000000292 от 05.06.2019 23:59:59" u="1"/>
        <s v="Поступление доп. расходов УТ000000292 от 11.10.2018 23:59:59" u="1"/>
        <s v="Поступление доп. расходов УТ000000293 от 05.06.2019 23:59:59" u="1"/>
        <s v="Поступление доп. расходов УТ000000293 от 11.10.2018 23:59:59" u="1"/>
        <s v="Поступление доп. расходов УТ000000294 от 02.07.2020 23:59:59" u="1"/>
        <s v="Поступление доп. расходов УТ000000294 от 11.10.2018 23:59:59" u="1"/>
        <s v="Поступление доп. расходов УТ000000294 от 21.06.2019 23:59:59" u="1"/>
        <s v="Поступление доп. расходов УТ000000295 от 02.07.2020 23:59:59" u="1"/>
        <s v="Поступление доп. расходов УТ000000295 от 12.10.2018 23:59:59" u="1"/>
        <s v="Поступление доп. расходов УТ000000295 от 21.06.2019 23:59:59" u="1"/>
        <s v="Поступление доп. расходов УТ000000296 от 02.07.2020 23:59:59" u="1"/>
        <s v="Поступление доп. расходов УТ000000296 от 12.10.2018 23:59:59" u="1"/>
        <s v="Поступление доп. расходов УТ000000296 от 21.06.2019 23:59:59" u="1"/>
        <s v="Поступление доп. расходов УТ000000297 от 02.07.2020 23:59:59" u="1"/>
        <s v="Поступление доп. расходов УТ000000297 от 12.10.2018 23:59:59" u="1"/>
        <s v="Поступление доп. расходов УТ000000297 от 21.06.2019 23:59:59" u="1"/>
        <s v="Поступление доп. расходов УТ000000298 от 12.10.2018 23:59:59" u="1"/>
        <s v="Поступление доп. расходов УТ000000298 от 21.06.2019 23:59:59" u="1"/>
        <s v="Поступление доп. расходов УТ000000299 от 19.10.2018 23:59:59" u="1"/>
        <s v="Поступление доп. расходов УТ000000299 от 21.06.2019 23:59:59" u="1"/>
        <s v="Поступление доп. расходов УТ000000300 от 01.07.2020 23:59:59" u="1"/>
        <s v="Поступление доп. расходов УТ000000300 от 19.10.2018 23:59:59" u="1"/>
        <s v="Поступление доп. расходов УТ000000300 от 21.06.2019 23:59:59" u="1"/>
        <s v="Поступление доп. расходов УТ000000301 от 01.07.2020 23:59:59" u="1"/>
        <s v="Поступление доп. расходов УТ000000301 от 19.10.2018 23:59:59" u="1"/>
        <s v="Поступление доп. расходов УТ000000301 от 21.06.2019 23:59:59" u="1"/>
        <s v="Поступление доп. расходов УТ000000302 от 01.07.2020 23:59:59" u="1"/>
        <s v="Поступление доп. расходов УТ000000302 от 19.10.2018 23:59:59" u="1"/>
        <s v="Поступление доп. расходов УТ000000302 от 21.06.2019 23:59:59" u="1"/>
        <s v="Поступление доп. расходов УТ000000303 от 01.07.2020 23:59:59" u="1"/>
        <s v="Поступление доп. расходов УТ000000303 от 19.10.2018 23:59:59" u="1"/>
        <s v="Поступление доп. расходов УТ000000303 от 21.06.2019 23:59:59" u="1"/>
        <s v="Поступление доп. расходов УТ000000304 от 02.07.2020 23:59:59" u="1"/>
        <s v="Поступление доп. расходов УТ000000304 от 18.06.2019 23:59:59" u="1"/>
        <s v="Поступление доп. расходов УТ000000304 от 19.10.2018 23:59:59" u="1"/>
        <s v="Поступление доп. расходов УТ000000305 от 02.07.2020 23:59:59" u="1"/>
        <s v="Поступление доп. расходов УТ000000305 от 18.06.2019 23:59:59" u="1"/>
        <s v="Поступление доп. расходов УТ000000305 от 19.10.2018 23:59:59" u="1"/>
        <s v="Поступление доп. расходов УТ000000306 от 01.07.2020 23:59:59" u="1"/>
        <s v="Поступление доп. расходов УТ000000306 от 18.06.2019 23:59:59" u="1"/>
        <s v="Поступление доп. расходов УТ000000306 от 19.10.2018 23:59:59" u="1"/>
        <s v="Поступление доп. расходов УТ000000307 от 01.07.2020 23:59:59" u="1"/>
        <s v="Поступление доп. расходов УТ000000307 от 18.06.2019 23:59:59" u="1"/>
        <s v="Поступление доп. расходов УТ000000308 от 18.06.2019 23:59:59" u="1"/>
        <s v="Поступление доп. расходов УТ000000309 от 18.06.2019 23:59:59" u="1"/>
        <s v="Поступление доп. расходов УТ000000309 от 22.12.2017 23:59:59" u="1"/>
        <s v="Поступление доп. расходов УТ000000310 от 18.06.2019 23:59:59" u="1"/>
        <s v="Поступление доп. расходов УТ000000311 от 18.06.2019 23:59:59" u="1"/>
        <s v="Поступление доп. расходов УТ000000311 от 22.12.2017 23:59:59" u="1"/>
        <s v="Поступление доп. расходов УТ000000312 от 18.06.2019 23:59:59" u="1"/>
        <s v="Поступление доп. расходов УТ000000313 от 18.06.2019 23:59:59" u="1"/>
        <s v="Поступление доп. расходов УТ000000313 от 22.12.2017 23:59:59" u="1"/>
        <s v="Поступление доп. расходов УТ000000314 от 05.06.2019 23:59:59" u="1"/>
        <s v="Поступление доп. расходов УТ000000314 от 15.07.2020 23:59:59" u="1"/>
        <s v="Поступление доп. расходов УТ000000315 от 05.06.2019 23:59:59" u="1"/>
        <s v="Поступление доп. расходов УТ000000315 от 15.07.2020 23:59:59" u="1"/>
        <s v="Поступление доп. расходов УТ000000315 от 22.12.2017 23:59:59" u="1"/>
        <s v="Поступление доп. расходов УТ000000316 от 15.07.2020 23:59:59" u="1"/>
        <s v="Поступление доп. расходов УТ000000316 от 18.06.2019 23:59:59" u="1"/>
        <s v="Поступление доп. расходов УТ000000316 от 26.12.2017 23:59:59" u="1"/>
        <s v="Поступление доп. расходов УТ000000317 от 15.07.2020 23:59:59" u="1"/>
        <s v="Поступление доп. расходов УТ000000317 от 18.06.2019 23:59:59" u="1"/>
        <s v="Поступление доп. расходов УТ000000317 от 26.12.2017 23:59:59" u="1"/>
        <s v="Поступление доп. расходов УТ000000318 от 12.11.2018 23:59:59" u="1"/>
        <s v="Поступление доп. расходов УТ000000318 от 15.07.2020 23:59:59" u="1"/>
        <s v="Поступление доп. расходов УТ000000318 от 26.12.2017 23:59:59" u="1"/>
        <s v="Поступление доп. расходов УТ000000319 от 12.11.2018 23:59:59" u="1"/>
        <s v="Поступление доп. расходов УТ000000319 от 15.07.2020 23:59:59" u="1"/>
        <s v="Поступление доп. расходов УТ000000319 от 19.06.2019 23:59:59" u="1"/>
        <s v="Поступление доп. расходов УТ000000319 от 26.12.2017 23:59:59" u="1"/>
        <s v="Поступление доп. расходов УТ000000320 от 15.07.2020 23:59:59" u="1"/>
        <s v="Поступление доп. расходов УТ000000320 от 15.11.2018 23:59:59" u="1"/>
        <s v="Поступление доп. расходов УТ000000321 от 15.07.2020 23:59:59" u="1"/>
        <s v="Поступление доп. расходов УТ000000321 от 15.11.2018 23:59:59" u="1"/>
        <s v="Поступление доп. расходов УТ000000322 от 15.11.2018 23:59:59" u="1"/>
        <s v="Поступление доп. расходов УТ000000322 от 21.07.2020 23:59:59" u="1"/>
        <s v="Поступление доп. расходов УТ000000323 от 15.11.2018 23:59:59" u="1"/>
        <s v="Поступление доп. расходов УТ000000323 от 21.07.2020 23:59:59" u="1"/>
        <s v="Поступление доп. расходов УТ000000324 от 15.11.2018 23:59:59" u="1"/>
        <s v="Поступление доп. расходов УТ000000325 от 15.11.2018 23:59:59" u="1"/>
        <s v="Поступление доп. расходов УТ000000330 от 08.07.2020 23:59:59" u="1"/>
        <s v="Поступление доп. расходов УТ000000330 от 15.11.2018 23:59:59" u="1"/>
        <s v="Поступление доп. расходов УТ000000331 от 08.07.2020 23:59:59" u="1"/>
        <s v="Поступление доп. расходов УТ000000332 от 15.11.2018 23:59:59" u="1"/>
        <s v="Поступление доп. расходов УТ000000332 от 20.07.2020 23:59:59" u="1"/>
        <s v="Поступление доп. расходов УТ000000333 от 20.07.2020 23:59:59" u="1"/>
        <s v="Поступление доп. расходов УТ000000334 от 16.11.2018 23:59:59" u="1"/>
        <s v="Поступление доп. расходов УТ000000336 от 05.08.2020 23:59:59" u="1"/>
        <s v="Поступление доп. расходов УТ000000336 от 19.11.2018 23:59:59" u="1"/>
        <s v="Поступление доп. расходов УТ000000337 от 05.08.2020 23:59:59" u="1"/>
        <s v="Поступление доп. расходов УТ000000338 от 05.08.2020 23:59:59" u="1"/>
        <s v="Поступление доп. расходов УТ000000338 от 19.11.2018 23:59:59" u="1"/>
        <s v="Поступление доп. расходов УТ000000339 от 06.08.2020 23:59:59" u="1"/>
        <s v="Поступление доп. расходов УТ000000340 от 06.08.2020 23:59:59" u="1"/>
        <s v="Поступление доп. расходов УТ000000340 от 20.11.2018 23:59:59" u="1"/>
        <s v="Поступление доп. расходов УТ000000341 от 10.08.2020 23:59:59" u="1"/>
        <s v="Поступление доп. расходов УТ000000342 от 10.08.2020 23:59:59" u="1"/>
        <s v="Поступление доп. расходов УТ000000342 от 20.11.2018 23:59:59" u="1"/>
        <s v="Поступление доп. расходов УТ000000343 от 10.08.2020 23:59:59" u="1"/>
        <s v="Поступление доп. расходов УТ000000344 от 01.07.2019 23:59:59" u="1"/>
        <s v="Поступление доп. расходов УТ000000344 от 10.08.2020 23:59:59" u="1"/>
        <s v="Поступление доп. расходов УТ000000344 от 21.11.2018 23:59:59" u="1"/>
        <s v="Поступление доп. расходов УТ000000346 от 23.11.2018 23:59:59" u="1"/>
        <s v="Поступление доп. расходов УТ000000349 от 01.07.2019 23:59:59" u="1"/>
        <s v="Поступление доп. расходов УТ000000351 от 27.11.2018 23:59:59" u="1"/>
        <s v="Поступление доп. расходов УТ000000354 от 01.08.2020 23:59:59" u="1"/>
        <s v="Поступление доп. расходов УТ000000354 от 04.07.2019 23:59:59" u="1"/>
        <s v="Поступление доп. расходов УТ000000355 от 01.08.2020 23:59:59" u="1"/>
        <s v="Поступление доп. расходов УТ000000356 от 01.08.2020 23:59:59" u="1"/>
        <s v="Поступление доп. расходов УТ000000357 от 01.08.2020 23:59:59" u="1"/>
        <s v="Поступление доп. расходов УТ000000358 от 06.12.2018 23:59:59" u="1"/>
        <s v="Поступление доп. расходов УТ000000360 от 05.08.2020 23:59:59" u="1"/>
        <s v="Поступление доп. расходов УТ000000360 от 16.07.2019 23:59:59" u="1"/>
        <s v="Поступление доп. расходов УТ000000361 от 05.08.2020 23:59:59" u="1"/>
        <s v="Поступление доп. расходов УТ000000364 от 23.07.2019 23:59:59" u="1"/>
        <s v="Поступление доп. расходов УТ000000367 от 10.12.2018 23:59:59" u="1"/>
        <s v="Поступление доп. расходов УТ000000367 от 23.07.2019 23:59:59" u="1"/>
        <s v="Поступление доп. расходов УТ000000368 от 10.12.2018 23:59:59" u="1"/>
        <s v="Поступление доп. расходов УТ000000368 от 18.08.2020 23:59:59" u="1"/>
        <s v="Поступление доп. расходов УТ000000368 от 23.07.2019 23:59:59" u="1"/>
        <s v="Поступление доп. расходов УТ000000369 от 18.08.2020 23:59:59" u="1"/>
        <s v="Поступление доп. расходов УТ000000369 от 23.07.2019 23:59:59" u="1"/>
        <s v="Поступление доп. расходов УТ000000370 от 18.08.2020 23:59:59" u="1"/>
        <s v="Поступление доп. расходов УТ000000370 от 23.07.2019 23:59:59" u="1"/>
        <s v="Поступление доп. расходов УТ000000371 от 18.08.2020 23:59:59" u="1"/>
        <s v="Поступление доп. расходов УТ000000371 от 23.07.2019 23:59:59" u="1"/>
        <s v="Поступление доп. расходов УТ000000372 от 18.08.2020 23:59:59" u="1"/>
        <s v="Поступление доп. расходов УТ000000372 от 23.07.2019 23:59:59" u="1"/>
        <s v="Поступление доп. расходов УТ000000373 от 18.08.2020 23:59:59" u="1"/>
        <s v="Поступление доп. расходов УТ000000373 от 23.07.2019 23:59:59" u="1"/>
        <s v="Поступление доп. расходов УТ000000374 от 18.08.2020 23:59:59" u="1"/>
        <s v="Поступление доп. расходов УТ000000374 от 23.07.2019 23:59:59" u="1"/>
        <s v="Поступление доп. расходов УТ000000375 от 18.08.2020 23:59:59" u="1"/>
        <s v="Поступление доп. расходов УТ000000375 от 23.07.2019 23:59:59" u="1"/>
        <s v="Поступление доп. расходов УТ000000376 от 06.12.2018 23:59:59" u="1"/>
        <s v="Поступление доп. расходов УТ000000376 от 18.08.2020 23:59:59" u="1"/>
        <s v="Поступление доп. расходов УТ000000377 от 18.08.2020 23:59:59" u="1"/>
        <s v="Поступление доп. расходов УТ000000378 от 18.08.2020 23:59:59" u="1"/>
        <s v="Поступление доп. расходов УТ000000379 от 06.12.2018 23:59:59" u="1"/>
        <s v="Поступление доп. расходов УТ000000379 от 15.07.2019 23:59:59" u="1"/>
        <s v="Поступление доп. расходов УТ000000379 от 18.08.2020 23:59:59" u="1"/>
        <s v="Поступление доп. расходов УТ000000380 от 21.08.2020 23:59:59" u="1"/>
        <s v="Поступление доп. расходов УТ000000381 от 21.08.2020 23:59:59" u="1"/>
        <s v="Поступление доп. расходов УТ000000382 от 06.12.2018 23:59:59" u="1"/>
        <s v="Поступление доп. расходов УТ000000383 от 15.07.2019 23:59:59" u="1"/>
        <s v="Поступление доп. расходов УТ000000384 от 05.12.2018 23:59:59" u="1"/>
        <s v="Поступление доп. расходов УТ000000386 от 05.12.2018 23:59:59" u="1"/>
        <s v="Поступление доп. расходов УТ000000387 от 01.08.2020 23:59:59" u="1"/>
        <s v="Поступление доп. расходов УТ000000387 от 15.07.2019 23:59:59" u="1"/>
        <s v="Поступление доп. расходов УТ000000388 от 01.08.2020 23:59:59" u="1"/>
        <s v="Поступление доп. расходов УТ000000388 от 05.12.2018 23:59:59" u="1"/>
        <s v="Поступление доп. расходов УТ000000389 от 10.08.2020 23:59:59" u="1"/>
        <s v="Поступление доп. расходов УТ000000390 от 10.08.2020 23:59:59" u="1"/>
        <s v="Поступление доп. расходов УТ000000391 от 04.12.2018 23:59:59" u="1"/>
        <s v="Поступление доп. расходов УТ000000391 от 10.08.2020 23:59:59" u="1"/>
        <s v="Поступление доп. расходов УТ000000392 от 04.12.2018 23:59:59" u="1"/>
        <s v="Поступление доп. расходов УТ000000392 от 10.08.2020 23:59:59" u="1"/>
        <s v="Поступление доп. расходов УТ000000393 от 10.08.2020 23:59:59" u="1"/>
        <s v="Поступление доп. расходов УТ000000394 от 10.08.2020 23:59:59" u="1"/>
        <s v="Поступление доп. расходов УТ000000395 от 11.08.2020 23:59:59" u="1"/>
        <s v="Поступление доп. расходов УТ000000396 от 11.08.2020 23:59:59" u="1"/>
        <s v="Поступление доп. расходов УТ000000397 от 01.08.2019 23:59:59" u="1"/>
        <s v="Поступление доп. расходов УТ000000397 от 11.08.2020 23:59:59" u="1"/>
        <s v="Поступление доп. расходов УТ000000398 от 11.08.2020 23:59:59" u="1"/>
        <s v="Поступление доп. расходов УТ000000399 от 07.08.2020 23:59:59" u="1"/>
        <s v="Поступление доп. расходов УТ000000400 от 07.08.2020 23:59:59" u="1"/>
        <s v="Поступление доп. расходов УТ000000401 от 11.08.2020 23:59:59" u="1"/>
        <s v="Поступление доп. расходов УТ000000401 от 20.12.2018 23:59:59" u="1"/>
        <s v="Поступление доп. расходов УТ000000402 от 11.08.2020 23:59:59" u="1"/>
        <s v="Поступление доп. расходов УТ000000403 от 11.08.2020 23:59:59" u="1"/>
        <s v="Поступление доп. расходов УТ000000404 от 11.08.2020 23:59:59" u="1"/>
        <s v="Поступление доп. расходов УТ000000405 от 07.08.2020 23:59:59" u="1"/>
        <s v="Поступление доп. расходов УТ000000406 от 07.08.2020 23:59:59" u="1"/>
        <s v="Поступление доп. расходов УТ000000407 от 12.08.2020 23:59:59" u="1"/>
        <s v="Поступление доп. расходов УТ000000407 от 25.12.2018 23:59:59" u="1"/>
        <s v="Поступление доп. расходов УТ000000408 от 12.08.2020 23:59:59" u="1"/>
        <s v="Поступление доп. расходов УТ000000409 от 12.08.2020 23:59:59" u="1"/>
        <s v="Поступление доп. расходов УТ000000409 от 25.12.2018 23:59:59" u="1"/>
        <s v="Поступление доп. расходов УТ000000410 от 12.08.2020 23:59:59" u="1"/>
        <s v="Поступление доп. расходов УТ000000411 от 12.08.2020 23:59:59" u="1"/>
        <s v="Поступление доп. расходов УТ000000411 от 25.12.2018 23:59:59" u="1"/>
        <s v="Поступление доп. расходов УТ000000412 от 01.08.2019 23:59:59" u="1"/>
        <s v="Поступление доп. расходов УТ000000412 от 12.08.2020 23:59:59" u="1"/>
        <s v="Поступление доп. расходов УТ000000413 от 25.12.2018 23:59:59" u="1"/>
        <s v="Поступление доп. расходов УТ000000415 от 20.08.2020 23:59:59" u="1"/>
        <s v="Поступление доп. расходов УТ000000416 от 20.08.2020 23:59:59" u="1"/>
        <s v="Поступление доп. расходов УТ000000417 от 09.08.2019 23:59:59" u="1"/>
        <s v="Поступление доп. расходов УТ000000417 от 21.08.2020 23:59:59" u="1"/>
        <s v="Поступление доп. расходов УТ000000417 от 27.12.2018 23:59:59" u="1"/>
        <s v="Поступление доп. расходов УТ000000418 от 09.08.2019 23:59:59" u="1"/>
        <s v="Поступление доп. расходов УТ000000418 от 21.08.2020 23:59:59" u="1"/>
        <s v="Поступление доп. расходов УТ000000419 от 24.08.2020 23:59:59" u="1"/>
        <s v="Поступление доп. расходов УТ000000420 от 24.08.2020 23:59:59" u="1"/>
        <s v="Поступление доп. расходов УТ000000421 от 13.08.2020 23:59:59" u="1"/>
        <s v="Поступление доп. расходов УТ000000422 от 13.08.2020 23:59:59" u="1"/>
        <s v="Поступление доп. расходов УТ000000423 от 01.09.2020 23:59:59" u="1"/>
        <s v="Поступление доп. расходов УТ000000424 от 01.09.2020 23:59:59" u="1"/>
        <s v="Поступление доп. расходов УТ000000425 от 07.08.2019 23:59:59" u="1"/>
        <s v="Поступление доп. расходов УТ000000426 от 07.08.2019 23:59:59" u="1"/>
        <s v="Поступление доп. расходов УТ000000427 от 21.08.2019 23:59:59" u="1"/>
        <s v="Поступление доп. расходов УТ000000428 от 21.08.2019 23:59:59" u="1"/>
        <s v="Поступление доп. расходов УТ000000429 от 21.08.2019 23:59:59" u="1"/>
        <s v="Поступление доп. расходов УТ000000430 от 21.08.2019 23:59:59" u="1"/>
        <s v="Поступление доп. расходов УТ000000431 от 06.08.2019 23:59:59" u="1"/>
        <s v="Поступление доп. расходов УТ000000432 от 06.08.2019 23:59:59" u="1"/>
        <s v="Поступление доп. расходов УТ000000433 от 01.09.2020 23:59:59" u="1"/>
        <s v="Поступление доп. расходов УТ000000433 от 06.08.2019 23:59:59" u="1"/>
        <s v="Поступление доп. расходов УТ000000434 от 01.09.2020 23:59:59" u="1"/>
        <s v="Поступление доп. расходов УТ000000434 от 15.08.2019 23:59:59" u="1"/>
        <s v="Поступление доп. расходов УТ000000435 от 01.09.2020 23:59:59" u="1"/>
        <s v="Поступление доп. расходов УТ000000435 от 15.08.2019 23:59:59" u="1"/>
        <s v="Поступление доп. расходов УТ000000436 от 01.09.2020 23:59:59" u="1"/>
        <s v="Поступление доп. расходов УТ000000436 от 15.08.2019 23:59:59" u="1"/>
        <s v="Поступление доп. расходов УТ000000437 от 01.09.2020 23:59:59" u="1"/>
        <s v="Поступление доп. расходов УТ000000437 от 15.08.2019 23:59:59" u="1"/>
        <s v="Поступление доп. расходов УТ000000438 от 01.09.2020 23:59:59" u="1"/>
        <s v="Поступление доп. расходов УТ000000438 от 15.08.2019 23:59:59" u="1"/>
        <s v="Поступление доп. расходов УТ000000439 от 01.09.2020 23:59:59" u="1"/>
        <s v="Поступление доп. расходов УТ000000439 от 15.08.2019 23:59:59" u="1"/>
        <s v="Поступление доп. расходов УТ000000440 от 01.09.2020 23:59:59" u="1"/>
        <s v="Поступление доп. расходов УТ000000440 от 15.08.2019 23:59:59" u="1"/>
        <s v="Поступление доп. расходов УТ000000441 от 01.09.2020 23:59:59" u="1"/>
        <s v="Поступление доп. расходов УТ000000441 от 15.08.2019 23:59:59" u="1"/>
        <s v="Поступление доп. расходов УТ000000442 от 15.08.2019 23:59:59" u="1"/>
        <s v="Поступление доп. расходов УТ000000443 от 15.08.2019 23:59:59" u="1"/>
        <s v="Поступление доп. расходов УТ000000444 от 15.08.2019 23:59:59" u="1"/>
        <s v="Поступление доп. расходов УТ000000445 от 15.08.2019 23:59:59" u="1"/>
        <s v="Поступление доп. расходов УТ000000446 от 15.08.2019 23:59:59" u="1"/>
        <s v="Поступление доп. расходов УТ000000447 от 15.08.2019 23:59:59" u="1"/>
        <s v="Поступление доп. расходов УТ000000448 от 15.08.2019 23:59:59" u="1"/>
        <s v="Поступление доп. расходов УТ000000449 от 15.08.2019 23:59:59" u="1"/>
        <s v="Поступление доп. расходов УТ000000449 от 15.09.2020 23:59:59" u="1"/>
        <s v="Поступление доп. расходов УТ000000450 от 15.08.2019 23:59:59" u="1"/>
        <s v="Поступление доп. расходов УТ000000450 от 15.09.2020 23:59:59" u="1"/>
        <s v="Поступление доп. расходов УТ000000451 от 15.08.2019 23:59:59" u="1"/>
        <s v="Поступление доп. расходов УТ000000451 от 18.09.2020 23:59:59" u="1"/>
        <s v="Поступление доп. расходов УТ000000452 от 15.08.2019 23:59:59" u="1"/>
        <s v="Поступление доп. расходов УТ000000452 от 18.09.2020 23:59:59" u="1"/>
        <s v="Поступление доп. расходов УТ000000453 от 15.08.2019 23:59:59" u="1"/>
        <s v="Поступление доп. расходов УТ000000454 от 15.08.2019 23:59:59" u="1"/>
        <s v="Поступление доп. расходов УТ000000455 от 15.08.2019 23:59:59" u="1"/>
        <s v="Поступление доп. расходов УТ000000456 от 15.08.2019 23:59:59" u="1"/>
        <s v="Поступление доп. расходов УТ000000457 от 15.08.2019 23:59:59" u="1"/>
        <s v="Поступление доп. расходов УТ000000458 от 15.08.2019 23:59:59" u="1"/>
        <s v="Поступление доп. расходов УТ000000459 от 15.08.2019 23:59:59" u="1"/>
        <s v="Поступление доп. расходов УТ000000460 от 15.08.2019 23:59:59" u="1"/>
        <s v="Поступление доп. расходов УТ000000461 от 10.09.2020 23:59:59" u="1"/>
        <s v="Поступление доп. расходов УТ000000461 от 15.08.2019 23:59:59" u="1"/>
        <s v="Поступление доп. расходов УТ000000462 от 15.08.2019 23:59:59" u="1"/>
        <s v="Поступление доп. расходов УТ000000463 от 15.08.2019 23:59:59" u="1"/>
        <s v="Поступление доп. расходов УТ000000464 от 22.08.2019 23:59:59" u="1"/>
        <s v="Поступление доп. расходов УТ000000465 от 22.08.2019 23:59:59" u="1"/>
        <s v="Поступление доп. расходов УТ000000466 от 22.08.2019 23:59:59" u="1"/>
        <s v="Поступление доп. расходов УТ000000467 от 21.08.2019 23:59:59" u="1"/>
        <s v="Поступление доп. расходов УТ000000467 от 21.09.2020 23:59:59" u="1"/>
        <s v="Поступление доп. расходов УТ000000468 от 21.08.2019 23:59:59" u="1"/>
        <s v="Поступление доп. расходов УТ000000468 от 21.09.2020 23:59:59" u="1"/>
        <s v="Поступление доп. расходов УТ000000469 от 21.08.2019 23:59:59" u="1"/>
        <s v="Поступление доп. расходов УТ000000470 от 21.08.2019 23:59:59" u="1"/>
        <s v="Поступление доп. расходов УТ000000473 от 01.10.2020 23:59:59" u="1"/>
        <s v="Поступление доп. расходов УТ000000474 от 01.10.2020 23:59:59" u="1"/>
        <s v="Поступление доп. расходов УТ000000475 от 01.10.2020 23:59:59" u="1"/>
        <s v="Поступление доп. расходов УТ000000476 от 01.10.2020 23:59:59" u="1"/>
        <s v="Поступление доп. расходов УТ000000477 от 01.10.2020 23:59:59" u="1"/>
        <s v="Поступление доп. расходов УТ000000479 от 01.10.2020 23:59:59" u="1"/>
        <s v="Поступление доп. расходов УТ000000480 от 01.10.2020 23:59:59" u="1"/>
        <s v="Поступление доп. расходов УТ000000481 от 05.10.2020 23:59:59" u="1"/>
        <s v="Поступление доп. расходов УТ000000482 от 05.10.2020 23:59:59" u="1"/>
        <s v="Поступление доп. расходов УТ000000485 от 08.10.2020 23:59:59" u="1"/>
        <s v="Поступление доп. расходов УТ000000486 от 08.10.2020 23:59:59" u="1"/>
        <s v="Поступление доп. расходов УТ000000517 от 09.11.2020 23:59:59" u="1"/>
        <s v="Поступление доп. расходов УТ000000518 от 09.11.2020 23:59:59" u="1"/>
        <s v="Поступление доп. расходов УТ000000518 от 10.09.2019 23:59:59" u="1"/>
        <s v="Поступление доп. расходов УТ000000519 от 10.09.2019 23:59:59" u="1"/>
        <s v="Поступление доп. расходов УТ000000520 от 10.09.2019 23:59:59" u="1"/>
        <s v="Поступление доп. расходов УТ000000521 от 10.09.2019 23:59:59" u="1"/>
        <s v="Поступление доп. расходов УТ000000522 от 10.09.2019 23:59:59" u="1"/>
        <s v="Поступление доп. расходов УТ000000523 от 10.09.2019 23:59:59" u="1"/>
        <s v="Поступление доп. расходов УТ000000525 от 10.09.2019 23:59:59" u="1"/>
        <s v="Поступление доп. расходов УТ000000531 от 01.11.2020 23:59:59" u="1"/>
        <s v="Поступление доп. расходов УТ000000532 от 01.11.2020 23:59:59" u="1"/>
        <s v="Поступление доп. расходов УТ000000533 от 01.11.2020 23:59:59" u="1"/>
        <s v="Поступление доп. расходов УТ000000534 от 01.11.2020 23:59:59" u="1"/>
        <s v="Поступление доп. расходов УТ000000535 от 01.11.2020 23:59:59" u="1"/>
        <s v="Поступление доп. расходов УТ000000536 от 01.11.2020 23:59:59" u="1"/>
        <s v="Поступление доп. расходов УТ000000537 от 01.11.2020 23:59:59" u="1"/>
        <s v="Поступление доп. расходов УТ000000538 от 01.11.2020 23:59:59" u="1"/>
        <s v="Поступление доп. расходов УТ000000539 от 01.11.2020 23:59:59" u="1"/>
        <s v="Поступление доп. расходов УТ000000540 от 01.11.2020 23:59:59" u="1"/>
        <s v="Поступление доп. расходов УТ000000543 от 02.10.2019 23:59:59" u="1"/>
        <s v="Поступление доп. расходов УТ000000544 от 02.10.2019 23:59:59" u="1"/>
        <s v="Поступление доп. расходов УТ000000545 от 02.10.2019 23:59:59" u="1"/>
        <s v="Поступление доп. расходов УТ000000546 от 02.10.2019 23:59:59" u="1"/>
        <s v="Поступление доп. расходов УТ000000547 от 02.10.2019 23:59:59" u="1"/>
        <s v="Поступление доп. расходов УТ000000548 от 02.10.2019 23:59:59" u="1"/>
        <s v="Поступление доп. расходов УТ000000553 от 02.10.2019 23:59:59" u="1"/>
        <s v="Поступление доп. расходов УТ000000554 от 02.10.2019 23:59:59" u="1"/>
        <s v="Поступление доп. расходов УТ000000556 от 01.10.2019 23:59:59" u="1"/>
        <s v="Поступление доп. расходов УТ000000563 от 01.10.2019 23:59:59" u="1"/>
        <s v="Поступление доп. расходов УТ000000578 от 09.10.2019 23:59:59" u="1"/>
        <s v="Поступление доп. расходов УТ000000579 от 09.10.2019 23:59:59" u="1"/>
        <s v="Поступление доп. расходов УТ000000590 от 28.12.2020 23:59:59" u="1"/>
        <s v="Поступление доп. расходов УТ000000591 от 28.12.2020 23:59:59" u="1"/>
        <s v="Поступление доп. расходов УТ000000592 от 01.11.2019 23:59:59" u="1"/>
        <s v="Поступление доп. расходов УТ000000592 от 25.12.2020 23:59:59" u="1"/>
        <s v="Поступление доп. расходов УТ000000593 от 25.12.2020 23:59:59" u="1"/>
        <s v="Поступление доп. расходов УТ000000599 от 01.11.2019 23:59:59" u="1"/>
        <s v="Поступление доп. расходов УТ000000600 от 01.11.2019 23:59:59" u="1"/>
        <s v="Поступление доп. расходов УТ000000601 от 01.11.2019 23:59:59" u="1"/>
        <s v="Поступление доп. расходов УТ000000602 от 01.11.2019 23:59:59" u="1"/>
        <s v="Поступление доп. расходов УТ000000603 от 01.11.2019 23:59:59" u="1"/>
        <s v="Поступление доп. расходов УТ000000604 от 01.11.2019 23:59:59" u="1"/>
        <s v="Поступление доп. расходов УТ000000605 от 01.11.2019 23:59:59" u="1"/>
        <s v="Поступление доп. расходов УТ000000606 от 01.11.2019 23:59:59" u="1"/>
        <s v="Поступление доп. расходов УТ000000607 от 01.11.2019 23:59:59" u="1"/>
        <s v="Поступление доп. расходов УТ000000608 от 01.11.2019 23:59:59" u="1"/>
        <s v="Поступление доп. расходов УТ000000609 от 01.11.2019 23:59:59" u="1"/>
        <s v="Поступление доп. расходов УТ000000610 от 01.11.2019 23:59:59" u="1"/>
        <s v="Поступление доп. расходов УТ000000611 от 01.11.2019 23:59:59" u="1"/>
        <s v="Поступление доп. расходов УТ000000612 от 01.11.2019 23:59:59" u="1"/>
        <s v="Поступление доп. расходов УТ000000613 от 01.11.2019 23:59:59" u="1"/>
        <s v="Поступление доп. расходов УТ000000614 от 01.11.2019 23:59:59" u="1"/>
        <s v="Поступление доп. расходов УТ000000621 от 08.11.2019 23:59:59" u="1"/>
        <s v="Поступление доп. расходов УТ000000622 от 08.11.2019 23:59:59" u="1"/>
        <s v="Поступление доп. расходов УТ000000623 от 08.11.2019 23:59:59" u="1"/>
        <s v="Поступление доп. расходов УТ000000624 от 08.11.2019 23:59:59" u="1"/>
        <s v="Поступление доп. расходов УТ000000625 от 08.11.2019 23:59:59" u="1"/>
        <s v="Поступление доп. расходов УТ000000626 от 08.11.2019 23:59:59" u="1"/>
        <s v="Поступление доп. расходов УТ000000627 от 08.11.2019 23:59:59" u="1"/>
        <s v="Поступление доп. расходов УТ000000628 от 08.11.2019 23:59:59" u="1"/>
        <s v="Поступление доп. расходов УТ000000629 от 08.11.2019 23:59:59" u="1"/>
        <s v="Поступление доп. расходов УТ000000631 от 06.11.2019 23:59:59" u="1"/>
        <s v="Поступление доп. расходов УТ000000637 от 06.11.2019 23:59:59" u="1"/>
        <s v="Поступление доп. расходов УТ000000642 от 08.11.2019 23:59:59" u="1"/>
        <s v="Поступление доп. расходов УТ000000643 от 08.11.2019 23:59:59" u="1"/>
        <s v="Поступление доп. расходов УТ000000644 от 08.11.2019 23:59:59" u="1"/>
        <s v="Поступление доп. расходов УТ000000650 от 22.11.2019 23:59:59" u="1"/>
        <s v="Поступление доп. расходов УТ000000651 от 22.11.2019 23:59:59" u="1"/>
        <s v="Поступление доп. расходов УТ000000652 от 22.11.2019 23:59:59" u="1"/>
        <s v="Поступление доп. расходов УТ000000653 от 22.11.2019 23:59:59" u="1"/>
        <s v="Поступление доп. расходов УТ000000654 от 22.11.2019 23:59:59" u="1"/>
        <s v="Поступление доп. расходов УТ000000655 от 22.11.2019 23:59:59" u="1"/>
        <s v="Поступление доп. расходов УТ000000656 от 22.11.2019 23:59:59" u="1"/>
        <s v="Поступление доп. расходов УТ000000657 от 22.11.2019 23:59:59" u="1"/>
        <s v="Поступление доп. расходов УТ000000658 от 22.11.2019 23:59:59" u="1"/>
        <s v="Поступление доп. расходов УТ000000659 от 22.11.2019 23:59:59" u="1"/>
        <s v="Поступление доп. расходов УТ000000660 от 22.11.2019 23:59:59" u="1"/>
        <s v="Поступление доп. расходов УТ000000661 от 22.11.2019 23:59:59" u="1"/>
        <s v="Поступление доп. расходов УТ000000662 от 22.11.2019 23:59:59" u="1"/>
        <s v="Поступление доп. расходов УТ000000663 от 22.11.2019 23:59:59" u="1"/>
        <s v="Поступление доп. расходов УТ000000664 от 20.11.2019 23:59:59" u="1"/>
        <s v="Поступление доп. расходов УТ000000665 от 20.11.2019 23:59:59" u="1"/>
        <s v="Поступление доп. расходов УТ000000666 от 03.12.2019 23:59:59" u="1"/>
        <s v="Поступление доп. расходов УТ000000667 от 03.12.2019 23:59:59" u="1"/>
        <s v="Поступление доп. расходов УТ000000668 от 03.12.2019 23:59:59" u="1"/>
        <s v="Поступление доп. расходов УТ000000677 от 05.12.2019 23:59:59" u="1"/>
        <s v="Поступление доп. расходов УТ000000680 от 11.12.2019 23:59:59" u="1"/>
        <s v="Поступление доп. расходов УТ000000681 от 11.12.2019 23:59:59" u="1"/>
        <s v="Поступление доп. расходов УТ000000683 от 11.12.2019 23:59:59" u="1"/>
        <s v="Поступление доп. расходов УТ000000687 от 10.12.2019 23:59:59" u="1"/>
        <s v="Поступление доп. расходов УТ000000688 от 10.12.2019 23:59:59" u="1"/>
        <s v="Поступление доп. расходов УТ000000689 от 10.12.2019 23:59:59" u="1"/>
        <s v="Поступление доп. расходов УТ000000690 от 10.12.2019 23:59:59" u="1"/>
        <s v="Поступление доп. расходов УТ000000691 от 10.12.2019 23:59:59" u="1"/>
        <s v="Поступление доп. расходов УТ000000692 от 10.12.2019 23:59:59" u="1"/>
        <s v="Поступление доп. расходов УТ000000693 от 10.12.2019 23:59:59" u="1"/>
        <s v="Поступление доп. расходов УТ000000694 от 10.12.2019 23:59:59" u="1"/>
        <s v="Поступление доп. расходов УТ000000695 от 10.12.2019 23:59:59" u="1"/>
        <s v="Поступление доп. расходов УТ000000696 от 13.12.2019 23:59:59" u="1"/>
        <s v="Поступление доп. расходов УТ000000697 от 13.12.2019 23:59:59" u="1"/>
        <s v="Поступление доп. расходов УТ000000698 от 09.12.2019 23:59:59" u="1"/>
        <s v="Поступление доп. расходов УТ000000699 от 09.12.2019 23:59:59" u="1"/>
        <s v="Поступление доп. расходов УТ000000700 от 12.12.2019 23:59:59" u="1"/>
        <s v="Поступление доп. расходов УТ000000701 от 12.12.2019 23:59:59" u="1"/>
        <s v="Поступление доп. расходов УТ000000702 от 16.12.2019 23:59:59" u="1"/>
        <s v="Поступление доп. расходов УТ000000703 от 16.12.2019 23:59:59" u="1"/>
        <s v="Поступление доп. расходов УТ000000705 от 16.12.2019 23:59:59" u="1"/>
        <s v="Поступление доп. расходов УТ000000706 от 16.12.2019 23:59:59" u="1"/>
        <s v="Поступление доп. расходов УТ000000707 от 16.12.2019 23:59:59" u="1"/>
        <s v="Поступление доп. расходов УТ000000710 от 11.12.2019 23:59:59" u="1"/>
        <s v="Поступление доп. расходов УТ000000711 от 11.12.2019 23:59:59" u="1"/>
        <s v="Поступление доп. расходов УТ000000712 от 11.12.2019 23:59:59" u="1"/>
        <s v="Поступление доп. расходов УТ000000713 от 11.12.2019 23:59:59" u="1"/>
        <s v="Поступление доп. расходов УТ000000714 от 13.12.2019 23:59:59" u="1"/>
        <s v="Поступление доп. расходов УТ000000715 от 09.12.2019 23:59:59" u="1"/>
        <s v="Отчет комиссионера о продажах УТ000000485 от 29.12.2020 11:28:55" u="1"/>
        <s v="Реализация товаров и услуг УТ000003362 от 18.02.2021 15:17:42" u="1"/>
        <s v="Реализация товаров и услуг УТ000014900 от 22.06.2021 11:40:22" u="1"/>
        <s v="Реализация товаров и услуг УТ000026862 от 24.08.2021 11:28:41" u="1"/>
        <s v="Поступление товаров и услуг УТ000000239 от 05.11.2019 9:04:39" u="1"/>
        <s v="Реализация товаров и услуг УТ000031909 от 26.11.2020 10:56:14" u="1"/>
        <s v="Поступление товаров и услуг УТ000000090 от 11.08.2017 23:16:53" u="1"/>
        <s v="Реализация товаров и услуг УТ000002436 от 12.02.2021 10:04:17" u="1"/>
        <s v="Реализация товаров и услуг УТ000030729 от 30.10.2020 15:53:51" u="1"/>
        <s v="Реализация товаров и услуг УТ000034674 от 28.12.2020 14:09:36" u="1"/>
        <s v="Реализация товаров и услуг УТ000005734 от 22.03.2021 10:52:25" u="1"/>
        <s v="Поступление товаров и услуг УТ000000285 от 01.11.2020 17:56:59" u="1"/>
        <s v="Реализация товаров и услуг УТ000004863 от 10.03.2021 10:00:28" u="1"/>
        <s v="Отчет комиссионера о продажах УТ000000242 от 30.04.2021 18:56:47" u="1"/>
        <s v="Реализация товаров и услуг УТ000006984 от 07.04.2021 9:41:24" u="1"/>
        <s v="Поступление товаров и услуг УТ000000008 от 25.01.2019 14:25:05" u="1"/>
        <s v="Реализация товаров и услуг УТ000017220 от 12.07.2021 11:02:24" u="1"/>
        <s v="Реализация товаров и услуг УТ000030394 от 26.10.2020 19:20:24" u="1"/>
        <s v="Реализация товаров и услуг УТ000033023 от 11.12.2020 11:46:41" u="1"/>
        <s v="Реализация товаров и услуг УТ000005002 от 12.03.2021 10:34:06" u="1"/>
        <s v="Реализация товаров и услуг УТ000012925 от 04.06.2021 11:34:42" u="1"/>
        <s v="Реализация товаров и услуг УТ000009806 от 05.05.2021 11:50:52" u="1"/>
        <s v="Реализация товаров и услуг УТ000034151 от 24.12.2020 13:39:19" u="1"/>
        <s v="Реализация товаров и услуг УТ000028268 от 01.09.2021 10:26:56" u="1"/>
        <s v="Реализация товаров и услуг УТ000009353 от 29.04.2021 9:52:24" u="1"/>
        <s v="Реализация товаров и услуг УТ000015025 от 23.06.2021 12:20:00" u="1"/>
        <s v="Поступление товаров и услуг УТ000000218 от 30.09.2019 12:25:14" u="1"/>
        <s v="Реализация товаров и услуг УТ000015163 от 24.06.2021 11:04:04" u="1"/>
        <s v="Реализация товаров и услуг УТ000028458 от 30.09.2020 11:32:03" u="1"/>
        <s v="Отчет комиссионера о продажах УТ000000279 от 31.05.2021 15:08:56" u="1"/>
        <s v="Реализация товаров и услуг УТ000006930 от 28.04.2020 15:41:13" u="1"/>
        <s v="Поступление товаров и услуг УТ000000025 от 22.06.2015 14:05:23" u="1"/>
        <s v="Реализация товаров и услуг УТ000006402 от 31.03.2021 10:08:17" u="1"/>
        <s v="Отчет комиссионера о продажах УТ000000193 от 30.03.2021 22:48:45" u="1"/>
        <s v="Отчет комиссионера о продажах УТ000000427 от 30.11.2020 15:38:56" u="1"/>
        <s v="Реализация товаров и услуг УТ000028707 от 06.09.2021 10:04:18" u="1"/>
        <s v="Реализация товаров и услуг УТ000007931 от 16.04.2021 10:36:26" u="1"/>
        <s v="Реализация товаров и услуг УТ000018639 от 30.07.2021 10:16:27" u="1"/>
        <s v="Отчет комиссионера о продажах УТ000000350 от 31.07.2021 17:07:10" u="1"/>
        <s v="Реализация товаров и услуг УТ000028458 от 02.09.2021 10:52:46" u="1"/>
        <s v="Отчет комиссионера о продажах УТ000000017 от 31.10.2014 17:57:12" u="1"/>
        <s v="Реализация товаров и услуг УТ000027459 от 17.09.2020 11:14:04" u="1"/>
        <s v="Реализация товаров и услуг УТ000009354 от 29.04.2021 9:53:29" u="1"/>
        <s v="Реализация товаров и услуг УТ000029577 от 14.10.2020 14:23:08" u="1"/>
        <s v="Реализация товаров и услуг УТ000009355 от 29.04.2021 9:54:20" u="1"/>
        <s v="Реализация товаров и услуг УТ000010621 от 14.05.2021 9:44:24" u="1"/>
        <s v="Поступление товаров и услуг УТ000000113 от 22.09.2017 10:29:33" u="1"/>
        <s v="Поступление товаров и услуг УТ000000184 от 05.12.2018 13:09:26" u="1"/>
        <s v="Поступление товаров и услуг УТ000000023 от 01.01.2021 10:01:24" u="1"/>
        <s v="Поступление товаров и услуг УТ000000005 от 23.01.2019 16:45:15" u="1"/>
        <s v="Поступление доп. расходов УТ000000395 от 17.12.2018 9:51:47" u="1"/>
        <s v="Реализация товаров и услуг УТ000012928 от 04.06.2021 11:48:22" u="1"/>
        <s v="Реализация товаров и услуг УТ000018447 от 21.07.2021 11:24:14" u="1"/>
        <s v="Реализация товаров и услуг УТ000032849 от 09.12.2020 15:53:13" u="1"/>
        <s v="Реализация товаров и услуг УТ000033022 от 11.12.2020 11:36:23" u="1"/>
        <s v="Поступление товаров и услуг УТ000000154 от 18.07.2019 13:01:32" u="1"/>
        <s v="Поступление товаров и услуг УТ000000103 от 31.08.2017 16:21:23" u="1"/>
        <s v="Поступление товаров и услуг УТ000000294 от 01.11.2020 17:37:32" u="1"/>
        <s v="Реализация товаров и услуг УТ000012929 от 04.06.2021 11:56:42" u="1"/>
        <s v="Платежное поручение входящее УТ000000210 от 31.08.2021 23:46:27" u="1"/>
        <s v="Корректировка долга УТ000000064 от 31.03.2021 23:50:11" u="1"/>
        <s v="Реализация товаров и услуг УТ000007935 от 16.04.2021 10:40:58" u="1"/>
        <s v="Отчет комиссионера о продажах УТ000000499 от 31.12.2020 23:59:59" u="1"/>
        <s v="Отчет комиссионера о продажах УТ000000500 от 31.12.2020 23:59:59" u="1"/>
        <s v="Реализация товаров и услуг УТ000032941 от 10.12.2020 12:14:11" u="1"/>
        <s v="Реализация товаров и услуг УТ000015026 от 23.06.2021 12:26:30" u="1"/>
        <s v="Реализация товаров и услуг УТ000018313 от 20.07.2021 12:26:40" u="1"/>
        <s v="Поступление товаров и услуг УТ000000063 от 13.07.2017 14:29:34" u="1"/>
        <s v="Реализация товаров и услуг УТ000002381 от 04.02.2021 12:22:51" u="1"/>
        <s v="Реализация товаров и услуг УТ000014197 от 16.06.2021 18:28:18" u="1"/>
        <s v="Реализация товаров и услуг УТ000022819 от 17.08.2021 11:22:35" u="1"/>
        <s v="Поступление товаров и услуг УТ000000243 от 01.11.2019 0:01:00" u="1"/>
        <s v="Реализация товаров и услуг УТ000002397 от 06.02.2021 10:50:28" u="1"/>
        <s v="Поступление товаров и услуг УТ000000137 от 01.07.2019 0:01:10" u="1"/>
        <s v="Поступление товаров и услуг УТ000000242 от 01.11.2019 0:01:10" u="1"/>
        <s v="Реализация товаров и услуг УТ000028578 от 03.09.2021 10:38:57" u="1"/>
        <s v="Поступление товаров и услуг УТ000000147 от 01.08.2019 0:01:20" u="1"/>
        <s v="Реализация товаров и услуг УТ000006286 от 30.03.2021 10:14:59" u="1"/>
        <s v="Поступление товаров и услуг УТ000000168 от 01.08.2019 0:01:30" u="1"/>
        <s v="Поступление товаров и услуг УТ000000185 от 01.08.2019 0:01:40" u="1"/>
        <s v="Реализация товаров и услуг УТ000030728 от 30.10.2020 15:53:04" u="1"/>
        <s v="Реализация товаров и услуг УТ000007416 от 12.04.2021 11:40:15" u="1"/>
        <s v="Реализация товаров и услуг УТ000031152 от 09.11.2020 11:44:24" u="1"/>
        <s v="Реализация товаров и услуг УТ000005987 от 26.03.2021 15:49:53" u="1"/>
        <s v="Реализация товаров и услуг УТ000009141 от 27.04.2021 11:24:55" u="1"/>
        <s v="Реализация товаров и услуг УТ000004936 от 11.03.2021 9:37:20" u="1"/>
        <s v="Реализация товаров и услуг УТ000004192 от 01.03.2021 18:50:29" u="1"/>
        <s v="Поступление товаров и услуг УТ000000156 от 01.07.2019 0:03:10" u="1"/>
        <s v="Реализация товаров и услуг УТ000000056 от 15.01.2021 10:44:48" u="1"/>
        <s v="Реализация товаров и услуг УТ000004862 от 10.03.2021 9:57:22" u="1"/>
        <s v="Реализация товаров и услуг УТ000008278 от 19.04.2021 9:27:24" u="1"/>
        <s v="Реализация товаров и услуг УТ000027817 от 22.09.2020 22:09:09" u="1"/>
        <s v="Реализация товаров и услуг УТ000007801 от 15.04.2021 9:37:25" u="1"/>
        <s v="Реализация товаров и услуг УТ000032955 от 10.12.2020 16:55:20" u="1"/>
        <s v="Реализация товаров и услуг УТ000032852 от 09.12.2020 16:07:52" u="1"/>
        <s v="Поступление доп. расходов УТ000000133 от 11.07.2016 23:40:20" u="1"/>
        <s v="Поступление доп. расходов УТ000000045 от 26.01.2021 23:50:20" u="1"/>
        <s v="Поступление доп. расходов УТ000000134 от 11.07.2016 23:40:21" u="1"/>
        <s v="Поступление доп. расходов УТ000000046 от 26.01.2021 23:50:21" u="1"/>
        <s v="Поступление товаров и услуг УТ000000207 от 25.12.2018 16:33:42" u="1"/>
        <s v="Поступление доп. расходов УТ000000047 от 26.01.2021 23:50:22" u="1"/>
        <s v="Поступление доп. расходов УТ000000181 от 25.07.2017 23:10:24" u="1"/>
        <s v="Платежное поручение входящее 00BF-001861 от 30.09.2020 23:01:11" u="1"/>
        <s v="Поступление доп. расходов УТ000000048 от 26.01.2021 23:50:23" u="1"/>
        <s v="Поступление доп. расходов УТ000000049 от 26.01.2021 23:50:24" u="1"/>
        <s v="Поступление доп. расходов УТ000000050 от 26.01.2021 23:50:25" u="1"/>
        <s v="Поступление доп. расходов УТ000000184 от 25.07.2017 23:10:27" u="1"/>
        <s v="Поступление доп. расходов УТ000000499 от 01.09.2019 23:50:25" u="1"/>
        <s v="Отчет комиссионера о продажах УТ000000388 от 31.08.2021 16:09:08" u="1"/>
        <s v="Поступление доп. расходов УТ000000051 от 26.01.2021 23:50:26" u="1"/>
        <s v="Поступление доп. расходов УТ000000052 от 26.01.2021 23:50:27" u="1"/>
        <s v="Отчет комиссионера о продажах УТ000000467 от 23.12.2020 17:59:17" u="1"/>
        <s v="Поступление доп. расходов УТ000000053 от 26.01.2021 23:50:28" u="1"/>
        <s v="Поступление товаров и услуг УТ000000054 от 01.04.2019 0:01:21" u="1"/>
        <s v="Реализация товаров и услуг УТ000003436 от 19.02.2021 16:17:02" u="1"/>
        <s v="Поступление товаров и услуг УТ000000103 от 30.07.2018 10:45:19" u="1"/>
        <s v="Реализация товаров и услуг УТ000007691 от 14.04.2021 16:37:41" u="1"/>
        <s v="Реализация товаров и услуг УТ000011309 от 20.05.2021 12:12:33" u="1"/>
        <s v="Реализация товаров и услуг УТ000023465 от 14.08.2020 19:02:18" u="1"/>
        <s v="Реализация товаров и услуг УТ000003363 от 18.02.2021 15:21:27" u="1"/>
        <s v="Платежное поручение входящее 00BF-001351 от 09.09.2020 23:23:44" u="1"/>
        <s v="Реализация товаров и услуг УТ000009139 от 27.04.2021 11:16:56" u="1"/>
        <s v="Поступление доп. расходов УТ000000487 от 11.10.2020 23:51:24" u="1"/>
        <s v="Реализация товаров и услуг УТ000009375 от 29.04.2021 18:38:39" u="1"/>
        <s v="Поступление доп. расходов УТ000000488 от 11.10.2020 23:51:25" u="1"/>
        <s v="Поступление доп. расходов УТ000000037 от 03.02.2020 0:00:00" u="1"/>
        <s v="Поступление доп. расходов УТ000000085 от 10.02.2020 0:00:00" u="1"/>
        <s v="Поступление доп. расходов УТ000000154 от 03.04.2020 0:00:00" u="1"/>
        <s v="Поступление доп. расходов УТ000000179 от 21.04.2020 0:00:00" u="1"/>
        <s v="Поступление доп. расходов УТ000000181 от 23.04.2020 0:00:00" u="1"/>
        <s v="Поступление доп. расходов УТ000000182 от 23.04.2020 0:00:00" u="1"/>
        <s v="Поступление доп. расходов УТ000000255 от 18.05.2020 0:00:00" u="1"/>
        <s v="Поступление доп. расходов УТ000000280 от 03.06.2020 0:00:00" u="1"/>
        <s v="Поступление доп. расходов УТ000000334 от 06.08.2020 0:00:00" u="1"/>
        <s v="Поступление доп. расходов УТ000000335 от 06.08.2020 0:00:00" u="1"/>
        <s v="Поступление доп. расходов УТ000000478 от 01.10.2020 0:00:00" u="1"/>
        <s v="Поступление доп. расходов УТ000000489 от 11.10.2020 23:51:26" u="1"/>
        <s v="Поступление доп. расходов УТ000000490 от 11.10.2020 23:51:27" u="1"/>
        <s v="Поступление доп. расходов УТ000000491 от 11.10.2020 23:51:28" u="1"/>
        <s v="Реализация товаров и услуг УТ000004793 от 09.03.2021 14:53:59" u="1"/>
        <s v="Поступление доп. расходов УТ000000492 от 11.10.2020 23:51:29" u="1"/>
        <s v="Реализация товаров и услуг УТ000005748 от 22.03.2021 16:31:03" u="1"/>
        <s v="Реализация товаров и услуг УТ000011310 от 20.05.2021 13:02:50" u="1"/>
        <s v="Поступление доп. расходов УТ000000001 от 24.01.2017 23:12:21" u="1"/>
        <s v="Поступление товаров и услуг УТ000000136 от 12.09.2018 12:41:43" u="1"/>
        <s v="Документ расчетов с контрагентом (ручной учет) УТ000000002 от 30.11.2020 12:00:00" u="1"/>
        <s v="Реализация товаров и услуг УТ000018864 от 11.08.2021 11:42:06" u="1"/>
        <s v="Поступление доп. расходов УТ000000002 от 24.01.2017 23:12:22" u="1"/>
        <s v="Реализация товаров и услуг УТ000026863 от 24.08.2021 11:46:35" u="1"/>
        <s v="Реализация товаров и услуг УТ000023831 от 19.08.2021 11:50:26" u="1"/>
        <s v="Реализация товаров и услуг УТ000022820 от 17.08.2021 11:26:46" u="1"/>
        <s v="Реализация товаров и услуг УТ000008663 от 22.04.2021 10:46:59" u="1"/>
        <s v="Реализация товаров и услуг УТ000009809 от 05.05.2021 13:20:00" u="1"/>
        <s v="Реализация товаров и услуг УТ000006417 от 31.03.2021 16:37:12" u="1"/>
        <s v="Поступление товаров и услуг УТ000000062 от 06.07.2017 16:09:48" u="1"/>
        <s v="Поступление товаров и услуг УТ000000326 от 19.12.2020 16:45:45" u="1"/>
        <s v="Поступление доп. расходов УТ000000027 от 09.02.2019 23:53:22" u="1"/>
        <s v="Реализация товаров и услуг УТ000005986 от 26.03.2021 15:49:55" u="1"/>
        <s v="Поступление доп. расходов УТ000000028 от 09.02.2019 23:53:23" u="1"/>
        <s v="Поступление доп. расходов УТ000000178 от 01.05.2019 23:53:23" u="1"/>
        <s v="Платежное поручение входящее БПБП0000006 от 12.01.2021 0:00:00" u="1"/>
        <s v="Поступление доп. расходов УТ000000033 от 09.02.2019 23:53:24" u="1"/>
        <s v="Поступление доп. расходов УТ000000179 от 01.05.2019 23:53:24" u="1"/>
        <s v="Поступление доп. расходов УТ000000034 от 09.02.2019 23:53:25" u="1"/>
        <s v="Поступление доп. расходов УТ000000035 от 09.02.2019 23:53:26" u="1"/>
        <s v="Поступление доп. расходов УТ000000036 от 09.02.2019 23:53:27" u="1"/>
        <s v="Поступление доп. расходов УТ000000037 от 09.02.2019 23:53:28" u="1"/>
        <s v="Поступление доп. расходов УТ000000038 от 09.02.2019 23:53:29" u="1"/>
        <s v="Реализация товаров и услуг УТ000002449 от 14.02.2021 16:35:13" u="1"/>
        <s v="Реализация товаров и услуг УТ000028454 от 02.09.2021 12:06:24" u="1"/>
        <s v="Реализация товаров и услуг УТ000009262 от 28.04.2021 15:59:25" u="1"/>
        <s v="Реализация товаров и услуг УТ000010518 от 13.05.2021 11:18:37" u="1"/>
        <s v="Реализация товаров и услуг УТ000018863 от 11.08.2021 11:18:37" u="1"/>
        <s v="Реализация товаров и услуг УТ000009804 от 05.05.2021 11:42:27" u="1"/>
        <s v="Реализация товаров и услуг УТ000008763 от 23.04.2021 11:34:37" u="1"/>
        <s v="Реализация товаров и услуг УТ000009138 от 27.04.2021 11:14:38" u="1"/>
        <s v="Поступление доп. расходов УТ000000177 от 22.07.2017 23:54:23" u="1"/>
        <s v="Реализация товаров и услуг УТ000011815 от 25.05.2021 11:10:39" u="1"/>
        <s v="Поступление товаров и услуг УТ000000053 от 01.04.2019 0:01:23" u="1"/>
        <s v="Поступление товаров и услуг УТ000000125 от 01.06.2020 10:02:00" u="1"/>
        <s v="Реализация товаров и услуг УТ000030115 от 21.10.2020 12:08:24" u="1"/>
        <s v="Поступление товаров и услуг УТ000000206 от 25.12.2018 14:57:47" u="1"/>
        <s v="Реализация товаров и услуг УТ000010409 от 12.05.2021 12:36:43" u="1"/>
        <s v="Реализация товаров и услуг УТ000032940 от 10.12.2020 12:12:35" u="1"/>
        <s v="Реализация товаров и услуг УТ000008539 от 21.04.2021 11:12:09" u="1"/>
        <s v="Поступление доп. расходов УТ000000185 от 30.04.2020 15:55:49" u="1"/>
        <s v="Поступление доп. расходов УТ000000292 от 17.11.2017 23:45:21" u="1"/>
        <s v="Поступление доп. расходов УТ000000293 от 17.11.2017 23:45:22" u="1"/>
        <s v="Поступление доп. расходов УТ000000294 от 17.11.2017 23:45:23" u="1"/>
        <s v="Реализация товаров и услуг УТ000011814 от 25.05.2021 11:12:39" u="1"/>
        <s v="Поступление доп. расходов УТ000000295 от 17.11.2017 23:45:24" u="1"/>
        <s v="Реализация товаров и услуг УТ000009807 от 05.05.2021 11:56:56" u="1"/>
        <s v="Поступление доп. расходов УТ000000007 от 23.01.2021 0:00:00" u="1"/>
        <s v="Поступление товаров и услуг УТ000000146 от 01.07.2019 0:55:00" u="1"/>
        <s v="Реализация товаров и услуг УТ000031925 от 26.11.2020 13:14:11" u="1"/>
        <s v="Поступление доп. расходов УТ000000345 от 15.08.2020 23:55:29" u="1"/>
        <s v="Поступление товаров и услуг УТ000000240 от 01.09.2020 9:43:20" u="1"/>
        <s v="Реализация товаров и услуг УТ000034154 от 24.12.2020 12:54:13" u="1"/>
        <s v="Поступление доп. расходов УТ000000019 от 01.02.2018 15:45:05" u="1"/>
        <s v="Поступление доп. расходов УТ000000134 от 25.05.2017 23:16:20" u="1"/>
        <s v="Реализация товаров и услуг УТ000005743 от 22.03.2021 11:26:28" u="1"/>
        <s v="Реализация товаров и услуг УТ000011709 от 24.05.2021 11:14:29" u="1"/>
        <s v="Реализация товаров и услуг УТ000004316 от 04.03.2021 11:26:38" u="1"/>
        <s v="Реализация товаров и услуг УТ000006414 от 31.03.2021 0:00:00" u="1"/>
        <s v="Реализация товаров и услуг УТ000018845 от 05.08.2021 13:44:20" u="1"/>
        <s v="Реализация товаров и услуг УТ000004006 от 26.02.2021 12:48:13" u="1"/>
        <s v="Реализация товаров и услуг УТ000033851 от 21.12.2020 16:53:44" u="1"/>
        <s v="Реализация товаров и услуг УТ000033024 от 11.12.2020 11:48:37" u="1"/>
        <s v="Реализация товаров и услуг УТ000009266 от 28.04.2021 17:07:02" u="1"/>
        <s v="Реализация товаров и услуг УТ000004239 от 02.03.2021 8:20:42" u="1"/>
        <s v="Реализация товаров и услуг УТ000005432 от 18.03.2021 13:46:10" u="1"/>
        <s v="Реализация товаров и услуг УТ000004174 от 01.03.2021 8:20:47" u="1"/>
        <s v="Реализация товаров и услуг УТ000031157 от 09.11.2020 12:50:15" u="1"/>
        <s v="Корректировка долга УТ000000179 от 30.09.2015 14:45:51" u="1"/>
        <s v="Реализация товаров и услуг УТ000016048 от 01.07.2021 11:54:28" u="1"/>
        <s v="Реализация товаров и услуг УТ000009787 от 05.05.2021 9:10:37" u="1"/>
        <s v="Поступление товаров и услуг УТ000000236 от 01.11.2019 0:01:05" u="1"/>
        <s v="Поступление товаров и услуг УТ000000089 от 09.08.2017 16:38:04" u="1"/>
        <s v="Реализация товаров и услуг УТ000018847 от 05.08.2021 13:56:20" u="1"/>
        <s v="Поступление товаров и услуг УТ000000184 от 01.08.2019 0:01:35" u="1"/>
        <s v="Поступление товаров и услуг УТ000000162 от 01.08.2019 0:01:45" u="1"/>
        <s v="Реализация товаров и услуг УТ000024423 от 19.08.2021 17:25:42" u="1"/>
        <s v="Поступление товаров и услуг УТ000000122 от 02.10.2017 16:02:12" u="1"/>
        <s v="Реализация товаров и услуг УТ000009900 от 06.05.2021 16:41:16" u="1"/>
        <s v="Поступление товаров и услуг УТ000000118 от 26.09.2017 15:21:59" u="1"/>
        <s v="Реализация товаров и услуг УТ000030380 от 26.10.2020 12:00:38" u="1"/>
        <s v="Поступление доп. расходов УТ000000003 от 01.02.2017 23:09:27" u="1"/>
        <s v="Поступление доп. расходов УТ000000004 от 01.02.2017 23:09:28" u="1"/>
        <s v="Поступление доп. расходов УТ000000559 от 14.11.2020 23:59:27" u="1"/>
        <s v="Поступление товаров и услуг УТ000000153 от 01.07.2019 0:03:25" u="1"/>
        <s v="Реализация товаров и услуг УТ000034152 от 24.12.2020 13:46:11" u="1"/>
        <s v="Реализация товаров и услуг УТ000034155 от 24.12.2020 13:02:04" u="1"/>
        <s v="Поступление доп. расходов УТ000000560 от 14.11.2020 23:59:28" u="1"/>
        <s v="Реализация товаров и услуг УТ000008543 от 21.04.2021 13:06:33" u="1"/>
        <s v="Реализация товаров и услуг УТ000015027 от 23.06.2021 12:30:27" u="1"/>
        <s v="Реализация товаров и услуг УТ000028989 от 03.10.2020 11:54:39" u="1"/>
        <s v="Поступление товаров и услуг УТ000000096 от 22.08.2017 11:18:07" u="1"/>
        <s v="Отчет комиссионера о продажах УТ000000410 от 27.11.2020 11:00:00" u="1"/>
        <s v="Отчет комиссионера о продажах УТ000000416 от 27.11.2020 11:00:00" u="1"/>
        <s v="Реализация товаров и услуг УТ000004188 от 01.03.2021 17:29:32" u="1"/>
        <s v="Реализация товаров и услуг УТ000032939 от 10.12.2020 12:08:07" u="1"/>
        <s v="Реализация товаров и услуг УТ000032943 от 10.12.2020 12:24:17" u="1"/>
        <s v="Реализация товаров и услуг УТ000018868 от 12.08.2021 12:04:28" u="1"/>
        <s v="Реализация товаров и услуг УТ000004861 от 10.03.2021 9:33:30" u="1"/>
        <s v="Поступление товаров и услуг УТ000000322 от 07.12.2020 9:33:53" u="1"/>
        <s v="Реализация товаров и услуг УТ000008764 от 23.04.2021 12:36:46" u="1"/>
        <s v="Реализация товаров и услуг УТ000010408 от 12.05.2021 12:24:47" u="1"/>
        <s v="Отчет комиссионера о продажах УТ000000486 от 29.12.2020 11:30:04" u="1"/>
        <s v="Отчет комиссионера о продажах УТ000000001 от 12.01.2015 11:30:05" u="1"/>
        <s v="Поступление товаров и услуг УТ000000202 от 17.12.2018 14:42:05" u="1"/>
        <s v="Реализация товаров и услуг УТ000018874 от 12.08.2021 14:14:50" u="1"/>
        <s v="Поступление товаров и услуг УТ000000160 от 14.11.2018 12:22:22" u="1"/>
        <s v="Реализация товаров и услуг УТ000009143 от 27.04.2021 13:38:42" u="1"/>
        <s v="Реализация товаров и услуг УТ000034147 от 24.12.2020 13:42:33" u="1"/>
        <s v="Отчет комиссионера о продажах УТ000000174 от 06.09.2020 23:50:20" u="1"/>
        <s v="Реализация товаров и услуг УТ000006416 от 31.03.2021 16:35:27" u="1"/>
        <s v="Отчет комиссионера о продажах УТ000000059 от 27.01.2021 23:50:21" u="1"/>
        <s v="Отчет комиссионера о продажах УТ000000175 от 06.09.2020 23:50:21" u="1"/>
        <s v="Отчет комиссионера о продажах УТ000000444 от 10.12.2020 11:31:22" u="1"/>
        <s v="Отчет комиссионера о продажах УТ000000060 от 27.01.2021 23:50:22" u="1"/>
        <s v="Отчет комиссионера о продажах УТ000000176 от 06.09.2020 23:50:22" u="1"/>
        <s v="Реализация товаров и услуг УТ000027818 от 22.09.2020 22:10:31" u="1"/>
        <s v="Реализация товаров и услуг УТ000018830 от 03.08.2021 11:58:29" u="1"/>
        <s v="Реализация товаров и услуг УТ000002442 от 12.02.2021 12:42:57" u="1"/>
        <s v="Отчет комиссионера о продажах УТ000000177 от 06.09.2020 23:50:23" u="1"/>
        <s v="Отчет комиссионера о продажах УТ000000178 от 06.09.2020 23:50:24" u="1"/>
        <s v="Реализация товаров и услуг УТ000008771 от 23.04.2021 14:08:20" u="1"/>
        <s v="Отчет комиссионера о продажах УТ000000179 от 06.09.2020 23:50:25" u="1"/>
        <s v="Реализация товаров и услуг УТ000008559 от 21.04.2021 18:33:20" u="1"/>
        <s v="Отчет комиссионера о продажах УТ000000065 от 27.01.2021 23:50:26" u="1"/>
        <s v="Отчет комиссионера о продажах УТ000000180 от 06.09.2020 23:50:26" u="1"/>
        <s v="Реализация товаров и услуг УТ000004191 от 01.03.2021 18:21:41" u="1"/>
        <s v="Реализация товаров и услуг УТ000006400 от 31.03.2021 10:03:41" u="1"/>
        <s v="Отчет комиссионера о продажах УТ000000066 от 27.01.2021 23:50:27" u="1"/>
        <s v="Отчет комиссионера о продажах УТ000000181 от 06.09.2020 23:50:27" u="1"/>
        <s v="Поступление товаров и услуг УТ000000198 от 01.08.2019 0:09:55" u="1"/>
        <s v="Платежное поручение входящее УТ000000125 от 24.05.2021 23:50:03" u="1"/>
        <s v="Реализация товаров и услуг УТ000034683 от 28.12.2020 16:37:07" u="1"/>
        <s v="Отчет комиссионера о продажах УТ000000067 от 27.01.2021 23:50:28" u="1"/>
        <s v="Отчет комиссионера о продажах УТ000000182 от 06.09.2020 23:50:28" u="1"/>
        <s v="Реализация товаров и услуг УТ000025279 от 28.08.2020 16:25:28" u="1"/>
        <s v="Отчет комиссионера о продажах УТ000000183 от 06.09.2020 23:50:29" u="1"/>
        <s v="Документ расчетов с контрагентом (ручной учет) УТ000000093 от 31.12.2014 23:59:59" u="1"/>
        <s v="Реализация товаров и услуг УТ000032851 от 09.12.2020 16:05:39" u="1"/>
        <s v="Реализация товаров и услуг УТ000006415 от 31.03.2021 16:33:58" u="1"/>
        <s v="Отчет комиссионера о продажах УТ000000040 от 27.01.2021 23:50:03" u="1"/>
        <s v="Отчет комиссионера о продажах УТ000000041 от 27.01.2021 23:50:04" u="1"/>
        <s v="Реализация товаров и услуг УТ000006401 от 31.03.2021 10:05:11" u="1"/>
        <s v="Реализация товаров и услуг УТ000006986 от 07.04.2021 9:45:37" u="1"/>
        <s v="Реализация товаров и услуг УТ000010624 от 14.05.2021 10:01:12" u="1"/>
        <s v="Отчет комиссионера о продажах УТ000000042 от 27.01.2021 23:50:05" u="1"/>
        <s v="Реализация товаров и услуг УТ000028077 от 31.08.2021 10:33:30" u="1"/>
        <s v="Отчет комиссионера о продажах УТ000000043 от 27.01.2021 23:50:06" u="1"/>
        <s v="Платежное поручение входящее УТ000000113 от 24.08.2020 23:50:01" u="1"/>
        <s v="Платежное поручение входящее УТ000000183 от 27.07.2021 23:50:01" u="1"/>
        <s v="Отчет комиссионера о продажах УТ000000163 от 06.09.2020 23:50:09" u="1"/>
        <s v="Реализация товаров и услуг УТ000004004 от 26.02.2021 12:42:38" u="1"/>
        <s v="Реализация товаров и услуг УТ000004008 от 26.02.2021 12:50:48" u="1"/>
        <s v="Поступление товаров и услуг УТ000000283 от 23.12.2019 9:47:31" u="1"/>
        <s v="Реализация товаров и услуг УТ000007075 от 08.04.2021 14:24:21" u="1"/>
        <s v="Поступление товаров и услуг УТ000000149 от 27.12.2017 13:06:27" u="1"/>
        <s v="Реализация товаров и услуг УТ000012160 от 28.05.2021 10:15:41" u="1"/>
        <s v="Реализация товаров и услуг УТ000018872 от 12.08.2021 14:00:43" u="1"/>
        <s v="Реализация товаров и услуг УТ000011176 от 19.05.2021 13:04:26" u="1"/>
        <s v="Реализация товаров и услуг УТ000011816 от 25.05.2021 13:40:15" u="1"/>
        <s v="Реализация товаров и услуг УТ000029703 от 16.10.2020 16:37:08" u="1"/>
        <s v="Платежное поручение входящее БПБП0005108 от 19.08.2019 23:55:59" u="1"/>
        <s v="Отчет комиссионера о продажах УТ000000280 от 31.05.2021 15:11:03" u="1"/>
        <s v="Платежное поручение входящее БПБП0000525 от 20.02.2016 23:59:59" u="1"/>
        <s v="Платежное поручение входящее БПБП0001206 от 11.04.2016 23:59:59" u="1"/>
        <s v="Платежное поручение входящее БПБП0001818 от 17.05.2016 23:59:59" u="1"/>
        <s v="Платежное поручение входящее БПБП0002198 от 16.05.2018 23:59:59" u="1"/>
        <s v="Платежное поручение входящее БПБП0002654 от 08.07.2020 23:59:59" u="1"/>
        <s v="Платежное поручение входящее БПБП0002736 от 13.07.2020 23:59:59" u="1"/>
        <s v="Платежное поручение входящее БПБП0003001 от 27.07.2020 23:59:59" u="1"/>
        <s v="Платежное поручение входящее БПБП0003138 от 03.08.2020 23:59:59" u="1"/>
        <s v="Платежное поручение входящее БПБП0003296 от 10.08.2020 23:59:59" u="1"/>
        <s v="Платежное поручение входящее БПБП0003470 от 17.08.2020 23:59:59" u="1"/>
        <s v="Платежное поручение входящее БПБП0003621 от 24.08.2020 23:59:59" u="1"/>
        <s v="Платежное поручение входящее БПБП0003815 от 31.08.2020 23:59:59" u="1"/>
        <s v="Платежное поручение входящее БПБП0005463 от 03.09.2019 23:59:59" u="1"/>
        <s v="Платежное поручение входящее УТ000000090 от 20.07.2020 23:59:59" u="1"/>
        <s v="Платежное поручение входящее УТ000000093 от 27.07.2020 23:59:59" u="1"/>
        <s v="Платежное поручение входящее УТ000000112 от 31.08.2019 23:59:59" u="1"/>
        <s v="Реализация товаров и услуг УТ000004240 от 02.03.2021 8:37:49" u="1"/>
        <s v="Реализация товаров и услуг УТ000007663 от 14.04.2021 9:37:31" u="1"/>
        <s v="Платежное поручение входящее 00BF-001285 от 07.09.2020 23:18:25" u="1"/>
        <s v="Реализация товаров и услуг УТ000029698 от 16.10.2020 14:38:10" u="1"/>
        <s v="Реализация товаров и услуг УТ000016761 от 07.07.2021 10:33:11" u="1"/>
        <s v="Реализация товаров и услуг УТ000010511 от 13.05.2021 9:37:38" u="1"/>
        <s v="Поступление доп. расходов УТ000000067 от 01.03.2019 12:00:00" u="1"/>
        <s v="Поступление доп. расходов УТ000000187 от 25.07.2017 23:10:30" u="1"/>
        <s v="Поступление доп. расходов УТ000000068 от 01.03.2019 12:00:01" u="1"/>
        <s v="Реализация товаров и услуг УТ000024424 от 19.08.2021 17:27:15" u="1"/>
        <s v="Реализация товаров и услуг УТ000017224 от 12.07.2021 13:30:06" u="1"/>
        <s v="Поступление товаров и услуг УТ000000244 от 12.11.2019 11:50:40" u="1"/>
        <s v="Реализация товаров и услуг УТ000008542 от 21.04.2021 13:06:26" u="1"/>
        <s v="Реализация товаров и услуг УТ000013345 от 09.06.2021 10:41:51" u="1"/>
        <s v="Реализация товаров и услуг УТ000018873 от 12.08.2021 14:10:53" u="1"/>
        <s v="Поступление товаров и услуг УТ000000094 от 15.08.2017 15:02:43" u="1"/>
        <s v="Поступление товаров и услуг УТ000000052 от 01.03.2019 0:55:55" u="1"/>
        <s v="Реализация товаров и услуг УТ000002973 от 26.08.2019 9:29:40" u="1"/>
        <s v="Поступление доп. расходов УТ000000514 от 01.09.2019 23:50:38" u="1"/>
        <s v="Реализация товаров и услуг УТ000010622 от 14.05.2021 10:47:10" u="1"/>
        <s v="Поступление товаров и услуг УТ000000228 от 28.10.2019 9:47:42" u="1"/>
        <s v="Поступление товаров и услуг УТ000000018 от 01.01.2021 23:50:01" u="1"/>
        <s v="Поступление товаров и услуг УТ000000253 от 23.09.2020 23:50:01" u="1"/>
        <s v="Поступление товаров и услуг УТ000000265 от 09.10.2020 23:50:01" u="1"/>
        <s v="Поступление товаров и услуг УТ000000273 от 16.10.2020 23:50:01" u="1"/>
        <s v="Поступление товаров и услуг УТ000000308 от 11.11.2020 23:50:01" u="1"/>
        <s v="Поступление товаров и услуг УТ000000323 от 09.12.2020 23:50:01" u="1"/>
        <s v="Реализация товаров и услуг УТ000034673 от 28.12.2020 14:08:32" u="1"/>
        <s v="Поступление товаров и услуг УТ000000222 от 01.11.2019 0:01:09" u="1"/>
        <s v="Реализация товаров и услуг УТ000006279 от 30.03.2021 8:59:41" u="1"/>
        <s v="Реализация товаров и услуг УТ000009790 от 05.05.2021 10:23:42" u="1"/>
        <s v="Поступление товаров и услуг УТ000000007 от 25.01.2019 14:22:35" u="1"/>
        <s v="Поступление доп. расходов УТ000000484 от 07.10.2020 23:51:30" u="1"/>
        <s v="Поступление доп. расходов УТ000000234 от 22.08.2018 14:01:23" u="1"/>
        <s v="Реализация товаров и услуг УТ000033852 от 21.12.2020 17:41:16" u="1"/>
        <s v="Поступление товаров и услуг УТ000000009 от 04.01.2021 0:41:39" u="1"/>
        <s v="Реализация товаров и услуг УТ000005932 от 25.03.2021 13:28:45" u="1"/>
        <s v="Реализация товаров и услуг УТ000034150 от 24.12.2020 13:40:26" u="1"/>
        <s v="Реализация товаров и услуг УТ000004002 от 26.02.2021 12:36:09" u="1"/>
        <s v="Поступление товаров и услуг УТ000000050 от 01.03.2019 0:01:59" u="1"/>
        <s v="Реализация товаров и услуг УТ000002443 от 12.02.2021 12:44:09" u="1"/>
        <s v="Поступление доп. расходов УТ000000227 от 14.08.2017 23:11:36" u="1"/>
        <s v="Платежное поручение входящее УТ000000111 от 17.08.2020 23:56:55" u="1"/>
        <s v="Поступление доп. расходов УТ000000228 от 14.08.2017 23:11:37" u="1"/>
        <s v="Поступление доп. расходов УТ000000280 от 01.09.2018 23:51:35" u="1"/>
        <s v="Поступление доп. расходов УТ000000229 от 14.08.2017 23:11:38" u="1"/>
        <s v="Поступление доп. расходов УТ000000230 от 14.08.2017 23:11:39" u="1"/>
        <s v="Реализация товаров и услуг УТ000031334 от 13.11.2020 12:28:59" u="1"/>
        <s v="Реализация товаров и услуг УТ000033242 от 14.12.2020 19:03:30" u="1"/>
        <s v="Отчет комиссионера о продажах УТ000000445 от 10.12.2020 11:33:05" u="1"/>
        <s v="Реализация товаров и услуг УТ000018309 от 20.07.2021 10:09:22" u="1"/>
        <s v="Поступление товаров и услуг УТ000000255 от 23.09.2020 23:50:02" u="1"/>
        <s v="Поступление товаров и услуг УТ000000274 от 16.10.2020 23:50:02" u="1"/>
        <s v="Поступление товаров и услуг УТ000000028 от 01.01.2021 23:50:10" u="1"/>
        <s v="Поступление товаров и услуг УТ000000331 от 01.12.2020 23:50:10" u="1"/>
        <s v="Поступление товаров и услуг УТ000000333 от 14.12.2020 23:50:10" u="1"/>
        <s v="Реализация товаров и услуг УТ000009022 от 26.04.2021 10:13:23" u="1"/>
        <s v="Реализация товаров и услуг УТ000018871 от 12.08.2021 13:58:04" u="1"/>
        <s v="Реализация товаров и услуг УТ000033223 от 14.12.2020 13:26:06" u="1"/>
        <s v="Поступление доп. расходов УТ000000580 от 22.12.2020 23:52:30" u="1"/>
        <s v="Поступление товаров и услуг УТ000000208 от 26.12.2018 13:14:53" u="1"/>
        <s v="Поступление доп. расходов УТ000000581 от 22.12.2020 23:52:31" u="1"/>
        <s v="Поступление товаров и услуг УТ000000195 от 28.12.2018 16:06:54" u="1"/>
        <s v="Поступление товаров и услуг УТ000000066 от 01.06.2018 0:33:28" u="1"/>
        <s v="Отчет комиссионера о продажах УТ000000348 от 31.07.2021 17:02:06" u="1"/>
        <s v="Реализация товаров и услуг УТ000006887 от 06.04.2021 11:11:20" u="1"/>
        <s v="Поступление товаров и услуг УТ000000256 от 23.09.2020 23:50:03" u="1"/>
        <s v="Поступление товаров и услуг УТ000000029 от 01.01.2021 23:50:11" u="1"/>
        <s v="Поступление товаров и услуг УТ000000332 от 01.12.2020 23:50:11" u="1"/>
        <s v="Реализация товаров и услуг УТ000005787 от 23.03.2021 14:20:14" u="1"/>
        <s v="Поступление товаров и услуг УТ000000155 от 18.07.2019 13:02:38" u="1"/>
        <s v="Поступление доп. расходов УТ000000414 от 28.12.2018 14:43:20" u="1"/>
        <s v="Поступление товаров и услуг УТ000000289 от 01.11.2020 17:50:27" u="1"/>
        <s v="Поступление доп. расходов УТ000000059 от 09.02.2019 23:53:30" u="1"/>
        <s v="Реализация товаров и услуг УТ000007928 от 16.04.2021 10:31:43" u="1"/>
        <s v="Поступление доп. расходов УТ000000060 от 09.02.2019 23:53:31" u="1"/>
        <s v="Реализация товаров и услуг УТ000018446 от 21.07.2021 13:44:26" u="1"/>
        <s v="Поступление доп. расходов УТ000000210 от 01.05.2019 23:53:32" u="1"/>
        <s v="Отчет комиссионера о продажах УТ000000315 от 30.06.2021 21:33:09" u="1"/>
        <s v="Поступление доп. расходов УТ000000212 от 01.05.2019 23:53:34" u="1"/>
        <s v="Реализация товаров и услуг УТ000007089 от 08.04.2021 17:21:58" u="1"/>
        <s v="Поступление доп. расходов УТ000000216 от 01.05.2019 23:53:38" u="1"/>
        <s v="Отчет комиссионера о продажах УТ000000318 от 30.06.2021 21:34:24" u="1"/>
        <s v="Отчет комиссионера о продажах УТ000000239 от 30.04.2021 18:53:35" u="1"/>
        <s v="Реализация товаров и услуг УТ000013585 от 11.06.2021 10:13:04" u="1"/>
        <s v="Отчет комиссионера о продажах УТ000000188 от 30.03.2021 18:13:38" u="1"/>
        <s v="Поступление доп. расходов УТ000000190 от 20.11.2016 23:04:30" u="1"/>
        <s v="Поступление товаров и услуг УТ000000245 от 12.11.2019 11:50:52" u="1"/>
        <s v="Поступление товаров и услуг УТ000000062 от 17.12.2015 19:58:46" u="1"/>
        <s v="Реализация товаров и услуг УТ000005985 от 26.03.2021 13:38:36" u="1"/>
        <s v="Реализация товаров и услуг УТ000002408 от 08.02.2021 13:54:46" u="1"/>
        <s v="Реализация товаров и услуг УТ000005170 от 15.03.2021 10:59:01" u="1"/>
        <s v="Реализация товаров и услуг УТ000005261 от 16.03.2021 10:07:04" u="1"/>
        <s v="Поступление товаров и услуг УТ000000327 от 01.12.2020 23:50:05" u="1"/>
        <s v="Поступление товаров и услуг УТ000000034 от 01.01.2021 23:50:13" u="1"/>
        <s v="Поступление товаров и услуг УТ000000122 от 01.05.2020 16:03:00" u="1"/>
        <s v="Реализация товаров и услуг УТ000012069 от 27.05.2021 18:45:23" u="1"/>
        <s v="Поступление доп. расходов УТ000000188 от 01.05.2020 16:04:00" u="1"/>
        <s v="Реализация товаров и услуг УТ000005262 от 16.03.2021 10:07:34" u="1"/>
        <s v="Реализация товаров и услуг УТ000005736 от 22.03.2021 10:55:32" u="1"/>
        <s v="Реализация товаров и услуг УТ000007934 от 16.04.2021 10:39:42" u="1"/>
        <s v="Поступление доп. расходов УТ000000189 от 01.05.2020 16:04:01" u="1"/>
        <s v="Поступление товаров и услуг УТ000000218 от 01.09.2020 15:38:56" u="1"/>
        <s v="Поступление доп. расходов УТ000000346 от 15.08.2020 23:55:30" u="1"/>
        <s v="Реализация товаров и услуг УТ000027207 от 16.09.2020 13:16:28" u="1"/>
        <s v="Поступление доп. расходов УТ000000395 от 01.08.2019 0:00:59" u="1"/>
        <s v="Поступление доп. расходов УТ000000008 от 23.01.2021 23:55:32" u="1"/>
        <s v="Реализация товаров и услуг УТ000013352 от 09.06.2021 13:36:47" u="1"/>
        <s v="Поступление доп. расходов УТ000000009 от 23.01.2021 23:55:33" u="1"/>
        <s v="Реализация товаров и услуг УТ000005935 от 25.03.2021 13:36:57" u="1"/>
        <s v="Поступление доп. расходов УТ000000010 от 23.01.2021 23:55:34" u="1"/>
        <s v="Поступление доп. расходов УТ000000054 от 08.02.2020 23:55:35" u="1"/>
        <s v="Поступление доп. расходов УТ000000055 от 08.02.2020 23:55:36" u="1"/>
        <s v="Поступление доп. расходов УТ000000056 от 08.02.2020 23:55:37" u="1"/>
        <s v="Поступление доп. расходов УТ000000184 от 30.04.2020 15:55:11" u="1"/>
        <s v="Поступление доп. расходов УТ000000571 от 05.12.2020 23:55:39" u="1"/>
        <s v="Отчет комиссионера о продажах УТ000000016 от 31.10.2014 15:24:05" u="1"/>
        <s v="Поступление товаров и услуг УТ000000102 от 01.07.2018 23:50:06" u="1"/>
        <s v="Реализация товаров и услуг УТ000018307 от 20.07.2021 10:05:05" u="1"/>
        <s v="Реализация товаров и услуг УТ000017226 от 12.07.2021 13:42:08" u="1"/>
        <s v="Поступление доп. расходов УТ000000352 от 01.12.2018 23:56:31" u="1"/>
        <s v="Поступление доп. расходов УТ000000066 от 01.03.2019 0:00:55" u="1"/>
        <s v="Поступление доп. расходов УТ000000353 от 01.12.2018 23:56:32" u="1"/>
        <s v="Поступление доп. расходов УТ000000354 от 01.12.2018 23:56:33" u="1"/>
        <s v="Поступление доп. расходов УТ000000355 от 01.12.2018 23:56:34" u="1"/>
        <s v="Отчет комиссионера о продажах УТ000000123 от 27.02.2021 23:55:21" u="1"/>
        <s v="Поступление доп. расходов УТ000000356 от 01.12.2018 23:56:35" u="1"/>
        <s v="Поступление доп. расходов УТ000000357 от 01.12.2018 23:56:36" u="1"/>
        <s v="Отчет комиссионера о продажах УТ000000124 от 27.02.2021 23:55:22" u="1"/>
        <s v="Поступление доп. расходов УТ000000369 от 01.12.2018 23:56:37" u="1"/>
        <s v="Поступление доп. расходов УТ000000021 от 01.02.2018 15:46:12" u="1"/>
        <s v="Реализация товаров и услуг УТ000028459 от 02.09.2021 10:59:12" u="1"/>
        <s v="Отчет комиссионера о продажах УТ000000111 от 27.02.2021 0:00:00" u="1"/>
        <s v="Отчет комиссионера о продажах УТ000000112 от 27.02.2021 0:00:00" u="1"/>
        <s v="Реализация товаров и услуг УТ000027193 от 26.08.2021 10:55:23" u="1"/>
        <s v="Реализация товаров и услуг УТ000009789 от 05.05.2021 10:23:25" u="1"/>
        <s v="Отчет комиссионера о продажах УТ000000002 от 19.02.2015 15:16:40" u="1"/>
        <s v="Отчет комиссионера о продажах УТ000000003 от 03.03.2015 15:15:28" u="1"/>
        <s v="Отчет комиссионера о продажах УТ000000129 от 27.02.2021 23:55:27" u="1"/>
        <s v="Реализация товаров и услуг УТ000017225 от 12.07.2021 13:36:38" u="1"/>
        <s v="Отчет комиссионера о продажах УТ000000130 от 27.02.2021 23:55:28" u="1"/>
        <s v="Реализация товаров и услуг УТ000028987 от 03.10.2020 11:53:10" u="1"/>
        <s v="Поступление доп. расходов УТ000000132 от 27.05.2017 23:57:39" u="1"/>
        <s v="Реализация товаров и услуг УТ000028470 от 02.09.2021 15:22:22" u="1"/>
        <s v="Реализация товаров и услуг УТ000014901 от 22.06.2021 11:45:30" u="1"/>
        <s v="Поступление товаров и услуг УТ000000217 от 01.09.2020 14:46:58" u="1"/>
        <s v="Реализация товаров и услуг УТ000008535 от 21.04.2021 10:49:43" u="1"/>
        <s v="Реализация товаров и услуг УТ000013353 от 09.06.2021 13:38:08" u="1"/>
        <s v="Реализация товаров и услуг УТ000005782 от 23.03.2021 9:30:41" u="1"/>
        <s v="Отчет комиссионера о продажах УТ000000281 от 31.05.2021 15:15:08" u="1"/>
        <s v="Реализация товаров и услуг УТ000007662 от 14.04.2021 10:33:55" u="1"/>
        <s v="Реализация товаров и услуг УТ000018846 от 05.08.2021 13:50:49" u="1"/>
        <s v="Поступление доп. расходов УТ000000684 от 08.12.2019 23:58:39" u="1"/>
        <s v="Поступление товаров и услуг УТ000000119 от 26.09.2017 15:23:11" u="1"/>
        <s v="Поступление товаров и услуг УТ000000227 от 28.10.2019 9:47:36" u="1"/>
        <s v="Реализация товаров и услуг УТ000006287 от 30.03.2021 10:15:16" u="1"/>
        <s v="Реализация товаров и услуг УТ000007930 от 16.04.2021 10:35:25" u="1"/>
        <s v="Реализация товаров и услуг УТ000013356 от 09.06.2021 13:44:19" u="1"/>
        <s v="Отчет комиссионера о продажах УТ000000178 от 30.03.2021 15:07:42" u="1"/>
        <s v="Отчет комиссионера о продажах УТ000000462 от 23.12.2020 17:46:20" u="1"/>
        <s v="Отчет комиссионера о продажах УТ000000197 от 30.03.2021 15:07:43" u="1"/>
        <s v="Отчет комиссионера о продажах УТ000000179 от 30.03.2021 15:26:02" u="1"/>
        <s v="Реализация товаров и услуг УТ000010512 от 13.05.2021 9:40:07" u="1"/>
        <s v="Отчет комиссионера о продажах УТ000000198 от 30.03.2021 15:26:03" u="1"/>
        <s v="Поступление товаров и услуг УТ000000007 от 01.01.2020 0:00:00" u="1"/>
        <s v="Поступление товаров и услуг УТ000000008 от 01.01.2020 0:00:00" u="1"/>
        <s v="Поступление товаров и услуг УТ000000009 от 01.01.2020 0:00:00" u="1"/>
        <s v="Поступление товаров и услуг УТ000000010 от 01.01.2020 0:00:00" u="1"/>
        <s v="Поступление товаров и услуг УТ000000011 от 01.01.2020 0:00:00" u="1"/>
        <s v="Поступление товаров и услуг УТ000000012 от 01.01.2020 0:00:00" u="1"/>
        <s v="Поступление товаров и услуг УТ000000014 от 01.01.2020 0:00:00" u="1"/>
        <s v="Поступление товаров и услуг УТ000000016 от 01.01.2020 0:00:00" u="1"/>
        <s v="Поступление товаров и услуг УТ000000019 от 01.02.2020 0:00:00" u="1"/>
        <s v="Поступление товаров и услуг УТ000000020 от 24.01.2020 0:00:00" u="1"/>
        <s v="Поступление товаров и услуг УТ000000021 от 01.02.2020 0:00:00" u="1"/>
        <s v="Поступление товаров и услуг УТ000000023 от 01.01.2020 0:00:00" u="1"/>
        <s v="Поступление товаров и услуг УТ000000028 от 01.03.2020 0:00:00" u="1"/>
        <s v="Поступление товаров и услуг УТ000000029 от 01.01.2020 0:00:00" u="1"/>
        <s v="Поступление товаров и услуг УТ000000030 от 01.01.2020 0:00:00" u="1"/>
        <s v="Поступление товаров и услуг УТ000000031 от 01.01.2020 0:00:00" u="1"/>
        <s v="Поступление товаров и услуг УТ000000032 от 01.01.2020 0:00:00" u="1"/>
        <s v="Поступление товаров и услуг УТ000000034 от 01.02.2020 0:00:00" u="1"/>
        <s v="Поступление товаров и услуг УТ000000039 от 04.02.2020 0:00:00" u="1"/>
        <s v="Поступление товаров и услуг УТ000000040 от 04.02.2020 0:00:00" u="1"/>
        <s v="Поступление товаров и услуг УТ000000041 от 04.02.2020 0:00:00" u="1"/>
        <s v="Поступление товаров и услуг УТ000000042 от 04.02.2020 0:00:00" u="1"/>
        <s v="Поступление товаров и услуг УТ000000043 от 04.02.2020 0:00:00" u="1"/>
        <s v="Поступление товаров и услуг УТ000000044 от 04.02.2020 0:00:00" u="1"/>
        <s v="Поступление товаров и услуг УТ000000045 от 04.02.2020 0:00:00" u="1"/>
        <s v="Поступление товаров и услуг УТ000000046 от 04.02.2020 0:00:00" u="1"/>
        <s v="Поступление товаров и услуг УТ000000047 от 04.02.2020 0:00:00" u="1"/>
        <s v="Поступление товаров и услуг УТ000000048 от 04.02.2020 0:00:00" u="1"/>
        <s v="Поступление товаров и услуг УТ000000049 от 07.02.2020 0:00:00" u="1"/>
        <s v="Поступление товаров и услуг УТ000000050 от 07.02.2020 0:00:00" u="1"/>
        <s v="Поступление товаров и услуг УТ000000051 от 07.02.2020 0:00:00" u="1"/>
        <s v="Поступление товаров и услуг УТ000000052 от 07.02.2020 0:00:00" u="1"/>
        <s v="Поступление товаров и услуг УТ000000053 от 07.02.2020 0:00:00" u="1"/>
        <s v="Поступление товаров и услуг УТ000000055 от 01.02.2020 0:00:00" u="1"/>
        <s v="Поступление товаров и услуг УТ000000056 от 01.02.2020 0:00:00" u="1"/>
        <s v="Поступление товаров и услуг УТ000000057 от 01.02.2020 0:00:00" u="1"/>
        <s v="Поступление товаров и услуг УТ000000058 от 01.02.2020 0:00:00" u="1"/>
        <s v="Поступление товаров и услуг УТ000000059 от 14.02.2020 0:00:00" u="1"/>
        <s v="Поступление товаров и услуг УТ000000060 от 01.02.2020 0:00:00" u="1"/>
        <s v="Поступление товаров и услуг УТ000000061 от 01.02.2020 0:00:00" u="1"/>
        <s v="Поступление товаров и услуг УТ000000062 от 04.02.2020 0:00:00" u="1"/>
        <s v="Поступление товаров и услуг УТ000000063 от 04.02.2020 0:00:00" u="1"/>
        <s v="Поступление товаров и услуг УТ000000064 от 04.02.2020 0:00:00" u="1"/>
        <s v="Поступление товаров и услуг УТ000000065 от 01.03.2020 0:00:00" u="1"/>
        <s v="Поступление товаров и услуг УТ000000066 от 01.03.2020 0:00:00" u="1"/>
        <s v="Поступление товаров и услуг УТ000000067 от 01.03.2020 0:00:00" u="1"/>
        <s v="Поступление товаров и услуг УТ000000068 от 01.03.2020 0:00:00" u="1"/>
        <s v="Поступление товаров и услуг УТ000000069 от 01.03.2020 0:00:00" u="1"/>
        <s v="Поступление товаров и услуг УТ000000070 от 01.03.2020 0:00:00" u="1"/>
        <s v="Поступление товаров и услуг УТ000000071 от 01.03.2020 0:00:00" u="1"/>
        <s v="Поступление товаров и услуг УТ000000072 от 01.02.2020 0:00:00" u="1"/>
        <s v="Поступление товаров и услуг УТ000000073 от 01.03.2020 0:00:00" u="1"/>
        <s v="Поступление товаров и услуг УТ000000074 от 01.03.2020 0:00:00" u="1"/>
        <s v="Поступление товаров и услуг УТ000000076 от 01.03.2020 0:00:00" u="1"/>
        <s v="Поступление товаров и услуг УТ000000077 от 01.03.2020 0:00:00" u="1"/>
        <s v="Поступление товаров и услуг УТ000000078 от 20.03.2020 0:00:00" u="1"/>
        <s v="Поступление товаров и услуг УТ000000081 от 01.04.2020 0:00:00" u="1"/>
        <s v="Поступление товаров и услуг УТ000000082 от 01.04.2020 0:00:00" u="1"/>
        <s v="Поступление товаров и услуг УТ000000083 от 01.04.2020 0:00:00" u="1"/>
        <s v="Поступление товаров и услуг УТ000000084 от 01.04.2020 0:00:00" u="1"/>
        <s v="Поступление товаров и услуг УТ000000085 от 01.04.2020 0:00:00" u="1"/>
        <s v="Поступление товаров и услуг УТ000000086 от 10.04.2020 0:00:00" u="1"/>
        <s v="Поступление товаров и услуг УТ000000087 от 10.04.2020 0:00:00" u="1"/>
        <s v="Поступление товаров и услуг УТ000000094 от 01.05.2020 0:00:00" u="1"/>
        <s v="Поступление товаров и услуг УТ000000095 от 01.04.2020 0:00:00" u="1"/>
        <s v="Поступление товаров и услуг УТ000000102 от 11.05.2020 0:00:00" u="1"/>
        <s v="Поступление товаров и услуг УТ000000103 от 11.05.2020 0:00:00" u="1"/>
        <s v="Поступление товаров и услуг УТ000000104 от 11.05.2020 0:00:00" u="1"/>
        <s v="Поступление товаров и услуг УТ000000105 от 11.05.2020 0:00:00" u="1"/>
        <s v="Поступление товаров и услуг УТ000000106 от 11.05.2020 0:00:00" u="1"/>
        <s v="Поступление товаров и услуг УТ000000114 от 16.05.2020 0:00:00" u="1"/>
        <s v="Поступление товаров и услуг УТ000000115 от 16.05.2020 0:00:00" u="1"/>
        <s v="Поступление товаров и услуг УТ000000116 от 16.05.2020 0:00:00" u="1"/>
        <s v="Поступление товаров и услуг УТ000000117 от 16.05.2020 0:00:00" u="1"/>
        <s v="Поступление товаров и услуг УТ000000118 от 16.05.2020 0:00:00" u="1"/>
        <s v="Поступление товаров и услуг УТ000000119 от 16.05.2020 0:00:00" u="1"/>
        <s v="Поступление товаров и услуг УТ000000120 от 17.05.2020 0:00:00" u="1"/>
        <s v="Поступление товаров и услуг УТ000000121 от 20.05.2020 0:00:00" u="1"/>
        <s v="Поступление товаров и услуг УТ000000123 от 01.05.2020 0:00:00" u="1"/>
        <s v="Поступление товаров и услуг УТ000000130 от 03.06.2020 0:00:00" u="1"/>
        <s v="Поступление товаров и услуг УТ000000133 от 05.06.2020 0:00:00" u="1"/>
        <s v="Поступление товаров и услуг УТ000000134 от 05.06.2020 0:00:00" u="1"/>
        <s v="Поступление товаров и услуг УТ000000135 от 17.06.2020 0:00:00" u="1"/>
        <s v="Поступление товаров и услуг УТ000000140 от 01.08.2020 0:00:00" u="1"/>
        <s v="Поступление товаров и услуг УТ000000152 от 11.07.2020 0:00:00" u="1"/>
        <s v="Поступление товаров и услуг УТ000000153 от 11.07.2020 0:00:00" u="1"/>
        <s v="Поступление товаров и услуг УТ000000154 от 11.07.2020 0:00:00" u="1"/>
        <s v="Поступление товаров и услуг УТ000000161 от 17.07.2020 0:00:00" u="1"/>
        <s v="Поступление товаров и услуг УТ000000162 от 18.07.2020 0:00:00" u="1"/>
        <s v="Поступление товаров и услуг УТ000000163 от 18.07.2020 0:00:00" u="1"/>
        <s v="Поступление товаров и услуг УТ000000164 от 18.07.2020 0:00:00" u="1"/>
        <s v="Поступление товаров и услуг УТ000000165 от 01.08.2020 0:00:00" u="1"/>
        <s v="Поступление товаров и услуг УТ000000166 от 18.07.2020 0:00:00" u="1"/>
        <s v="Поступление товаров и услуг УТ000000167 от 01.08.2020 0:00:00" u="1"/>
        <s v="Поступление товаров и услуг УТ000000168 от 01.08.2020 0:00:00" u="1"/>
        <s v="Поступление товаров и услуг УТ000000169 от 01.08.2020 0:00:00" u="1"/>
        <s v="Поступление товаров и услуг УТ000000170 от 01.08.2020 0:00:00" u="1"/>
        <s v="Поступление товаров и услуг УТ000000171 от 07.08.2020 0:00:00" u="1"/>
        <s v="Поступление товаров и услуг УТ000000172 от 01.08.2020 0:00:00" u="1"/>
        <s v="Поступление товаров и услуг УТ000000173 от 01.08.2020 0:00:00" u="1"/>
        <s v="Поступление товаров и услуг УТ000000174 от 01.08.2020 0:00:00" u="1"/>
        <s v="Поступление товаров и услуг УТ000000175 от 01.08.2020 0:00:00" u="1"/>
        <s v="Поступление товаров и услуг УТ000000176 от 01.08.2020 0:00:00" u="1"/>
        <s v="Поступление товаров и услуг УТ000000177 от 01.08.2020 0:00:00" u="1"/>
        <s v="Поступление товаров и услуг УТ000000179 от 01.08.2020 0:00:00" u="1"/>
        <s v="Поступление товаров и услуг УТ000000180 от 01.08.2020 0:00:00" u="1"/>
        <s v="Поступление товаров и услуг УТ000000181 от 01.08.2020 0:00:00" u="1"/>
        <s v="Поступление товаров и услуг УТ000000182 от 01.08.2020 0:00:00" u="1"/>
        <s v="Поступление товаров и услуг УТ000000183 от 01.08.2020 0:00:00" u="1"/>
        <s v="Поступление товаров и услуг УТ000000184 от 01.08.2020 0:00:00" u="1"/>
        <s v="Поступление товаров и услуг УТ000000185 от 01.08.2020 0:00:00" u="1"/>
        <s v="Поступление товаров и услуг УТ000000186 от 01.08.2020 0:00:00" u="1"/>
        <s v="Поступление товаров и услуг УТ000000187 от 01.08.2020 0:00:00" u="1"/>
        <s v="Поступление товаров и услуг УТ000000188 от 01.08.2020 0:00:00" u="1"/>
        <s v="Поступление товаров и услуг УТ000000189 от 13.08.2020 0:00:00" u="1"/>
        <s v="Поступление товаров и услуг УТ000000190 от 07.08.2020 0:00:00" u="1"/>
        <s v="Поступление товаров и услуг УТ000000193 от 16.08.2020 0:00:00" u="1"/>
        <s v="Поступление товаров и услуг УТ000000194 от 16.08.2020 0:00:00" u="1"/>
        <s v="Поступление товаров и услуг УТ000000195 от 16.08.2020 0:00:00" u="1"/>
        <s v="Поступление товаров и услуг УТ000000196 от 16.08.2020 0:00:00" u="1"/>
        <s v="Поступление товаров и услуг УТ000000197 от 16.08.2020 0:00:00" u="1"/>
        <s v="Поступление товаров и услуг УТ000000198 от 01.09.2020 0:00:00" u="1"/>
        <s v="Поступление товаров и услуг УТ000000199 от 01.08.2020 0:00:00" u="1"/>
        <s v="Поступление товаров и услуг УТ000000207 от 07.08.2020 0:00:00" u="1"/>
        <s v="Поступление товаров и услуг УТ000000210 от 16.08.2020 0:00:00" u="1"/>
        <s v="Поступление товаров и услуг УТ000000212 от 01.09.2020 0:00:00" u="1"/>
        <s v="Поступление товаров и услуг УТ000000213 от 01.09.2020 0:00:00" u="1"/>
        <s v="Поступление товаров и услуг УТ000000214 от 01.09.2020 0:00:00" u="1"/>
        <s v="Поступление товаров и услуг УТ000000235 от 02.09.2020 0:00:00" u="1"/>
        <s v="Поступление товаров и услуг УТ000000244 от 01.09.2020 0:00:00" u="1"/>
        <s v="Поступление товаров и услуг УТ000000270 от 02.10.2020 0:00:00" u="1"/>
        <s v="Поступление товаров и услуг УТ000000283 от 25.10.2020 0:00:00" u="1"/>
        <s v="Поступление товаров и услуг УТ000000292 от 06.11.2020 0:00:00" u="1"/>
        <s v="Поступление товаров и услуг УТ000000293 от 08.11.2020 0:00:00" u="1"/>
        <s v="Поступление товаров и услуг УТ000000298 от 06.11.2020 0:00:00" u="1"/>
        <s v="Поступление товаров и услуг УТ000000300 от 06.11.2020 0:00:00" u="1"/>
        <s v="Поступление товаров и услуг УТ000000303 от 06.11.2020 0:00:00" u="1"/>
        <s v="Поступление товаров и услуг УТ000000313 от 01.11.2020 0:00:00" u="1"/>
        <s v="Поступление товаров и услуг УТ000000320 от 02.12.2020 0:00:00" u="1"/>
        <s v="Поступление товаров и услуг УТ000000321 от 07.12.2020 0:00:00" u="1"/>
        <s v="Поступление товаров и услуг УТ000000324 от 07.12.2020 0:00:00" u="1"/>
        <s v="Поступление товаров и услуг УТ000000325 от 12.12.2020 0:00:00" u="1"/>
        <s v="Реализация товаров и услуг УТ000010517 от 13.05.2021 11:17:12" u="1"/>
        <s v="Отчет комиссионера о продажах УТ000000185 от 30.03.2021 17:56:23" u="1"/>
        <s v="Поступление товаров и услуг УТ000000141 от 01.07.2020 17:15:05" u="1"/>
        <s v="Реализация товаров и услуг УТ000005737 от 22.03.2021 10:57:04" u="1"/>
        <s v="Реализация товаров и услуг УТ000028271 от 01.09.2021 10:57:04" u="1"/>
        <s v="Реализация товаров и услуг УТ000033309 от 15.12.2020 18:35:26" u="1"/>
        <s v="Реализация товаров и услуг УТ000007932 от 16.04.2021 10:37:35" u="1"/>
        <s v="Поступление доп. расходов УТ000000095 от 01.04.2017 18:39:20" u="1"/>
        <s v="Поступление товаров и услуг УТ000000010 от 01.01.2021 0:00:00" u="1"/>
        <s v="Поступление товаров и услуг УТ000000014 от 01.01.2021 0:00:00" u="1"/>
        <s v="Поступление товаров и услуг УТ000000015 от 01.01.2021 0:00:00" u="1"/>
        <s v="Поступление товаров и услуг УТ000000016 от 01.01.2021 0:00:00" u="1"/>
        <s v="Поступление товаров и услуг УТ000000017 от 08.01.2021 0:00:00" u="1"/>
        <s v="Реализация товаров и услуг УТ000005483 от 19.03.2021 9:31:01" u="1"/>
        <s v="Реализация товаров и услуг УТ000008413 от 20.04.2021 9:31:01" u="1"/>
        <s v="Поступление доп. расходов УТ000000096 от 01.04.2017 18:39:21" u="1"/>
        <s v="Поступление доп. расходов УТ000000098 от 01.04.2017 18:39:22" u="1"/>
        <s v="Реализация товаров и услуг УТ000006280 от 30.03.2021 9:01:09" u="1"/>
        <s v="Поступление товаров и услуг УТ000000100 от 01.05.2020 15:39:06" u="1"/>
        <s v="Реализация товаров и услуг УТ000026905 от 11.09.2020 14:24:17" u="1"/>
        <s v="Реализация товаров и услуг УТ000000055 от 15.01.2021 10:43:26" u="1"/>
        <s v="Реализация товаров и услуг УТ000013346 от 09.06.2021 10:43:26" u="1"/>
        <s v="Реализация товаров и услуг УТ000008276 от 19.04.2021 9:23:41" u="1"/>
        <s v="Реализация товаров и услуг УТ000001661 от 26.01.2021 14:56:45" u="1"/>
        <s v="Реализация товаров и услуг УТ000009791 от 05.05.2021 9:23:42" u="1"/>
        <s v="Поступление товаров и услуг УТ000000032 от 01.01.2021 10:19:08" u="1"/>
        <s v="Отчет комиссионера о продажах УТ000000186 от 30.03.2021 17:57:22" u="1"/>
        <s v="Поступление товаров и услуг УТ000000037 от 01.02.2020 0:00:01" u="1"/>
        <s v="Реализация товаров и услуг УТ000015286 от 25.06.2021 12:01:31" u="1"/>
        <s v="Реализация товаров и услуг УТ000029118 от 08.10.2020 11:53:02" u="1"/>
        <s v="Реализация товаров и услуг УТ000014899 от 22.06.2021 11:33:23" u="1"/>
        <s v="Реализация товаров и услуг УТ000028460 от 02.09.2021 11:01:25" u="1"/>
        <s v="Реализация товаров и услуг УТ000018888 от 16.08.2021 10:37:06" u="1"/>
        <s v="Платежное поручение входящее УТ000000144 от 07.06.2021 23:25:19" u="1"/>
        <s v="Реализация товаров и услуг УТ000005354 от 17.03.2021 9:34:41" u="1"/>
        <s v="Поступление товаров и услуг УТ000000011 от 01.01.2021 0:00:01" u="1"/>
        <s v="Реализация товаров и услуг УТ000009136 от 27.04.2021 10:41:37" u="1"/>
        <s v="Реализация товаров и услуг УТ000018848 от 05.08.2021 14:02:49" u="1"/>
        <s v="Отчет комиссионера о продажах УТ000000317 от 30.06.2021 21:38:00" u="1"/>
        <s v="Отчет комиссионера о продажах УТ000000384 от 31.08.2021 15:38:22" u="1"/>
        <s v="Поступление товаров и услуг УТ000000042 от 02.04.2018 10:19:25" u="1"/>
        <s v="Поступление товаров и услуг УТ000000161 от 14.11.2018 12:27:16" u="1"/>
        <s v="Поступление товаров и услуг УТ000000215 от 01.09.2020 10:51:13" u="1"/>
        <s v="Реализация товаров и услуг УТ000009793 от 05.05.2021 9:54:48" u="1"/>
        <s v="Поступление товаров и услуг УТ000000024 от 25.01.2021 15:03:08" u="1"/>
        <s v="Реализация товаров и услуг УТ000032937 от 10.12.2020 12:03:41" u="1"/>
        <s v="Поступление товаров и услуг УТ000000291 от 01.11.2020 17:55:14" u="1"/>
        <s v="Поступление товаров и услуг УТ000000101 от 28.08.2017 13:23:31" u="1"/>
        <s v="Реализация товаров и услуг УТ000015284 от 25.06.2021 11:31:24" u="1"/>
        <s v="Реализация товаров и услуг УТ000003835 от 24.02.2021 14:36:07" u="1"/>
        <s v="Реализация товаров и услуг УТ000002391 от 05.02.2021 14:32:08" u="1"/>
        <s v="Отчет комиссионера о продажах УТ000000246 от 30.04.2021 19:08:40" u="1"/>
        <s v="Реализация товаров и услуг УТ000009137 от 27.04.2021 10:43:17" u="1"/>
        <s v="Реализация товаров и услуг УТ000003917 от 25.02.2021 14:04:49" u="1"/>
        <s v="Поступление доп. расходов УТ000000012 от 10.02.2017 0:00:00" u="1"/>
        <s v="Поступление доп. расходов УТ000000170 от 22.07.2017 0:00:00" u="1"/>
        <s v="Поступление доп. расходов УТ000000171 от 22.07.2017 0:00:00" u="1"/>
        <s v="Поступление доп. расходов УТ000000172 от 22.07.2017 0:00:00" u="1"/>
        <s v="Поступление доп. расходов УТ000000235 от 23.08.2017 0:00:00" u="1"/>
        <s v="Поступление доп. расходов УТ000000236 от 23.08.2017 0:00:00" u="1"/>
        <s v="Поступление доп. расходов УТ000000237 от 23.08.2017 0:00:00" u="1"/>
        <s v="Поступление доп. расходов УТ000000238 от 23.08.2017 0:00:00" u="1"/>
        <s v="Поступление доп. расходов УТ000000239 от 23.08.2017 0:00:00" u="1"/>
        <s v="Поступление доп. расходов УТ000000240 от 23.08.2017 0:00:00" u="1"/>
        <s v="Реализация товаров и услуг УТ000007803 от 15.04.2021 9:44:03" u="1"/>
        <s v="Поступление товаров и услуг УТ000000028 от 01.04.2017 0:00:30" u="1"/>
        <s v="Поступление товаров и услуг УТ000000076 от 24.07.2017 0:00:30" u="1"/>
        <s v="Поступление товаров и услуг УТ000000087 от 04.08.2017 0:00:30" u="1"/>
        <s v="Поступление товаров и услуг УТ000000144 от 19.12.2017 0:00:30" u="1"/>
        <s v="Реализация товаров и услуг УТ000008277 от 19.04.2021 9:25:45" u="1"/>
        <s v="Реализация товаров и услуг УТ000009788 от 05.05.2021 9:14:06" u="1"/>
        <s v="Реализация товаров и услуг УТ000009454 от 30.04.2021 9:45:46" u="1"/>
        <s v="Отчет комиссионера о продажах УТ000000347 от 31.07.2021 16:59:52" u="1"/>
        <s v="Поступление товаров и услуг УТ000000109 от 11.09.2017 14:35:08" u="1"/>
        <s v="Поступление товаров и услуг УТ000000036 от 01.02.2020 0:00:02" u="1"/>
        <s v="Поступление товаров и услуг УТ000000200 от 07.12.2018 0:00:00" u="1"/>
        <s v="Отчет комиссионера о продажах УТ000000240 от 30.04.2021 18:18:35" u="1"/>
        <s v="Поступление товаров и услуг УТ000000112 от 24.07.2018 0:00:10" u="1"/>
        <s v="Отчет комиссионера о продажах УТ000000187 от 30.03.2021 17:58:23" u="1"/>
        <s v="Поступление доп. расходов УТ000000393 от 17.12.2018 9:51:45" u="1"/>
        <s v="Поступление товаров и услуг УТ000000091 от 02.07.2018 0:00:20" u="1"/>
        <s v="Поступление товаров и услуг УТ000000107 от 16.07.2018 0:00:20" u="1"/>
        <s v="Поступление товаров и услуг УТ000000188 от 03.12.2018 0:00:20" u="1"/>
        <s v="Поступление товаров и услуг УТ000000198 от 06.12.2018 0:00:20" u="1"/>
        <s v="Поступление товаров и услуг УТ000000210 от 05.12.2018 0:00:20" u="1"/>
        <s v="Реализация товаров и услуг УТ000004807 от 23.03.2020 12:13:51" u="1"/>
        <s v="Реализация товаров и услуг УТ000015162 от 24.06.2021 11:01:16" u="1"/>
        <s v="Поступление товаров и услуг УТ000000002 от 16.01.2018 0:00:30" u="1"/>
        <s v="Поступление товаров и услуг УТ000000031 от 01.03.2018 0:00:30" u="1"/>
        <s v="Поступление товаров и услуг УТ000000072 от 04.06.2018 0:00:30" u="1"/>
        <s v="Поступление товаров и услуг УТ000000092 от 02.07.2018 0:00:30" u="1"/>
        <s v="Поступление товаров и услуг УТ000000114 от 24.07.2018 0:00:30" u="1"/>
        <s v="Поступление товаров и услуг УТ000000141 от 06.09.2018 0:00:30" u="1"/>
        <s v="Поступление товаров и услуг УТ000000148 от 09.10.2018 0:00:30" u="1"/>
        <s v="Поступление товаров и услуг УТ000000175 от 16.11.2018 0:00:30" u="1"/>
        <s v="Поступление товаров и услуг УТ000000181 от 01.12.2018 0:00:30" u="1"/>
        <s v="Поступление товаров и услуг УТ000000127 от 10.08.2018 0:00:40" u="1"/>
        <s v="Поступление товаров и услуг УТ000000143 от 06.09.2018 0:00:40" u="1"/>
        <s v="Реализация товаров и услуг УТ000002412 от 08.02.2021 18:07:19" u="1"/>
        <s v="Поступление товаров и услуг УТ000000194 от 01.12.2018 0:00:50" u="1"/>
        <s v="Поступление товаров и услуг УТ000000012 от 01.01.2021 0:00:02" u="1"/>
        <s v="Поступление товаров и услуг УТ000000130 от 06.06.2019 0:00:00" u="1"/>
        <s v="Поступление товаров и услуг УТ000000186 от 20.08.2019 0:00:00" u="1"/>
        <s v="Поступление товаров и услуг УТ000000246 от 02.11.2019 0:00:00" u="1"/>
        <s v="Поступление товаров и услуг УТ000000247 от 02.11.2019 0:00:00" u="1"/>
        <s v="Поступление товаров и услуг УТ000000248 от 02.11.2019 0:00:00" u="1"/>
        <s v="Поступление товаров и услуг УТ000000249 от 18.11.2019 0:00:00" u="1"/>
        <s v="Поступление товаров и услуг УТ000000267 от 13.12.2019 0:00:00" u="1"/>
        <s v="Поступление товаров и услуг УТ000000268 от 06.12.2019 0:00:00" u="1"/>
        <s v="Поступление товаров и услуг УТ000000280 от 13.12.2019 0:00:00" u="1"/>
        <s v="Поступление товаров и услуг УТ000000281 от 13.12.2019 0:00:00" u="1"/>
        <s v="Поступление товаров и услуг УТ000000033 от 01.02.2019 0:00:10" u="1"/>
        <s v="Поступление товаров и услуг УТ000000043 от 01.03.2019 0:00:10" u="1"/>
        <s v="Поступление товаров и услуг УТ000000062 от 15.03.2019 0:00:10" u="1"/>
        <s v="Поступление товаров и услуг УТ000000158 от 01.08.2019 0:00:10" u="1"/>
        <s v="Поступление товаров и услуг УТ000000166 от 01.08.2019 0:00:10" u="1"/>
        <s v="Поступление товаров и услуг УТ000000167 от 01.09.2019 0:00:10" u="1"/>
        <s v="Поступление товаров и услуг УТ000000190 от 01.09.2019 0:00:10" u="1"/>
        <s v="Поступление товаров и услуг УТ000000197 от 01.09.2019 0:00:10" u="1"/>
        <s v="Поступление товаров и услуг УТ000000206 от 01.10.2019 0:00:10" u="1"/>
        <s v="Поступление товаров и услуг УТ000000064 от 15.03.2019 0:00:20" u="1"/>
        <s v="Поступление товаров и услуг УТ000000109 от 03.05.2019 0:00:20" u="1"/>
        <s v="Поступление товаров и услуг УТ000000119 от 01.06.2019 0:00:20" u="1"/>
        <s v="Поступление товаров и услуг УТ000000149 от 01.08.2019 0:00:20" u="1"/>
        <s v="Поступление товаров и услуг УТ000000172 от 13.08.2019 0:00:20" u="1"/>
        <s v="Поступление товаров и услуг УТ000000191 от 01.08.2019 0:00:20" u="1"/>
        <s v="Поступление товаров и услуг УТ000000215 от 01.10.2019 0:00:20" u="1"/>
        <s v="Поступление товаров и услуг УТ000000226 от 01.10.2019 0:00:20" u="1"/>
        <s v="Поступление товаров и услуг УТ000000237 от 01.11.2019 0:00:20" u="1"/>
        <s v="Поступление товаров и услуг УТ000000251 от 19.11.2019 0:00:20" u="1"/>
        <s v="Поступление товаров и услуг УТ000000258 от 01.12.2019 0:00:20" u="1"/>
        <s v="Поступление товаров и услуг УТ000000259 от 01.12.2019 0:00:20" u="1"/>
        <s v="Поступление товаров и услуг УТ000000271 от 01.12.2019 0:00:20" u="1"/>
        <s v="Реализация товаров и услуг УТ000007929 от 16.04.2021 10:33:58" u="1"/>
        <s v="Поступление товаров и услуг УТ000000065 от 15.03.2019 0:00:30" u="1"/>
        <s v="Поступление товаров и услуг УТ000000126 от 14.06.2019 0:00:30" u="1"/>
        <s v="Поступление товаров и услуг УТ000000133 от 19.06.2019 0:00:30" u="1"/>
        <s v="Поступление товаров и услуг УТ000000174 от 13.08.2019 0:00:30" u="1"/>
        <s v="Поступление товаров и услуг УТ000000182 от 01.08.2019 0:00:30" u="1"/>
        <s v="Поступление товаров и услуг УТ000000193 от 01.09.2019 0:00:30" u="1"/>
        <s v="Поступление товаров и услуг УТ000000253 от 19.11.2019 0:00:30" u="1"/>
        <s v="Поступление товаров и услуг УТ000000265 от 04.12.2019 0:00:30" u="1"/>
        <s v="Поступление товаров и услуг УТ000000266 от 06.12.2019 0:00:30" u="1"/>
        <s v="Реализация товаров и услуг УТ000005981 от 26.03.2021 9:16:46" u="1"/>
        <s v="Поступление товаров и услуг УТ000000100 от 10.05.2019 0:00:40" u="1"/>
        <s v="Поступление товаров и услуг УТ000000176 от 13.08.2019 0:00:40" u="1"/>
        <s v="Поступление товаров и услуг УТ000000196 от 01.09.2019 0:00:40" u="1"/>
        <s v="Поступление товаров и услуг УТ000000212 от 01.10.2019 0:00:40" u="1"/>
        <s v="Поступление товаров и услуг УТ000000219 от 01.10.2019 0:00:40" u="1"/>
        <s v="Поступление товаров и услуг УТ000000255 от 19.11.2019 0:00:40" u="1"/>
        <s v="Поступление товаров и услуг УТ000000129 от 01.06.2019 0:00:50" u="1"/>
        <s v="Поступление товаров и услуг УТ000000178 от 13.08.2019 0:00:50" u="1"/>
        <s v="Поступление товаров и услуг УТ000000220 от 01.10.2019 0:00:50" u="1"/>
        <s v="Реализация товаров и услуг УТ000009967 от 07.05.2021 12:19:20" u="1"/>
        <s v="Поступление товаров и услуг УТ000000108 от 11.09.2017 13:59:17" u="1"/>
        <s v="Отчет комиссионера о продажах УТ000000243 от 30.04.2021 18:58:12" u="1"/>
        <s v="Реализация товаров и услуг УТ000007175 от 09.04.2021 11:55:03" u="1"/>
        <s v="Реализация товаров и услуг УТ000003836 от 24.02.2021 15:12:16" u="1"/>
        <s v="Поступление товаров и услуг УТ000000288 от 01.11.2020 17:19:35" u="1"/>
        <s v="Платежное поручение входящее 00BF-002030 от 07.10.2020 23:22:37" u="1"/>
        <s v="Реализация товаров и услуг УТ000022818 от 17.08.2021 11:27:34" u="1"/>
        <s v="Платежное поручение входящее 00BF-001690 от 23.09.2020 23:02:26" u="1"/>
        <s v="Реализация товаров и услуг УТ000027192 от 26.08.2021 10:59:16" u="1"/>
        <s v="Реализация товаров и услуг УТ000028986 от 03.10.2020 11:51:34" u="1"/>
        <s v="Реализация товаров и услуг УТ000008661 от 22.04.2021 10:43:28" u="1"/>
        <s v="Реализация товаров и услуг УТ000014033 от 15.06.2021 14:16:39" u="1"/>
        <s v="Поступление товаров и услуг УТ000000169 от 01.08.2019 0:10:10" u="1"/>
        <s v="Реализация товаров и услуг УТ000005089 от 29.10.2019 9:37:14" u="1"/>
        <s v="Поступление товаров и услуг УТ000000051 от 01.03.2019 0:02:50" u="1"/>
        <s v="Поступление товаров и услуг УТ000000128 от 10.08.2018 0:00:01" u="1"/>
        <s v="Реализация товаров и услуг УТ000031591 от 19.11.2020 15:58:13" u="1"/>
        <s v="Поступление товаров и услуг УТ000000043 от 02.04.2018 16:35:26" u="1"/>
        <s v="Реализация товаров и услуг УТ000004867 от 10.03.2021 11:49:23" u="1"/>
        <s v="Реализация товаров и услуг УТ000019970 от 17.07.2020 19:55:24" u="1"/>
        <s v="Реализация товаров и услуг УТ000018835 от 04.08.2021 11:09:35" u="1"/>
        <s v="Реализация товаров и услуг УТ000018867 от 12.08.2021 11:57:33" u="1"/>
        <s v="Реализация товаров и услуг УТ000030730 от 30.10.2020 15:54:34" u="1"/>
        <s v="Поступление товаров и услуг УТ000000189 от 01.12.2018 0:00:41" u="1"/>
        <s v="Реализация товаров и услуг УТ000006888 от 06.04.2021 11:13:46" u="1"/>
        <s v="Реализация товаров и услуг УТ000028988 от 03.10.2020 11:53:54" u="1"/>
        <s v="Поступление доп. расходов УТ000000533 от 01.09.2019 23:50:45" u="1"/>
        <s v="Реализация товаров и услуг УТ000005260 от 16.03.2021 10:41:29" u="1"/>
        <s v="Реализация товаров и услуг УТ000033232 от 14.12.2020 14:18:49" u="1"/>
        <s v="Поступление товаров и услуг УТ000000013 от 01.01.2021 0:00:03" u="1"/>
        <s v="Поступление товаров и услуг УТ000000029 от 01.02.2019 0:00:01" u="1"/>
        <s v="Поступление товаров и услуг УТ000000087 от 01.05.2019 0:00:01" u="1"/>
        <s v="Поступление товаров и услуг УТ000000032 от 01.02.2019 0:00:11" u="1"/>
        <s v="Поступление товаров и услуг УТ000000204 от 01.09.2019 0:00:11" u="1"/>
        <s v="Поступление товаров и услуг УТ000000211 от 01.10.2019 0:00:11" u="1"/>
        <s v="Поступление доп. расходов УТ000000537 от 01.09.2019 23:50:49" u="1"/>
        <s v="Реализация товаров и услуг УТ000004995 от 12.03.2021 9:18:45" u="1"/>
        <s v="Реализация товаров и услуг УТ000010410 от 12.05.2021 12:55:00" u="1"/>
        <s v="Реализация товаров и услуг УТ000031485 от 17.11.2020 12:23:12" u="1"/>
        <s v="Поступление доп. расходов УТ000000231 от 14.08.2017 23:11:40" u="1"/>
        <s v="Поступление доп. расходов УТ000000232 от 14.08.2017 23:11:41" u="1"/>
        <s v="Поступление товаров и услуг УТ000000132 от 01.06.2020 23:58:59" u="1"/>
        <s v="Поступление доп. расходов УТ000000233 от 14.08.2017 23:11:42" u="1"/>
        <s v="Реализация товаров и услуг УТ000006889 от 06.04.2021 11:15:16" u="1"/>
        <s v="Поступление доп. расходов УТ000000296 от 24.11.2017 23:50:00" u="1"/>
        <s v="Поступление доп. расходов УТ000000234 от 14.08.2017 23:11:43" u="1"/>
        <s v="Реализация товаров и услуг УТ000016222 от 02.07.2021 11:39:34" u="1"/>
        <s v="Поступление доп. расходов УТ000000008 от 18.01.2019 23:50:01" u="1"/>
        <s v="Поступление доп. расходов УТ000000008 от 19.01.2020 23:50:01" u="1"/>
        <s v="Поступление доп. расходов УТ000000011 от 13.01.2021 23:50:01" u="1"/>
        <s v="Поступление доп. расходов УТ000000017 от 21.01.2021 23:50:01" u="1"/>
        <s v="Поступление доп. расходов УТ000000020 от 26.01.2020 23:50:01" u="1"/>
        <s v="Поступление доп. расходов УТ000000029 от 11.02.2019 23:50:01" u="1"/>
        <s v="Поступление доп. расходов УТ000000034 от 10.02.2018 23:50:01" u="1"/>
        <s v="Поступление доп. расходов УТ000000050 от 16.02.2020 23:50:01" u="1"/>
        <s v="Поступление доп. расходов УТ000000052 от 25.02.2018 23:50:01" u="1"/>
        <s v="Поступление доп. расходов УТ000000056 от 04.03.2018 23:50:01" u="1"/>
        <s v="Поступление доп. расходов УТ000000066 от 09.03.2018 23:50:01" u="1"/>
        <s v="Поступление доп. расходов УТ000000089 от 01.05.2018 23:50:01" u="1"/>
        <s v="Поступление доп. расходов УТ000000119 от 01.03.2020 23:50:01" u="1"/>
        <s v="Поступление доп. расходов УТ000000148 от 15.03.2020 23:50:01" u="1"/>
        <s v="Поступление доп. расходов УТ000000160 от 24.06.2018 23:50:01" u="1"/>
        <s v="Поступление доп. расходов УТ000000166 от 01.07.2018 23:50:01" u="1"/>
        <s v="Поступление доп. расходов УТ000000181 от 02.05.2019 23:50:01" u="1"/>
        <s v="Поступление доп. расходов УТ000000193 от 05.05.2019 23:50:01" u="1"/>
        <s v="Поступление доп. расходов УТ000000193 от 15.07.2018 23:50:01" u="1"/>
        <s v="Поступление доп. расходов УТ000000232 от 15.08.2018 23:50:01" u="1"/>
        <s v="Поступление доп. расходов УТ000000267 от 06.06.2020 23:50:01" u="1"/>
        <s v="Поступление доп. расходов УТ000000279 от 01.06.2019 23:50:01" u="1"/>
        <s v="Поступление доп. расходов УТ000000292 от 05.07.2020 23:50:01" u="1"/>
        <s v="Поступление доп. расходов УТ000000297 от 24.11.2017 23:50:01" u="1"/>
        <s v="Поступление доп. расходов УТ000000298 от 03.07.2020 23:50:01" u="1"/>
        <s v="Поступление доп. расходов УТ000000308 от 04.07.2020 23:50:01" u="1"/>
        <s v="Поступление доп. расходов УТ000000318 от 16.06.2019 23:50:01" u="1"/>
        <s v="Поступление доп. расходов УТ000000324 от 26.07.2020 23:50:01" u="1"/>
        <s v="Поступление доп. расходов УТ000000447 от 12.09.2020 23:50:01" u="1"/>
        <s v="Поступление доп. расходов УТ000000453 от 19.09.2020 23:50:01" u="1"/>
        <s v="Поступление доп. расходов УТ000000499 от 27.10.2020 23:50:01" u="1"/>
        <s v="Поступление доп. расходов УТ000000503 от 20.10.2020 23:50:01" u="1"/>
        <s v="Поступление доп. расходов УТ000000515 от 28.10.2020 23:50:01" u="1"/>
        <s v="Поступление доп. расходов УТ000000541 от 08.11.2020 23:50:01" u="1"/>
        <s v="Поступление доп. расходов УТ000000561 от 03.11.2020 23:50:01" u="1"/>
        <s v="Поступление доп. расходов УТ000000569 от 01.12.2020 23:50:01" u="1"/>
        <s v="Поступление доп. расходов УТ000000579 от 10.12.2020 23:50:01" u="1"/>
        <s v="Поступление доп. расходов УТ000000584 от 17.12.2020 23:50:01" u="1"/>
        <s v="Поступление доп. расходов УТ000000009 от 18.01.2019 23:50:02" u="1"/>
        <s v="Поступление доп. расходов УТ000000009 от 19.01.2020 23:50:02" u="1"/>
        <s v="Поступление доп. расходов УТ000000012 от 13.01.2021 23:50:02" u="1"/>
        <s v="Поступление доп. расходов УТ000000013 от 18.01.2021 23:50:02" u="1"/>
        <s v="Поступление доп. расходов УТ000000018 от 21.01.2021 23:50:02" u="1"/>
        <s v="Поступление доп. расходов УТ000000021 от 26.01.2020 23:50:02" u="1"/>
        <s v="Поступление доп. расходов УТ000000027 от 26.01.2021 23:50:02" u="1"/>
        <s v="Поступление доп. расходов УТ000000030 от 11.02.2019 23:50:02" u="1"/>
        <s v="Поступление доп. расходов УТ000000035 от 10.02.2018 23:50:02" u="1"/>
        <s v="Поступление доп. расходов УТ000000051 от 16.02.2020 23:50:02" u="1"/>
        <s v="Поступление доп. расходов УТ000000053 от 25.02.2018 23:50:02" u="1"/>
        <s v="Поступление доп. расходов УТ000000057 от 04.03.2018 23:50:02" u="1"/>
        <s v="Поступление доп. расходов УТ000000067 от 09.03.2018 23:50:02" u="1"/>
        <s v="Поступление доп. расходов УТ000000090 от 01.05.2018 23:50:02" u="1"/>
        <s v="Поступление доп. расходов УТ000000120 от 01.03.2020 23:50:02" u="1"/>
        <s v="Поступление доп. расходов УТ000000149 от 15.03.2020 23:50:02" u="1"/>
        <s v="Поступление доп. расходов УТ000000161 от 24.06.2018 23:50:02" u="1"/>
        <s v="Поступление доп. расходов УТ000000169 от 01.07.2018 23:50:02" u="1"/>
        <s v="Поступление доп. расходов УТ000000182 от 02.05.2019 23:50:02" u="1"/>
        <s v="Поступление доп. расходов УТ000000194 от 05.05.2019 23:50:02" u="1"/>
        <s v="Поступление доп. расходов УТ000000194 от 15.07.2018 23:50:02" u="1"/>
        <s v="Поступление доп. расходов УТ000000233 от 15.08.2018 23:50:02" u="1"/>
        <s v="Поступление доп. расходов УТ000000268 от 06.06.2020 23:50:02" u="1"/>
        <s v="Поступление доп. расходов УТ000000285 от 01.06.2019 23:50:02" u="1"/>
        <s v="Поступление доп. расходов УТ000000293 от 05.07.2020 23:50:02" u="1"/>
        <s v="Поступление доп. расходов УТ000000298 от 24.11.2017 23:50:02" u="1"/>
        <s v="Поступление доп. расходов УТ000000299 от 03.07.2020 23:50:02" u="1"/>
        <s v="Поступление доп. расходов УТ000000309 от 04.07.2020 23:50:02" u="1"/>
        <s v="Поступление доп. расходов УТ000000325 от 26.07.2020 23:50:02" u="1"/>
        <s v="Поступление доп. расходов УТ000000390 от 09.12.2018 23:50:02" u="1"/>
        <s v="Поступление доп. расходов УТ000000448 от 12.09.2020 23:50:02" u="1"/>
        <s v="Поступление доп. расходов УТ000000454 от 19.09.2020 23:50:02" u="1"/>
        <s v="Поступление доп. расходов УТ000000476 от 01.09.2019 23:50:02" u="1"/>
        <s v="Поступление доп. расходов УТ000000500 от 27.10.2020 23:50:02" u="1"/>
        <s v="Поступление доп. расходов УТ000000504 от 20.10.2020 23:50:02" u="1"/>
        <s v="Поступление доп. расходов УТ000000516 от 28.10.2020 23:50:02" u="1"/>
        <s v="Поступление доп. расходов УТ000000519 от 10.11.2020 23:50:02" u="1"/>
        <s v="Поступление доп. расходов УТ000000542 от 08.11.2020 23:50:02" u="1"/>
        <s v="Поступление доп. расходов УТ000000543 от 11.11.2020 23:50:02" u="1"/>
        <s v="Поступление доп. расходов УТ000000562 от 03.11.2020 23:50:02" u="1"/>
        <s v="Поступление доп. расходов УТ000000570 от 01.12.2020 23:50:02" u="1"/>
        <s v="Поступление доп. расходов УТ000000577 от 09.12.2020 23:50:02" u="1"/>
        <s v="Поступление доп. расходов УТ000000585 от 17.12.2020 23:50:02" u="1"/>
        <s v="Поступление товаров и услуг УТ000000290 от 01.11.2020 17:55:50" u="1"/>
        <s v="Поступление доп. расходов УТ000000014 от 18.01.2021 23:50:03" u="1"/>
        <s v="Поступление доп. расходов УТ000000019 от 21.01.2021 23:50:03" u="1"/>
        <s v="Поступление доп. расходов УТ000000022 от 26.01.2020 23:50:03" u="1"/>
        <s v="Поступление доп. расходов УТ000000028 от 26.01.2021 23:50:03" u="1"/>
        <s v="Поступление доп. расходов УТ000000036 от 10.02.2018 23:50:03" u="1"/>
        <s v="Поступление доп. расходов УТ000000054 от 25.02.2018 23:50:03" u="1"/>
        <s v="Поступление доп. расходов УТ000000058 от 04.03.2018 23:50:03" u="1"/>
        <s v="Поступление доп. расходов УТ000000068 от 09.03.2018 23:50:03" u="1"/>
        <s v="Поступление доп. расходов УТ000000083 от 03.03.2019 23:50:03" u="1"/>
        <s v="Поступление доп. расходов УТ000000091 от 01.05.2018 23:50:03" u="1"/>
        <s v="Поступление доп. расходов УТ000000121 от 01.03.2020 23:50:03" u="1"/>
        <s v="Поступление доп. расходов УТ000000150 от 15.03.2020 23:50:03" u="1"/>
        <s v="Поступление доп. расходов УТ000000170 от 01.07.2018 23:50:03" u="1"/>
        <s v="Поступление доп. расходов УТ000000183 от 02.05.2019 23:50:03" u="1"/>
        <s v="Поступление доп. расходов УТ000000195 от 15.07.2018 23:50:03" u="1"/>
        <s v="Поступление доп. расходов УТ000000272 от 06.06.2020 23:50:03" u="1"/>
        <s v="Поступление доп. расходов УТ000000286 от 01.06.2019 23:50:03" u="1"/>
        <s v="Поступление доп. расходов УТ000000299 от 24.11.2017 23:50:03" u="1"/>
        <s v="Поступление доп. расходов УТ000000310 от 05.07.2020 23:50:03" u="1"/>
        <s v="Поступление доп. расходов УТ000000326 от 26.07.2020 23:50:03" u="1"/>
        <s v="Поступление доп. расходов УТ000000382 от 24.08.2020 23:50:03" u="1"/>
        <s v="Поступление доп. расходов УТ000000455 от 19.09.2020 23:50:03" u="1"/>
        <s v="Поступление доп. расходов УТ000000505 от 20.10.2020 23:50:03" u="1"/>
        <s v="Поступление доп. расходов УТ000000520 от 10.11.2020 23:50:03" u="1"/>
        <s v="Поступление доп. расходов УТ000000544 от 11.11.2020 23:50:03" u="1"/>
        <s v="Поступление доп. расходов УТ000000563 от 03.11.2020 23:50:03" u="1"/>
        <s v="Поступление доп. расходов УТ000000573 от 01.12.2020 23:50:03" u="1"/>
        <s v="Поступление доп. расходов УТ000000578 от 09.12.2020 23:50:03" u="1"/>
        <s v="Поступление доп. расходов УТ000000586 от 17.12.2020 23:50:03" u="1"/>
        <s v="Поступление доп. расходов УТ000000001 от 11.01.2021 23:50:04" u="1"/>
        <s v="Поступление доп. расходов УТ000000015 от 18.01.2021 23:50:04" u="1"/>
        <s v="Поступление доп. расходов УТ000000020 от 21.01.2021 23:50:04" u="1"/>
        <s v="Поступление доп. расходов УТ000000023 от 26.01.2020 23:50:04" u="1"/>
        <s v="Поступление доп. расходов УТ000000029 от 26.01.2021 23:50:04" u="1"/>
        <s v="Поступление доп. расходов УТ000000037 от 10.02.2018 23:50:04" u="1"/>
        <s v="Поступление доп. расходов УТ000000055 от 25.02.2018 23:50:04" u="1"/>
        <s v="Поступление доп. расходов УТ000000059 от 04.03.2018 23:50:04" u="1"/>
        <s v="Поступление доп. расходов УТ000000069 от 09.03.2018 23:50:04" u="1"/>
        <s v="Поступление доп. расходов УТ000000092 от 01.05.2018 23:50:04" u="1"/>
        <s v="Поступление доп. расходов УТ000000122 от 01.03.2020 23:50:04" u="1"/>
        <s v="Поступление доп. расходов УТ000000151 от 15.03.2020 23:50:04" u="1"/>
        <s v="Поступление доп. расходов УТ000000171 от 01.07.2018 23:50:04" u="1"/>
        <s v="Поступление доп. расходов УТ000000184 от 02.05.2019 23:50:04" u="1"/>
        <s v="Поступление доп. расходов УТ000000196 от 15.07.2018 23:50:04" u="1"/>
        <s v="Поступление доп. расходов УТ000000273 от 06.06.2020 23:50:04" u="1"/>
        <s v="Поступление доп. расходов УТ000000287 от 01.06.2019 23:50:04" u="1"/>
        <s v="Поступление доп. расходов УТ000000300 от 24.11.2017 23:50:04" u="1"/>
        <s v="Поступление доп. расходов УТ000000311 от 05.07.2020 23:50:04" u="1"/>
        <s v="Поступление доп. расходов УТ000000327 от 26.07.2020 23:50:04" u="1"/>
        <s v="Поступление доп. расходов УТ000000383 от 24.08.2020 23:50:04" u="1"/>
        <s v="Поступление доп. расходов УТ000000456 от 19.09.2020 23:50:04" u="1"/>
        <s v="Поступление доп. расходов УТ000000469 от 23.09.2020 23:50:04" u="1"/>
        <s v="Поступление доп. расходов УТ000000506 от 20.10.2020 23:50:04" u="1"/>
        <s v="Поступление доп. расходов УТ000000545 от 11.11.2020 23:50:04" u="1"/>
        <s v="Поступление доп. расходов УТ000000564 от 03.11.2020 23:50:04" u="1"/>
        <s v="Поступление доп. расходов УТ000000574 от 01.12.2020 23:50:04" u="1"/>
        <s v="Поступление доп. расходов УТ000000587 от 17.12.2020 23:50:04" u="1"/>
        <s v="Поступление доп. расходов УТ000000002 от 11.01.2021 23:50:05" u="1"/>
        <s v="Поступление доп. расходов УТ000000016 от 18.01.2021 23:50:05" u="1"/>
        <s v="Поступление доп. расходов УТ000000023 от 21.01.2021 23:50:05" u="1"/>
        <s v="Поступление доп. расходов УТ000000024 от 26.01.2020 23:50:05" u="1"/>
        <s v="Поступление доп. расходов УТ000000030 от 26.01.2021 23:50:05" u="1"/>
        <s v="Поступление доп. расходов УТ000000060 от 04.03.2018 23:50:05" u="1"/>
        <s v="Поступление доп. расходов УТ000000070 от 09.03.2018 23:50:05" u="1"/>
        <s v="Поступление доп. расходов УТ000000093 от 01.05.2018 23:50:05" u="1"/>
        <s v="Поступление доп. расходов УТ000000123 от 01.03.2020 23:50:05" u="1"/>
        <s v="Поступление доп. расходов УТ000000172 от 01.07.2018 23:50:05" u="1"/>
        <s v="Поступление доп. расходов УТ000000185 от 02.05.2019 23:50:05" u="1"/>
        <s v="Поступление доп. расходов УТ000000301 от 24.11.2017 23:50:05" u="1"/>
        <s v="Поступление доп. расходов УТ000000312 от 05.07.2020 23:50:05" u="1"/>
        <s v="Поступление доп. расходов УТ000000328 от 26.07.2020 23:50:05" u="1"/>
        <s v="Поступление доп. расходов УТ000000457 от 19.09.2020 23:50:05" u="1"/>
        <s v="Поступление доп. расходов УТ000000470 от 23.09.2020 23:50:05" u="1"/>
        <s v="Поступление доп. расходов УТ000000507 от 20.10.2020 23:50:05" u="1"/>
        <s v="Поступление доп. расходов УТ000000546 от 11.11.2020 23:50:05" u="1"/>
        <s v="Поступление доп. расходов УТ000000565 от 03.11.2020 23:50:05" u="1"/>
        <s v="Поступление доп. расходов УТ000000112 от 07.05.2018 0:00:00" u="1"/>
        <s v="Поступление доп. расходов УТ000000215 от 01.08.2018 0:00:00" u="1"/>
        <s v="Поступление доп. расходов УТ000000003 от 01.01.2021 23:50:06" u="1"/>
        <s v="Поступление доп. расходов УТ000000024 от 21.01.2021 23:50:06" u="1"/>
        <s v="Поступление доп. расходов УТ000000025 от 26.01.2020 23:50:06" u="1"/>
        <s v="Поступление доп. расходов УТ000000031 от 26.01.2021 23:50:06" u="1"/>
        <s v="Поступление доп. расходов УТ000000061 от 04.03.2018 23:50:06" u="1"/>
        <s v="Поступление доп. расходов УТ000000071 от 09.03.2018 23:50:06" u="1"/>
        <s v="Поступление доп. расходов УТ000000086 от 03.03.2019 23:50:06" u="1"/>
        <s v="Поступление доп. расходов УТ000000094 от 01.05.2018 23:50:06" u="1"/>
        <s v="Поступление доп. расходов УТ000000124 от 01.03.2020 23:50:06" u="1"/>
        <s v="Поступление доп. расходов УТ000000186 от 02.05.2019 23:50:06" u="1"/>
        <s v="Поступление доп. расходов УТ000000313 от 05.07.2020 23:50:06" u="1"/>
        <s v="Поступление доп. расходов УТ000000329 от 26.07.2020 23:50:06" u="1"/>
        <s v="Поступление доп. расходов УТ000000458 от 19.09.2020 23:50:06" u="1"/>
        <s v="Поступление доп. расходов УТ000000480 от 01.09.2019 23:50:06" u="1"/>
        <s v="Поступление доп. расходов УТ000000508 от 20.10.2020 23:50:06" u="1"/>
        <s v="Поступление доп. расходов УТ000000547 от 11.11.2020 23:50:06" u="1"/>
        <s v="Поступление доп. расходов УТ000000566 от 03.11.2020 23:50:06" u="1"/>
        <s v="Поступление доп. расходов УТ000000033 от 24.02.2017 23:51:47" u="1"/>
        <s v="Поступление доп. расходов УТ000000004 от 01.01.2021 23:50:07" u="1"/>
        <s v="Поступление доп. расходов УТ000000025 от 21.01.2021 23:50:07" u="1"/>
        <s v="Поступление доп. расходов УТ000000032 от 26.01.2021 23:50:07" u="1"/>
        <s v="Поступление доп. расходов УТ000000062 от 04.03.2018 23:50:07" u="1"/>
        <s v="Поступление доп. расходов УТ000000095 от 01.05.2018 23:50:07" u="1"/>
        <s v="Поступление доп. расходов УТ000000125 от 01.03.2020 23:50:07" u="1"/>
        <s v="Поступление доп. расходов УТ000000203 от 02.05.2019 23:50:07" u="1"/>
        <s v="Поступление доп. расходов УТ000000481 от 01.09.2019 23:50:07" u="1"/>
        <s v="Поступление доп. расходов УТ000000509 от 20.10.2020 23:50:07" u="1"/>
        <s v="Поступление доп. расходов УТ000000548 от 11.11.2020 23:50:07" u="1"/>
        <s v="Поступление товаров и услуг УТ000000140 от 01.07.2019 0:30:10" u="1"/>
        <s v="Поступление доп. расходов УТ000000015 от 26.01.2018 23:51:48" u="1"/>
        <s v="Поступление доп. расходов УТ000000034 от 24.02.2017 23:51:48" u="1"/>
        <s v="Поступление доп. расходов УТ000000005 от 01.01.2021 23:50:08" u="1"/>
        <s v="Поступление доп. расходов УТ000000026 от 21.01.2021 23:50:08" u="1"/>
        <s v="Поступление доп. расходов УТ000000033 от 26.01.2021 23:50:08" u="1"/>
        <s v="Поступление доп. расходов УТ000000063 от 04.03.2018 23:50:08" u="1"/>
        <s v="Поступление доп. расходов УТ000000096 от 01.05.2018 23:50:08" u="1"/>
        <s v="Поступление доп. расходов УТ000000126 от 01.03.2020 23:50:08" u="1"/>
        <s v="Поступление доп. расходов УТ000000201 от 05.05.2019 23:50:08" u="1"/>
        <s v="Поступление доп. расходов УТ000000204 от 02.05.2019 23:50:08" u="1"/>
        <s v="Поступление доп. расходов УТ000000510 от 20.10.2020 23:50:08" u="1"/>
        <s v="Поступление доп. расходов УТ000000549 от 11.11.2020 23:50:08" u="1"/>
        <s v="Поступление товаров и услуг УТ000000148 от 01.07.2019 0:30:20" u="1"/>
        <s v="Поступление доп. расходов УТ000000016 от 26.01.2018 23:51:49" u="1"/>
        <s v="Поступление доп. расходов УТ000000035 от 24.02.2017 23:51:49" u="1"/>
        <s v="Реализация товаров и услуг УТ000009795 от 05.05.2021 9:58:02" u="1"/>
        <s v="Поступление доп. расходов УТ000000006 от 01.01.2021 23:50:09" u="1"/>
        <s v="Поступление доп. расходов УТ000000034 от 26.01.2021 23:50:09" u="1"/>
        <s v="Поступление доп. расходов УТ000000064 от 04.03.2018 23:50:09" u="1"/>
        <s v="Поступление доп. расходов УТ000000097 от 01.05.2018 23:50:09" u="1"/>
        <s v="Поступление доп. расходов УТ000000202 от 05.05.2019 23:50:09" u="1"/>
        <s v="Поступление доп. расходов УТ000000205 от 02.05.2019 23:50:09" u="1"/>
        <s v="Поступление доп. расходов УТ000000513 от 20.10.2020 23:50:09" u="1"/>
        <s v="Поступление доп. расходов УТ000000550 от 11.11.2020 23:50:09" u="1"/>
        <s v="Поступление товаров и услуг УТ000000151 от 01.07.2019 0:30:30" u="1"/>
        <s v="Реализация товаров и услуг УТ000001656 от 26.01.2021 12:29:01" u="1"/>
        <s v="Поступление товаров и услуг УТ000000100 от 11.08.2017 0:00:42" u="1"/>
        <s v="Поступление товаров и услуг УТ000000150 от 01.07.2019 0:30:40" u="1"/>
        <s v="Реализация товаров и услуг УТ000004937 от 11.03.2021 9:48:05" u="1"/>
        <s v="Реализация товаров и услуг УТ000029704 от 16.10.2020 16:38:21" u="1"/>
        <s v="Реализация товаров и услуг УТ000027912 от 30.08.2021 11:17:06" u="1"/>
        <s v="Реализация товаров и услуг УТ000002441 от 12.02.2021 12:41:32" u="1"/>
        <s v="Поступление товаров и услуг УТ000000266 от 09.10.2020 15:59:44" u="1"/>
        <s v="Реализация товаров и услуг УТ000002437 от 12.02.2021 11:33:06" u="1"/>
        <s v="Реализация товаров и услуг УТ000005267 от 16.03.2021 12:01:44" u="1"/>
        <s v="Поступление товаров и услуг УТ000000087 от 14.06.2018 0:00:22" u="1"/>
        <s v="Реализация товаров и услуг УТ000007415 от 12.04.2021 11:09:36" u="1"/>
        <s v="Реализация товаров и услуг УТ000009142 от 27.04.2021 11:25:36" u="1"/>
        <s v="Реализация товаров и услуг УТ000005745 от 22.03.2021 15:38:55" u="1"/>
        <s v="Поступление доп. расходов УТ000000001 от 21.01.2018 23:21:05" u="1"/>
        <s v="Поступление доп. расходов УТ000000002 от 21.01.2018 23:21:06" u="1"/>
        <s v="Поступление доп. расходов УТ000000372 от 02.12.2018 23:52:45" u="1"/>
        <s v="Поступление доп. расходов УТ000000003 от 21.01.2018 23:21:07" u="1"/>
        <s v="Поступление товаров и услуг УТ000000025 от 01.02.2019 0:00:02" u="1"/>
        <s v="Поступление товаров и услуг УТ000000088 от 01.05.2019 0:00:02" u="1"/>
        <s v="Поступление товаров и услуг УТ000000164 от 01.08.2019 0:00:02" u="1"/>
        <s v="Поступление доп. расходов УТ000000004 от 21.01.2018 23:21:08" u="1"/>
        <s v="Реализация товаров и услуг УТ000008662 от 22.04.2021 10:45:49" u="1"/>
        <s v="Поступление товаров и услуг УТ000000031 от 01.02.2019 0:00:12" u="1"/>
        <s v="Поступление товаров и услуг УТ000000202 от 01.09.2019 0:00:12" u="1"/>
        <s v="Поступление товаров и услуг УТ000000207 от 01.10.2019 0:00:12" u="1"/>
        <s v="Поступление товаров и услуг УТ000000233 от 01.11.2019 0:00:12" u="1"/>
        <s v="Поступление доп. расходов УТ000000005 от 21.01.2018 23:21:09" u="1"/>
        <s v="Поступление товаров и услуг УТ000000221 от 01.11.2019 0:00:22" u="1"/>
        <s v="Поступление товаров и услуг УТ000000209 от 01.10.2019 0:00:42" u="1"/>
        <s v="Реализация товаров и услуг УТ000005989 от 26.03.2021 16:24:03" u="1"/>
        <s v="Реализация товаров и услуг УТ000018849 от 05.08.2021 17:04:40" u="1"/>
        <s v="Реализация товаров и услуг УТ000004996 от 12.03.2021 9:29:06" u="1"/>
        <s v="Реализация товаров и услуг УТ000031335 от 13.11.2020 12:15:23" u="1"/>
        <s v="Реализация товаров и услуг УТ000004872 от 10.03.2021 12:03:44" u="1"/>
        <s v="Поступление доп. расходов УТ000000575 от 15.12.2020 23:13:42" u="1"/>
        <s v="Поступление товаров и услуг УТ000000254 от 23.09.2020 17:03:38" u="1"/>
        <s v="Реализация товаров и услуг УТ000002448 от 14.02.2021 16:32:53" u="1"/>
        <s v="Поступление доп. расходов УТ000000576 от 15.12.2020 23:13:43" u="1"/>
        <s v="Реализация товаров и услуг УТ000006890 от 06.04.2021 11:31:17" u="1"/>
        <s v="Поступление доп. расходов УТ000000220 от 01.05.2019 23:53:42" u="1"/>
        <s v="Платежное поручение входящее 00BF-001133 от 15.02.2021 16:00:00" u="1"/>
        <s v="Реализация товаров и услуг УТ000016047 от 01.07.2021 11:51:36" u="1"/>
        <s v="Реализация товаров и услуг УТ000018834 от 04.08.2021 10:55:09" u="1"/>
        <s v="Реализация товаров и услуг УТ000009805 от 05.05.2021 11:43:56" u="1"/>
        <s v="Поступление доп. расходов УТ000000016 от 27.01.2019 23:53:45" u="1"/>
        <s v="Реализация товаров и услуг УТ000028579 от 03.09.2021 10:59:48" u="1"/>
        <s v="Поступление товаров и услуг УТ000000121 от 01.07.2019 0:30:01" u="1"/>
        <s v="Поступление товаров и услуг УТ000000145 от 01.07.2019 0:50:00" u="1"/>
        <s v="Поступление товаров и услуг УТ000000158 от 12.11.2018 11:59:38" u="1"/>
      </sharedItems>
    </cacheField>
    <cacheField name="Контрагент" numFmtId="0">
      <sharedItems containsBlank="1" count="173">
        <s v="Джинсовая Симфония ООО"/>
        <s v="Мосье Башмаков ООО"/>
        <s v="ИП Зубова Ульяна Константиновна"/>
        <s v="АЛЬФА ООО"/>
        <s v="ИП Ермолин Иван Юрьевич"/>
        <s v="БРЕНД АУТЛЕТ ООО"/>
        <s v="Бутик ООО"/>
        <s v="Торговый дом ЦУМ ОАО"/>
        <s v="ИП Харитонов Сергей Владимирович"/>
        <s v="ИП Рыжков Михаил Николаевич"/>
        <s v="Купишуз ООО"/>
        <s v="Макалу ООО"/>
        <s v="ОФФПРАЙС ООО"/>
        <s v="Вайлдберриз ООО"/>
        <s v="ИП Гагарин Никита Валерьевич"/>
        <s v="Интернет Решения ООО"/>
        <s v="Мультибрэнд ООО"/>
        <s v="ИП Алемасова-Жижко Екатерина Викторовна"/>
        <s v="Реинвент ООО"/>
        <s v="ИП Исхакова Татьяна Алексеевна"/>
        <s v="Бренд Стрит ООО"/>
        <s v="ИП Щербакова Полина Леонидовна"/>
        <s v="Приват Трэйд ООО"/>
        <s v="ЧЕРИКО-групп ООО"/>
        <s v="ИП Бабарскова Екатерина Николаевна"/>
        <s v="Синяя Гусеница ООО"/>
        <s v="ИП Ядринцев Клим Германович"/>
        <s v="ИП Кондратьева Светлана Ефимовна"/>
        <s v="Фолис Лтд ООО"/>
        <s v="СТОКМАНН АО"/>
        <s v="ИП Пилюгина Юлия Юрьевна"/>
        <s v="ЭРГО СПОРТ ООО"/>
        <s v="Брикс ООО"/>
        <s v="РАНДЕВУ ООО"/>
        <s v="ИП Марин Сергей Валериевич"/>
        <s v="Интерстеп ДВ ООО"/>
        <s v="ИП Журавлев Андрей  Васильевич"/>
        <s v="МИДГАРД ООО"/>
        <s v="ИП Максимов Андрей Викторович"/>
        <s v="ПУЛЬС КЛД ООО"/>
        <s v="Атлет ООО"/>
        <s v="Бубновый валет ООО"/>
        <s v="БШ Стор ООО"/>
        <s v="ИНТЕРМОДЕ ООО"/>
        <s v="ИП Базылевич Андрей Сергеевич"/>
        <s v="ИП Блинов Олег Александрович"/>
        <s v="ИП Борисов Евгений Евгеньевич"/>
        <s v="ИП Брюкова Анна Александровна"/>
        <s v="ИП Гапон Юлия Николаевна"/>
        <s v="ИП Гашокин Владимир Борисович"/>
        <s v="ИП Гоголь Александр Владимирович"/>
        <s v="ИП Гоголь Виктория Валерьевна"/>
        <s v="ИП Гультяев Виталий Анатольевич"/>
        <s v="ИП Давыдов Али Косимович"/>
        <s v="ИП Журжалин Станислав Витальевич"/>
        <s v="ИП Земцова Наталья Демьяновна"/>
        <s v="ИП Зубова Татьяна Борисовна"/>
        <s v="ИП Иванов Милен Атанасов"/>
        <s v="ИП Калинин Олег Владимирович"/>
        <s v="ИП Косинов Денис Вадимович"/>
        <s v="ИП Кравченко Владимир Геннадиевич"/>
        <s v="ИП Кулагина Екатерина Владимировна"/>
        <s v="ИП Левин Антон Николаевич"/>
        <s v="ИП Мельник Андрей Анатольевич"/>
        <s v="ИП Михальчук Олег Александрович"/>
        <s v="ИП Моисеев Антон Александрович"/>
        <s v="ИП Неганов Дмитрий Витальевич"/>
        <s v="ИП Никольская Екатерина Николаевна"/>
        <s v="ИП Осипов Тарас Евгеньевич"/>
        <s v="ИП Пушин Алексей Николаевич"/>
        <s v="ИП Сайпов Дайтбек Магомедхабибович"/>
        <s v="ИП Серебрянников Андрей Евгеньевич"/>
        <s v="ИП Стародумов Дмитрий Сергеевич"/>
        <s v="ИП Стрелкова Валентина Владимировна"/>
        <s v="ИП Тарасов Игорь Павлович"/>
        <s v="ИП Швец Ольга Владимировна"/>
        <s v="КАЛИПСО ООО"/>
        <s v="МЕГАПОЛИС77 ООО"/>
        <s v="НайсУан ООО"/>
        <s v="ОганСпорт ООО"/>
        <s v="Перфект Трэйд ООО"/>
        <s v="Престиж ООО"/>
        <s v="Призма ООО"/>
        <s v="Спорт-Люкс ООО"/>
        <s v="СТАФ ФО ЛАЙФ ООО"/>
        <s v="Траектория ООО"/>
        <s v="Центральный универмаг ООО"/>
        <m/>
        <s v="ИП Новикова Злата Юрьевна" u="1"/>
        <s v="ИП Сайпов Дайтбек Магомедхабибович " u="1"/>
        <s v="Межрегиональное операционное УФК (ФТС России) Тверская таможня" u="1"/>
        <s v="ATHERTON GLOBAL LIMITED" u="1"/>
        <s v="Sun and Sand Sports LLC" u="1"/>
        <s v="ЭФ.ЭС. МАКЕНЗИ ООО" u="1"/>
        <s v="ПАО &quot;ТД &quot;Холдинг-Центр&quot;" u="1"/>
        <s v="JUMBO POWER ENTERPRISES LIMITED" u="1"/>
        <s v="Keenpac" u="1"/>
        <s v="Paxar (Chaina) Limited" u="1"/>
        <s v="ИП Калинин Олег Владимирович " u="1"/>
        <s v="Группа ДСМ ЗАО" u="1"/>
        <s v="Профи Трейд ООО" u="1"/>
        <s v="Delta Textile Bulgaria Ltd" u="1"/>
        <s v="FLOURISH THRIVE DEVELOPMENTS LTD TAIWAN BRANCH" u="1"/>
        <s v="ИП Катков Игорь Евгеньевич" u="1"/>
        <s v="МобилТранс ООО" u="1"/>
        <s v="FOWNES BROTHERS &amp; CO., INC." u="1"/>
        <s v="ИП Роговцева Миланья Александровна" u="1"/>
        <s v="SOUTH SAHARA AFRICAN TRADING DMCC" u="1"/>
        <s v="Лестейт ООО" u="1"/>
        <s v="Концепт ООО" u="1"/>
        <s v="ИП Снигерева Галина Васильевна" u="1"/>
        <s v="ДХЛ Экспресс" u="1"/>
        <s v="Deckers Europe Limited" u="1"/>
        <s v="Розничный покупатель Converse com" u="1"/>
        <s v="ALPARGATAS EUROPE S.L.U." u="1"/>
        <s v="ИП Вербицкая Анастасия Андреевна" u="1"/>
        <s v="ASI GLOBAL LIMITED" u="1"/>
        <s v="WOLVERINE EUROPE B.V." u="1"/>
        <s v="Цветной Централ Маркет ООО" u="1"/>
        <s v="ДХЛ Интернешнл" u="1"/>
        <s v="SHINY EAST LIMITED" u="1"/>
        <s v="CONVERSE NETHERLANDS BV" u="1"/>
        <s v="Шереметьево Карго ОАО" u="1"/>
        <s v="СкейтСкай ООО" u="1"/>
        <s v="DECOR (SUZHOU) CO LTD" u="1"/>
        <s v="NICE ELITE INTERNATIONAL LIMITED" u="1"/>
        <s v="ORIENT INTERNATIONAL HOLDING SHANGHAI KNITWEAR IMP.EXP.CO.,LTD." u="1"/>
        <s v="ИП Шенкман Илья Олегович" u="1"/>
        <s v="KUNSHAN SABRINA CLOTHES MAKING CO LTD" u="1"/>
        <s v="Orbico Style spolka z ograniczona odpowiedzialnoscia" u="1"/>
        <s v="ИП Бтемирова Ольга Александровна" u="1"/>
        <s v="Фолис ЗАО" u="1"/>
        <s v="Русмарин-Логистика-Н ООО" u="1"/>
        <s v="GREAT ASCENT TRADING LIMITED" u="1"/>
        <s v="Чеширский КОТ ООО" u="1"/>
        <s v="AirWair International Limited" u="1"/>
        <s v="ИП Крячко Сергей Владимирович" u="1"/>
        <s v="ДХЛ Экспресс ООО" u="1"/>
        <s v="Оптикал Саплайс ООО" u="1"/>
        <s v="Москва Карго ООО" u="1"/>
        <s v="Альтернатива ООО" u="1"/>
        <s v="ИннерВоркингс Рус ООО" u="1"/>
        <s v="Комкад ООО" u="1"/>
        <s v="Yue Yuen Industrial Limited" u="1"/>
        <s v="GROWTH-LINK OVERSEAS COMPANY LIMITED" u="1"/>
        <s v="Эко Полимер М ООО" u="1"/>
        <s v="NINGBO SHENZHOU KNITTING CO LTD" u="1"/>
        <s v="ASIAN SOURCING INTERNATIONAL LIMITED" u="1"/>
        <s v="YANGZHOU BAOYI SHOES MANUFACTURING CO.,LTD" u="1"/>
        <s v="Перспектива ООО" u="1"/>
        <s v="ИП Корякин Сергей Олегович" u="1"/>
        <s v="Feng Tay Enterprises Co., Ltd." u="1"/>
        <s v="ИП Маркарян Арсен Владимирович" u="1"/>
        <s v="ДХЛ Глобал Форвардинг ООО" u="1"/>
        <s v="Фортис групп ООО" u="1"/>
        <s v="SKY HIGH TRADING LIMITED" u="1"/>
        <s v="Wolverine World Wide, Inc." u="1"/>
        <s v="Jiangsu Asian Sourcing Headwear Mfg. Co., Ltd" u="1"/>
        <s v="ЮСИМИ ООО" u="1"/>
        <s v="ИП Лохова Юлия Сергеевна" u="1"/>
        <s v="SUNVIEW INTERNATIONAL CORP" u="1"/>
        <s v="Анисоль ООО" u="1"/>
        <s v="KANAAN CO LTD" u="1"/>
        <s v="ИП Верхолаз Наталья Владимировна" u="1"/>
        <s v="ИП Исхаков Тимур Маратович" u="1"/>
        <s v="Eagle Nice Development Limited" u="1"/>
        <s v="ТОО DSL PARTNERS" u="1"/>
        <s v="Кеды Вегас" u="1"/>
        <s v="АМБ Сервис ООО" u="1"/>
        <s v="Мамси ООО" u="1"/>
        <s v="Руссо Транс ООО" u="1"/>
        <s v="ИП Янчевский Владимир Дмитриевич" u="1"/>
        <s v="Руста-Брокер ТК ООО" u="1"/>
      </sharedItems>
    </cacheField>
    <cacheField name="Дата" numFmtId="0">
      <sharedItems containsBlank="1"/>
    </cacheField>
    <cacheField name="Подразделение" numFmtId="0">
      <sharedItems containsBlank="1" count="22">
        <s v="ОПТ Сток"/>
        <s v="ОПТ Сток Converse"/>
        <s v="ОПТ Сток UGG"/>
        <s v="ОПТ Сток Saucony"/>
        <s v="ОПТ Дисконт"/>
        <s v="ОПТ UGG"/>
        <s v="ОПТ Converse"/>
        <s v="ОПТ Saucony"/>
        <s v="ОПТ Сток Dr.Martens"/>
        <s v="ОПТ Dr.Martens"/>
        <s v="ОПТ Сток Havaianas"/>
        <s v="Hush Puppies"/>
        <m/>
        <s v="Converse" u="1"/>
        <s v="ОПТ Havaianas" u="1"/>
        <s v="Nonconform" u="1"/>
        <s v="Экспорт" u="1"/>
        <s v="Dr.Martens" u="1"/>
        <s v="Havaianas" u="1"/>
        <s v="Saucony" u="1"/>
        <s v="UGG" u="1"/>
        <s v="ОПТ" u="1"/>
      </sharedItems>
    </cacheField>
    <cacheField name="Вид операции" numFmtId="0">
      <sharedItems containsBlank="1"/>
    </cacheField>
    <cacheField name="Договор.Наименование" numFmtId="0">
      <sharedItems containsBlank="1" count="110">
        <s v="№ 321/2017 от 01.11.2017"/>
        <s v="№ 346/2018 от 13.06.18"/>
        <s v="№ 365/2018 от 30.10.2018"/>
        <s v="№ 381/2019 от 26.03.2019"/>
        <s v="№ 403/2019 от 01.10.2019"/>
        <s v="Счет-договор №360/2019 от 15.11.19"/>
        <s v="№ 316/2017 от 01.06.2017"/>
        <s v="0067/ДП00039381 от 06.04.2016"/>
        <s v="№ 416/2020 от 4 февраля 2020 года"/>
        <s v="№ 173Б/2014 от 01.06.2014"/>
        <s v="Договор №032/2012 от 01 марта 2012"/>
        <s v="Основной договор"/>
        <s v="№ 221/2015"/>
        <s v="Договор 212/2014 от 01.10.2014"/>
        <s v="№ 350/2018 от 21.06.18"/>
        <s v="ИР-П 215/15 от 21.04.2015"/>
        <s v="Основной договор 306/2017"/>
        <s v="№ 018/2012 от 19 марта 2012"/>
        <s v="Договор № 195/2014 от 01.08.2014"/>
        <s v="258/2015 от 21.08.2015"/>
        <s v="№ 435/2020 от 16.09.2020"/>
        <s v="№429/2020 от 22.06.2020"/>
        <s v="№ К 130-04-20 от 7 мая 2020 г."/>
        <s v="№242/2015 от 18.06.2015"/>
        <s v="061/2012 от 15 июня 2012"/>
        <s v="№ 236/2015 от 27.04.2015"/>
        <s v="№ 465/2021 от 21.06.2021"/>
        <s v="Оферта"/>
        <s v="№149/2013 От 01.10.2013"/>
        <s v="№  б/н от 18.01.2017"/>
        <s v="251/2015 от 23.07.2015"/>
        <s v="№ 363/2018 от 09.10.2018"/>
        <s v="Дополнительное соглашение,55%,CONV,предзаказ"/>
        <s v="№ 326/2017 от 14.12.2017"/>
        <s v="418/2020 от 10.02.20"/>
        <s v="№ 369/2018 от 28.11.2018"/>
        <s v="№ 385/2019 от 27.05.2019"/>
        <s v="№ 392/2019 от 23.07.2019"/>
        <s v="410/2019 от 29.11.2019"/>
        <s v="№ 433/2020 от 13.08.2020"/>
        <s v="Депозит CON FA21"/>
        <s v="Депозит CON SP22"/>
        <s v="депозит SAU FW21"/>
        <s v="Депозит CON FW21"/>
        <s v="Депозит CON SP21"/>
        <s v="Депозит CON SU21"/>
        <s v="депозит DRM AW21"/>
        <s v="Депозит DRM SS22"/>
        <s v="Депозит SAU AW21"/>
        <s v="Депозит SAU SS22"/>
        <s v="Депозит HAV SS22"/>
        <s v="Депозит UGG FW21"/>
        <s v="Депозит UGG AW21"/>
        <s v="Депозит CON SS22"/>
        <s v="Депозит SAU SS19"/>
        <s v="Депозит UGG SS22"/>
        <s v="Депозит CON SP17"/>
        <s v="Депозит CON SP20"/>
        <s v="Депозит DRM FH18"/>
        <s v="депозит DRM FH20"/>
        <s v="Депозит CON SU18"/>
        <s v="Депозит SAU SS20"/>
        <s v="Депозит CON SP19"/>
        <s v="Депозит SAU FA21"/>
        <s v="Депозит CON SU20"/>
        <s v="Депозит DRM FW21"/>
        <s v="Депозит CON FA20"/>
        <s v="Депозит DRM FH21"/>
        <s v="Депозит SAU SS21"/>
        <s v="Депозит DRM FH19"/>
        <s v="Депозит UGG FW 21"/>
        <s v="депозит CON FA 21"/>
        <s v="Депозит DRM AW21 PEAK"/>
        <s v="депозит SAU FH21"/>
        <m/>
        <s v="№ 336/2018 от 08.05.2018" u="1"/>
        <s v="№ 07/11 от 07.11.2016" u="1"/>
        <s v="депозит DRM FW20" u="1"/>
        <s v="035/2012 от 01 марта 2012" u="1"/>
        <s v="306/2017 от 27.02.2017" u="1"/>
        <s v="№ 341/2018 от 25.05.18" u="1"/>
        <s v="№ 323/2017 от 28.11.17" u="1"/>
        <s v="№ 342/2018 от 01.06.18" u="1"/>
        <s v="№120/2013 от 20.05.2013" u="1"/>
        <s v=" депозит DRM SS22" u="1"/>
        <s v="Депозит UGG SS20" u="1"/>
        <s v="№ 379/2019 от 25.02.2019" u="1"/>
        <s v="№ 096/2013" u="1"/>
        <s v="№ 295/2016 от 14.12.2016" u="1"/>
        <s v="Депозит DRM SS21" u="1"/>
        <s v="№ 372/2018 от 20.12.2018" u="1"/>
        <s v="№432/2020 от 12.08.2020" u="1"/>
        <s v="Депозит UGG SS21" u="1"/>
        <s v="048/2012 от 10 марта 2012" u="1"/>
        <s v="Договор № 449/2021 от 13.01.2021" u="1"/>
        <s v="№ 124/2013 от 06.08.2013" u="1"/>
        <s v="№ 283/2016 от 18.05.2016" u="1"/>
        <s v="№ 426/2020 от 08.04.2020" u="1"/>
        <s v="287/2016 от «01»  ИЮЛЯ 2016 года" u="1"/>
        <s v="Депозит CON PEAK SU21" u="1"/>
        <s v="413/2019 от 23.12.2020" u="1"/>
        <s v="№ 351/2018 от 22.06.18" u="1"/>
        <s v="№ 198/2014 от 01.08.2014" u="1"/>
        <s v="депозит UGG FH21" u="1"/>
        <s v="Депозит HAV SS21" u="1"/>
        <s v="№ 378/2019 от 07.02.2019" u="1"/>
        <s v="Договор №469/2021 от 05.08.2021" u="1"/>
        <s v="№452/2021 от 03.03.21" u="1"/>
        <s v="№ 347/2018 от 13.06.18" u="1"/>
        <s v="№ 404/2019 от 08.10.2019" u="1"/>
      </sharedItems>
    </cacheField>
    <cacheField name="2. Долг &gt; 45 дней и &lt; 3-х месяцев" numFmtId="0">
      <sharedItems containsBlank="1"/>
    </cacheField>
    <cacheField name="3. Долг ≥ 3 и &lt; 6 месяцев" numFmtId="3">
      <sharedItems containsNonDate="0" containsString="0" containsBlank="1"/>
    </cacheField>
    <cacheField name="4. Долг ≥ 6 и &lt; 9 месяцев" numFmtId="3">
      <sharedItems containsNonDate="0" containsString="0" containsBlank="1"/>
    </cacheField>
    <cacheField name="6. Долг &gt; 12 месяцев" numFmtId="3">
      <sharedItems containsNonDate="0" containsString="0" containsBlank="1"/>
    </cacheField>
    <cacheField name="Сумма авансов" numFmtId="3">
      <sharedItems containsNonDate="0" containsString="0" containsBlank="1"/>
    </cacheField>
    <cacheField name="Сумма депозита" numFmtId="3">
      <sharedItems containsBlank="1"/>
    </cacheField>
    <cacheField name="Итого" numFmtId="0">
      <sharedItems containsString="0" containsBlank="1" containsNumber="1" minValue="-15757218" maxValue="169827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95">
  <r>
    <x v="0"/>
    <n v="0"/>
    <m/>
    <d v="2014-07-31T00:00:00"/>
    <d v="2014-07-31T13:03:34"/>
    <n v="2558.4558564814797"/>
    <x v="0"/>
    <s v="&gt;12 months"/>
    <s v="Converse"/>
    <x v="0"/>
    <n v="207729.97"/>
    <s v="Отчет комиссионера о продажах УТ000000013 от 31.07.2014 13:03:34"/>
    <x v="0"/>
    <s v="31.07.2014 13:03:34"/>
    <x v="0"/>
    <m/>
    <x v="0"/>
    <s v="№ 096/2013"/>
    <m/>
    <m/>
    <m/>
    <m/>
    <s v="Positive"/>
    <n v="207729.97"/>
  </r>
  <r>
    <x v="0"/>
    <n v="0"/>
    <m/>
    <d v="2014-09-24T00:00:00"/>
    <d v="2014-09-24T13:04:13"/>
    <n v="2503.4554050925944"/>
    <x v="0"/>
    <s v="&gt;12 months"/>
    <s v="Converse"/>
    <x v="0"/>
    <n v="2315832.5"/>
    <s v="Отчет комиссионера о продажах УТ000000015 от 24.09.2014 13:04:13"/>
    <x v="0"/>
    <s v="24.09.2014 13:04:13"/>
    <x v="0"/>
    <m/>
    <x v="0"/>
    <s v="№ 096/2013"/>
    <m/>
    <m/>
    <m/>
    <m/>
    <s v="Positive"/>
    <n v="2315832.5"/>
  </r>
  <r>
    <x v="0"/>
    <n v="0"/>
    <m/>
    <d v="2014-10-31T00:00:00"/>
    <d v="2014-10-31T15:24:05"/>
    <n v="2466.3582754629606"/>
    <x v="0"/>
    <s v="&gt;12 months"/>
    <s v="Converse"/>
    <x v="0"/>
    <n v="815563.75"/>
    <s v="Отчет комиссионера о продажах УТ000000016 от 31.10.2014 15:24:05"/>
    <x v="0"/>
    <s v="31.10.2014 15:24:05"/>
    <x v="0"/>
    <m/>
    <x v="0"/>
    <s v="№ 096/2013"/>
    <m/>
    <m/>
    <m/>
    <m/>
    <s v="Positive"/>
    <n v="815563.75"/>
  </r>
  <r>
    <x v="0"/>
    <n v="0"/>
    <m/>
    <d v="2014-10-31T00:00:00"/>
    <d v="2014-10-31T17:57:12"/>
    <n v="2466.2519444444479"/>
    <x v="0"/>
    <s v="&gt;12 months"/>
    <s v="Converse"/>
    <x v="0"/>
    <n v="144445.12"/>
    <s v="Отчет комиссионера о продажах УТ000000017 от 31.10.2014 17:57:12"/>
    <x v="0"/>
    <s v="31.10.2014 17:57:12"/>
    <x v="0"/>
    <m/>
    <x v="0"/>
    <s v="№ 096/2013"/>
    <m/>
    <m/>
    <m/>
    <m/>
    <s v="Positive"/>
    <n v="144445.12"/>
  </r>
  <r>
    <x v="0"/>
    <n v="0"/>
    <m/>
    <d v="2015-01-12T00:00:00"/>
    <d v="2015-01-12T11:30:05"/>
    <n v="2393.5207754629664"/>
    <x v="0"/>
    <s v="&gt;12 months"/>
    <s v="Converse"/>
    <x v="0"/>
    <n v="583564"/>
    <s v="Отчет комиссионера о продажах УТ000000001 от 12.01.2015 11:30:05"/>
    <x v="0"/>
    <s v="12.01.2015 11:30:05"/>
    <x v="0"/>
    <m/>
    <x v="0"/>
    <s v="№ 096/2013"/>
    <m/>
    <m/>
    <m/>
    <m/>
    <s v="Positive"/>
    <n v="583564"/>
  </r>
  <r>
    <x v="0"/>
    <n v="0"/>
    <m/>
    <d v="2015-02-19T00:00:00"/>
    <d v="2015-02-19T15:16:40"/>
    <n v="2355.363425925927"/>
    <x v="0"/>
    <s v="&gt;12 months"/>
    <s v="Converse"/>
    <x v="0"/>
    <n v="830341.52"/>
    <s v="Отчет комиссионера о продажах УТ000000002 от 19.02.2015 15:16:40"/>
    <x v="0"/>
    <s v="19.02.2015 15:16:40"/>
    <x v="0"/>
    <m/>
    <x v="0"/>
    <s v="№ 096/2013"/>
    <m/>
    <m/>
    <m/>
    <m/>
    <s v="Positive"/>
    <n v="830341.52"/>
  </r>
  <r>
    <x v="0"/>
    <n v="0"/>
    <m/>
    <d v="2015-03-03T00:00:00"/>
    <d v="2015-03-03T15:01:57"/>
    <n v="2343.3736458333369"/>
    <x v="0"/>
    <s v="&gt;12 months"/>
    <s v="Converse"/>
    <x v="0"/>
    <n v="1270782"/>
    <s v="Отчет комиссионера о продажах УТ000000004 от 03.03.2015 15:01:57"/>
    <x v="0"/>
    <s v="03.03.2015 15:01:57"/>
    <x v="0"/>
    <m/>
    <x v="0"/>
    <s v="№ 096/2013"/>
    <m/>
    <m/>
    <m/>
    <m/>
    <s v="Positive"/>
    <n v="1270782"/>
  </r>
  <r>
    <x v="0"/>
    <n v="0"/>
    <m/>
    <d v="2015-03-03T00:00:00"/>
    <d v="2015-03-03T15:15:28"/>
    <n v="2343.3642592592587"/>
    <x v="0"/>
    <s v="&gt;12 months"/>
    <s v="Converse"/>
    <x v="0"/>
    <n v="782895"/>
    <s v="Отчет комиссионера о продажах УТ000000003 от 03.03.2015 15:15:28"/>
    <x v="0"/>
    <s v="03.03.2015 15:15:28"/>
    <x v="0"/>
    <m/>
    <x v="0"/>
    <s v="№ 096/2013"/>
    <m/>
    <m/>
    <m/>
    <m/>
    <s v="Positive"/>
    <n v="782895"/>
  </r>
  <r>
    <x v="1"/>
    <n v="0"/>
    <m/>
    <d v="2015-09-30T00:00:00"/>
    <d v="2015-09-30T14:45:51"/>
    <n v="2132.3848263888867"/>
    <x v="1"/>
    <s v="Advance"/>
    <s v="Сток Converse"/>
    <x v="0"/>
    <n v="-1434373.85"/>
    <s v="Корректировка долга УТ000000179 от 30.09.2015 14:45:51"/>
    <x v="0"/>
    <s v="30.09.2015 14:45:51"/>
    <x v="1"/>
    <s v="списание задолженности"/>
    <x v="0"/>
    <s v="№ 096/2013"/>
    <m/>
    <m/>
    <m/>
    <m/>
    <s v="Negative"/>
    <n v="-1434373.85"/>
  </r>
  <r>
    <x v="2"/>
    <n v="0"/>
    <m/>
    <d v="2016-02-20T00:00:00"/>
    <d v="2016-02-20T23:59:59"/>
    <n v="1989.0000115740768"/>
    <x v="1"/>
    <s v="Advance"/>
    <s v="Сток Converse"/>
    <x v="0"/>
    <n v="-41061.68"/>
    <s v="Платежное поручение входящее БПБП0000525 от 20.02.2016 23:59:59"/>
    <x v="0"/>
    <s v="20.02.2016 23:59:59"/>
    <x v="1"/>
    <s v="Оплата от покупателя"/>
    <x v="0"/>
    <s v="№ 096/2013"/>
    <m/>
    <m/>
    <m/>
    <m/>
    <s v="Negative"/>
    <n v="-41061.68"/>
  </r>
  <r>
    <x v="2"/>
    <n v="0"/>
    <m/>
    <d v="2016-04-11T00:00:00"/>
    <d v="2016-04-11T23:59:59"/>
    <n v="1938.0000115740768"/>
    <x v="1"/>
    <s v="Advance"/>
    <s v="Сток Converse"/>
    <x v="0"/>
    <n v="-120000"/>
    <s v="Платежное поручение входящее БПБП0001206 от 11.04.2016 23:59:59"/>
    <x v="0"/>
    <s v="11.04.2016 23:59:59"/>
    <x v="1"/>
    <s v="Оплата от покупателя"/>
    <x v="0"/>
    <s v="№ 096/2013"/>
    <m/>
    <m/>
    <m/>
    <m/>
    <s v="Negative"/>
    <n v="-120000"/>
  </r>
  <r>
    <x v="2"/>
    <n v="0"/>
    <m/>
    <d v="2016-05-17T00:00:00"/>
    <d v="2016-05-17T23:59:59"/>
    <n v="1902.0000115740768"/>
    <x v="1"/>
    <s v="Advance"/>
    <s v="Сток Converse"/>
    <x v="0"/>
    <n v="-140000"/>
    <s v="Платежное поручение входящее БПБП0001818 от 17.05.2016 23:59:59"/>
    <x v="0"/>
    <s v="17.05.2016 23:59:59"/>
    <x v="1"/>
    <s v="Оплата от покупателя"/>
    <x v="0"/>
    <s v="№ 096/2013"/>
    <m/>
    <m/>
    <m/>
    <m/>
    <s v="Negative"/>
    <n v="-140000"/>
  </r>
  <r>
    <x v="2"/>
    <n v="0"/>
    <m/>
    <d v="2018-05-07T00:00:00"/>
    <d v="2018-05-07T23:59:59"/>
    <n v="1182.0000115740768"/>
    <x v="1"/>
    <s v="Advance"/>
    <s v="Сток"/>
    <x v="1"/>
    <n v="-7495"/>
    <s v="Платежное поручение входящее БПБП0002007 от 07.05.2018 23:59:59"/>
    <x v="1"/>
    <s v="07.05.2018 23:59:59"/>
    <x v="2"/>
    <s v="Оплата от покупателя"/>
    <x v="1"/>
    <s v="№ 321/2017 от 01.11.2017"/>
    <m/>
    <m/>
    <m/>
    <m/>
    <s v="Negative"/>
    <n v="-7495"/>
  </r>
  <r>
    <x v="2"/>
    <n v="0"/>
    <m/>
    <d v="2018-09-18T00:00:00"/>
    <d v="2018-09-18T23:59:59"/>
    <n v="1048.0000115740768"/>
    <x v="1"/>
    <s v="Advance"/>
    <s v="Сток Converse"/>
    <x v="0"/>
    <n v="-118621.49"/>
    <s v="Платежное поручение входящее БПБП0004770 от 18.09.2018 23:59:59"/>
    <x v="2"/>
    <s v="18.09.2018 23:59:59"/>
    <x v="1"/>
    <s v="Оплата от покупателя"/>
    <x v="2"/>
    <s v="048/2012 от 10 марта 2012"/>
    <m/>
    <m/>
    <m/>
    <m/>
    <s v="Negative"/>
    <n v="-118621.49"/>
  </r>
  <r>
    <x v="3"/>
    <n v="0"/>
    <m/>
    <d v="2018-12-03T00:00:00"/>
    <d v="2018-12-03T13:35:35"/>
    <n v="972.43362268518831"/>
    <x v="1"/>
    <s v="Advance"/>
    <s v="Сток UGG"/>
    <x v="2"/>
    <n v="-9548"/>
    <s v="Возврат товаров от покупателя УТ000000466 от 03.12.2018 13:35:35"/>
    <x v="3"/>
    <s v="03.12.2018 13:35:35"/>
    <x v="3"/>
    <m/>
    <x v="3"/>
    <s v="№ 346/2018 от 13.06.18"/>
    <m/>
    <m/>
    <m/>
    <m/>
    <s v="Negative"/>
    <n v="-9548"/>
  </r>
  <r>
    <x v="2"/>
    <n v="0"/>
    <m/>
    <d v="2019-04-05T00:00:00"/>
    <d v="2019-04-05T23:55:59"/>
    <n v="849.00278935184906"/>
    <x v="1"/>
    <s v="Advance"/>
    <s v="Сток Saucony"/>
    <x v="3"/>
    <n v="-34032"/>
    <s v="Платежное поручение входящее БПБП0002194 от 05.04.2019 23:55:59"/>
    <x v="4"/>
    <s v="05.04.2019 23:55:59"/>
    <x v="4"/>
    <s v="Оплата от покупателя"/>
    <x v="4"/>
    <s v="№ 365/2018 от 30.10.2018"/>
    <m/>
    <m/>
    <m/>
    <m/>
    <s v="Negative"/>
    <n v="-34032"/>
  </r>
  <r>
    <x v="2"/>
    <n v="0"/>
    <m/>
    <d v="2019-08-19T00:00:00"/>
    <d v="2019-08-19T23:55:59"/>
    <n v="713.00278935184906"/>
    <x v="1"/>
    <s v="Advance"/>
    <s v="Сток Converse"/>
    <x v="0"/>
    <n v="-145.97"/>
    <s v="Платежное поручение входящее БПБП0005108 от 19.08.2019 23:55:59"/>
    <x v="5"/>
    <s v="19.08.2019 23:55:59"/>
    <x v="1"/>
    <s v="Оплата от покупателя"/>
    <x v="5"/>
    <s v="№ 381/2019 от 26.03.2019"/>
    <m/>
    <m/>
    <m/>
    <m/>
    <s v="Negative"/>
    <n v="-145.97"/>
  </r>
  <r>
    <x v="2"/>
    <n v="0"/>
    <m/>
    <d v="2019-08-31T00:00:00"/>
    <d v="2019-08-31T23:59:59"/>
    <n v="701.00001157407678"/>
    <x v="1"/>
    <s v="Advance"/>
    <s v="Converse"/>
    <x v="0"/>
    <n v="-100"/>
    <s v="Платежное поручение входящее УТ000000112 от 31.08.2019 23:59:59"/>
    <x v="5"/>
    <s v="31.08.2019 23:59:59"/>
    <x v="0"/>
    <s v="Оплата от покупателя"/>
    <x v="5"/>
    <s v="251/2015 от 23.07.2015"/>
    <m/>
    <m/>
    <m/>
    <m/>
    <s v="Negative"/>
    <n v="-100"/>
  </r>
  <r>
    <x v="2"/>
    <n v="0"/>
    <m/>
    <d v="2019-09-03T00:00:00"/>
    <d v="2019-09-03T23:59:59"/>
    <n v="698.00001157407678"/>
    <x v="1"/>
    <s v="Advance"/>
    <s v="Сток Converse"/>
    <x v="0"/>
    <n v="-6813.74"/>
    <s v="Платежное поручение входящее БПБП0005463 от 03.09.2019 23:59:59"/>
    <x v="6"/>
    <s v="03.09.2019 23:59:59"/>
    <x v="1"/>
    <s v="Оплата от покупателя"/>
    <x v="6"/>
    <s v="251/2015 от 23.07.2015"/>
    <m/>
    <m/>
    <m/>
    <m/>
    <s v="Negative"/>
    <n v="-6813.74"/>
  </r>
  <r>
    <x v="2"/>
    <n v="0"/>
    <m/>
    <d v="2019-10-28T00:00:00"/>
    <d v="2019-10-28T23:59:59"/>
    <n v="643.00001157407678"/>
    <x v="1"/>
    <s v="Advance"/>
    <s v="Сток Converse"/>
    <x v="0"/>
    <n v="-1000"/>
    <s v="Платежное поручение входящее БПБП0006749 от 28.10.2019 23:59:59"/>
    <x v="7"/>
    <s v="28.10.2019 23:59:59"/>
    <x v="1"/>
    <s v="Оплата от покупателя"/>
    <x v="7"/>
    <s v="№ 379/2019 от 25.02.2019"/>
    <m/>
    <m/>
    <m/>
    <m/>
    <s v="Negative"/>
    <n v="-1000"/>
  </r>
  <r>
    <x v="2"/>
    <n v="0"/>
    <m/>
    <d v="2019-11-18T00:00:00"/>
    <d v="2019-11-18T23:59:59"/>
    <n v="622.00001157407678"/>
    <x v="1"/>
    <s v="Advance"/>
    <s v="Дисконт"/>
    <x v="1"/>
    <n v="-700"/>
    <s v="Платежное поручение входящее БПБП0007225 от 18.11.2019 23:59:59"/>
    <x v="8"/>
    <s v="18.11.2019 23:59:59"/>
    <x v="5"/>
    <s v="Оплата от покупателя"/>
    <x v="8"/>
    <s v="№ 403/2019 от 01.10.2019"/>
    <m/>
    <m/>
    <m/>
    <m/>
    <s v="Negative"/>
    <n v="-700"/>
  </r>
  <r>
    <x v="2"/>
    <n v="0"/>
    <m/>
    <d v="2020-01-29T00:00:00"/>
    <d v="2020-01-29T23:59:59"/>
    <n v="550.00001157407678"/>
    <x v="1"/>
    <s v="Advance"/>
    <s v="UGG"/>
    <x v="2"/>
    <n v="-30000.3"/>
    <s v="Платежное поручение входящее УТ000000015 от 29.01.2020 23:59:59"/>
    <x v="9"/>
    <s v="29.01.2020 23:59:59"/>
    <x v="6"/>
    <s v="Оплата от покупателя"/>
    <x v="9"/>
    <s v="Счет-договор №360/2019 от 15.11.19"/>
    <m/>
    <m/>
    <m/>
    <m/>
    <s v="Negative"/>
    <n v="-30000.3"/>
  </r>
  <r>
    <x v="2"/>
    <n v="65"/>
    <m/>
    <d v="2020-02-11T00:00:00"/>
    <d v="2020-04-16T02:35:59"/>
    <n v="472.89167824073957"/>
    <x v="1"/>
    <s v="Advance"/>
    <s v="Сток UGG"/>
    <x v="2"/>
    <n v="-0.01"/>
    <s v="Платежное поручение входящее БПБП0000906 от 11.02.2020 2:35:59"/>
    <x v="10"/>
    <s v="11.02.2020 2:35:59"/>
    <x v="3"/>
    <s v="Оплата от покупателя"/>
    <x v="10"/>
    <s v="№ 316/2017 от 01.06.2017"/>
    <m/>
    <m/>
    <m/>
    <m/>
    <s v="Negative"/>
    <n v="-0.01"/>
  </r>
  <r>
    <x v="4"/>
    <n v="103"/>
    <m/>
    <d v="2020-02-17T00:00:00"/>
    <d v="2020-05-30T11:38:25"/>
    <n v="428.51498842592264"/>
    <x v="0"/>
    <s v="&gt;12 months"/>
    <s v="Сток Converse"/>
    <x v="0"/>
    <n v="85942.5"/>
    <s v="Реализация товаров и услуг УТ000002322 от 17.02.2020 11:38:25"/>
    <x v="11"/>
    <s v="17.02.2020 11:38:25"/>
    <x v="1"/>
    <s v="продажа, комиссия"/>
    <x v="11"/>
    <s v="0067/ДП00039381 от 06.04.2016"/>
    <m/>
    <m/>
    <m/>
    <m/>
    <s v="Positive"/>
    <n v="85942.5"/>
  </r>
  <r>
    <x v="2"/>
    <n v="0"/>
    <m/>
    <d v="2020-07-13T00:00:00"/>
    <d v="2020-07-13T23:59:59"/>
    <n v="384.00001157407678"/>
    <x v="1"/>
    <s v="Advance"/>
    <s v="Converse"/>
    <x v="0"/>
    <n v="-119148.5"/>
    <s v="Платежное поручение входящее БПБП0002736 от 13.07.2020 23:59:59"/>
    <x v="12"/>
    <s v="13.07.2020 23:59:59"/>
    <x v="0"/>
    <s v="Оплата от покупателя"/>
    <x v="12"/>
    <s v="№ 416/2020 от 4 февраля 2020 года"/>
    <m/>
    <m/>
    <m/>
    <m/>
    <s v="Negative"/>
    <n v="-119148.5"/>
  </r>
  <r>
    <x v="2"/>
    <n v="0"/>
    <m/>
    <d v="2020-09-22T00:00:00"/>
    <d v="2020-09-22T23:03:50"/>
    <n v="313.03900462963065"/>
    <x v="1"/>
    <s v="Advance"/>
    <s v="Converse"/>
    <x v="0"/>
    <n v="-1199.95"/>
    <s v="Платежное поручение входящее 00BF-001664 от 22.09.2020 23:03:50"/>
    <x v="13"/>
    <s v="22.09.2020 23:03:50"/>
    <x v="0"/>
    <s v="Оплата от покупателя"/>
    <x v="13"/>
    <s v="№ 07/11 от 07.11.2016"/>
    <m/>
    <m/>
    <m/>
    <m/>
    <s v="Negative"/>
    <n v="-1199.95"/>
  </r>
  <r>
    <x v="4"/>
    <n v="65"/>
    <m/>
    <d v="2020-10-27T00:00:00"/>
    <d v="2020-12-31T18:42:25"/>
    <n v="213.22054398147884"/>
    <x v="0"/>
    <s v="6 - 9 months"/>
    <s v="UGG"/>
    <x v="2"/>
    <n v="5358"/>
    <s v="Реализация товаров и услуг УТ000030440 от 27.10.2020 18:42:25"/>
    <x v="10"/>
    <s v="27.10.2020 18:42:25"/>
    <x v="6"/>
    <s v="продажа, комиссия"/>
    <x v="10"/>
    <s v="№ 173Б/2014 от 01.06.2014"/>
    <m/>
    <m/>
    <m/>
    <m/>
    <s v="Positive"/>
    <n v="5358"/>
  </r>
  <r>
    <x v="2"/>
    <n v="0"/>
    <m/>
    <d v="2020-10-30T00:00:00"/>
    <d v="2020-10-30T17:00:00"/>
    <n v="275.29166666666424"/>
    <x v="1"/>
    <s v="Advance"/>
    <s v="Converse"/>
    <x v="0"/>
    <n v="-12.07"/>
    <s v="Платежное поручение входящее 00BF-002672 от 30.10.2020 17:00:00"/>
    <x v="9"/>
    <s v="30.10.2020 17:00:00"/>
    <x v="0"/>
    <s v="Оплата от покупателя"/>
    <x v="9"/>
    <s v="0067/ДП00039381 от 06.04.2016"/>
    <m/>
    <m/>
    <m/>
    <m/>
    <s v="Negative"/>
    <n v="-12.07"/>
  </r>
  <r>
    <x v="5"/>
    <n v="0"/>
    <m/>
    <d v="2020-11-30T00:00:00"/>
    <d v="2020-11-30T12:00:00"/>
    <n v="244.5"/>
    <x v="1"/>
    <s v="Advance"/>
    <s v="Сток Converse"/>
    <x v="0"/>
    <n v="-113627.8"/>
    <s v="Документ расчетов с контрагентом (ручной учет) УТ000000002 от 30.11.2020 12:00:00"/>
    <x v="12"/>
    <s v="30.11.2020 12:00:00"/>
    <x v="1"/>
    <m/>
    <x v="12"/>
    <s v="№ 316/2017 от 01.06.2017"/>
    <m/>
    <m/>
    <m/>
    <m/>
    <s v="Negative"/>
    <n v="-113627.8"/>
  </r>
  <r>
    <x v="4"/>
    <n v="65"/>
    <m/>
    <d v="2020-11-30T00:00:00"/>
    <d v="2021-02-03T16:52:35"/>
    <n v="179.29681712963065"/>
    <x v="1"/>
    <s v="Advance"/>
    <s v="Saucony"/>
    <x v="3"/>
    <n v="-17802"/>
    <s v="Реализация товаров и услуг УТ000032158 от 30.11.2020 16:52:35"/>
    <x v="14"/>
    <s v="30.11.2020 16:52:35"/>
    <x v="7"/>
    <s v="продажа, комиссия"/>
    <x v="14"/>
    <s v="№ 07/11 от 07.11.2016"/>
    <m/>
    <m/>
    <m/>
    <m/>
    <s v="Negative"/>
    <n v="-17802"/>
  </r>
  <r>
    <x v="4"/>
    <n v="65"/>
    <m/>
    <d v="2020-11-30T00:00:00"/>
    <d v="2021-02-03T16:54:56"/>
    <n v="179.29518518518307"/>
    <x v="1"/>
    <s v="Advance"/>
    <s v="Сток Dr.Martens"/>
    <x v="4"/>
    <n v="-0.1"/>
    <s v="Реализация товаров и услуг УТ000032160 от 30.11.2020 16:54:56"/>
    <x v="14"/>
    <s v="30.11.2020 16:54:56"/>
    <x v="8"/>
    <s v="продажа, комиссия"/>
    <x v="14"/>
    <s v="Договор №032/2012 от 01 марта 2012"/>
    <m/>
    <m/>
    <m/>
    <m/>
    <s v="Negative"/>
    <n v="-0.1"/>
  </r>
  <r>
    <x v="4"/>
    <n v="65"/>
    <m/>
    <d v="2020-11-30T00:00:00"/>
    <d v="2021-02-03T16:55:25"/>
    <n v="179.2948495370365"/>
    <x v="1"/>
    <s v="Advance"/>
    <s v="Saucony"/>
    <x v="3"/>
    <n v="-271093"/>
    <s v="Реализация товаров и услуг УТ000032161 от 30.11.2020 16:55:25"/>
    <x v="14"/>
    <s v="30.11.2020 16:55:25"/>
    <x v="7"/>
    <s v="продажа, комиссия"/>
    <x v="14"/>
    <s v="Договор №032/2012 от 01 марта 2012"/>
    <m/>
    <m/>
    <m/>
    <m/>
    <s v="Negative"/>
    <n v="-271093"/>
  </r>
  <r>
    <x v="2"/>
    <n v="0"/>
    <m/>
    <d v="2020-12-08T00:00:00"/>
    <d v="2020-12-08T17:00:00"/>
    <n v="236.29166666666424"/>
    <x v="1"/>
    <s v="Advance"/>
    <s v="Сток Saucony"/>
    <x v="3"/>
    <n v="-3775.8"/>
    <s v="Платежное поручение входящее 00BF-003765 от 08.12.2020 17:00:00"/>
    <x v="15"/>
    <s v="08.12.2020 17:00:00"/>
    <x v="4"/>
    <s v="Оплата от покупателя"/>
    <x v="15"/>
    <s v="Основной договор"/>
    <m/>
    <m/>
    <m/>
    <m/>
    <s v="Negative"/>
    <n v="-3775.8"/>
  </r>
  <r>
    <x v="4"/>
    <n v="35"/>
    <m/>
    <d v="2020-12-10T00:00:00"/>
    <d v="2021-01-14T14:53:39"/>
    <n v="199.37940972221986"/>
    <x v="0"/>
    <s v="6 - 9 months"/>
    <s v="Сток UGG"/>
    <x v="2"/>
    <n v="0.01"/>
    <s v="Реализация товаров и услуг УТ000032946 от 10.12.2020 14:53:39"/>
    <x v="16"/>
    <s v="10.12.2020 14:53:39"/>
    <x v="3"/>
    <s v="продажа, комиссия"/>
    <x v="16"/>
    <s v="№ 221/2015"/>
    <m/>
    <m/>
    <m/>
    <m/>
    <s v="Positive"/>
    <n v="0.01"/>
  </r>
  <r>
    <x v="2"/>
    <n v="65"/>
    <m/>
    <d v="2021-01-15T00:00:00"/>
    <d v="2021-03-21T17:00:00"/>
    <n v="133.29166666666424"/>
    <x v="1"/>
    <s v="Advance"/>
    <s v="Converse"/>
    <x v="0"/>
    <n v="-170975"/>
    <s v="Платежное поручение входящее 00BF-000343 от 15.01.2021 17:00:00"/>
    <x v="14"/>
    <s v="15.01.2021 17:00:00"/>
    <x v="0"/>
    <s v="Оплата от покупателя"/>
    <x v="14"/>
    <s v="Договор №032/2012 от 01 марта 2012"/>
    <m/>
    <m/>
    <m/>
    <m/>
    <s v="Negative"/>
    <n v="-170975"/>
  </r>
  <r>
    <x v="4"/>
    <n v="95"/>
    <m/>
    <d v="2021-02-05T00:00:00"/>
    <d v="2021-05-11T14:34:05"/>
    <n v="82.392997685186856"/>
    <x v="2"/>
    <s v="Current"/>
    <s v="Converse"/>
    <x v="0"/>
    <n v="916731.72"/>
    <s v="Реализация товаров и услуг УТ000002390 от 05.02.2021 14:34:05"/>
    <x v="12"/>
    <s v="05.02.2021 14:34:05"/>
    <x v="0"/>
    <s v="продажа, комиссия"/>
    <x v="17"/>
    <s v="Договор 212/2014 от 01.10.2014"/>
    <m/>
    <m/>
    <m/>
    <m/>
    <s v="Positive"/>
    <n v="916731.72"/>
  </r>
  <r>
    <x v="4"/>
    <n v="95"/>
    <m/>
    <d v="2021-02-05T00:00:00"/>
    <d v="2021-05-11T14:38:34"/>
    <n v="82.389884259260725"/>
    <x v="2"/>
    <s v="Current"/>
    <s v="Converse"/>
    <x v="0"/>
    <n v="1549821"/>
    <s v="Реализация товаров и услуг УТ000002392 от 05.02.2021 14:38:34"/>
    <x v="12"/>
    <s v="05.02.2021 14:38:34"/>
    <x v="0"/>
    <s v="продажа, комиссия"/>
    <x v="17"/>
    <s v="Договор 212/2014 от 01.10.2014"/>
    <m/>
    <m/>
    <m/>
    <m/>
    <s v="Positive"/>
    <n v="1549821"/>
  </r>
  <r>
    <x v="4"/>
    <n v="65"/>
    <m/>
    <d v="2021-02-12T00:00:00"/>
    <d v="2021-04-18T11:35:17"/>
    <n v="105.51716435185517"/>
    <x v="1"/>
    <s v="Advance"/>
    <s v="Converse"/>
    <x v="0"/>
    <n v="-139392.09"/>
    <s v="Реализация товаров и услуг УТ000002438 от 12.02.2021 11:35:17"/>
    <x v="14"/>
    <s v="12.02.2021 11:35:17"/>
    <x v="0"/>
    <s v="продажа, комиссия"/>
    <x v="14"/>
    <s v="Договор №032/2012 от 01 марта 2012"/>
    <m/>
    <m/>
    <m/>
    <m/>
    <s v="Negative"/>
    <n v="-139392.09"/>
  </r>
  <r>
    <x v="2"/>
    <n v="65"/>
    <m/>
    <d v="2021-02-12T00:00:00"/>
    <d v="2021-04-18T17:00:00"/>
    <n v="105.29166666666424"/>
    <x v="1"/>
    <s v="Advance"/>
    <s v="Converse"/>
    <x v="0"/>
    <n v="-263025"/>
    <s v="Платежное поручение входящее 00BF-001044 от 12.02.2021 17:00:00"/>
    <x v="14"/>
    <s v="12.02.2021 17:00:00"/>
    <x v="0"/>
    <s v="Оплата от покупателя"/>
    <x v="14"/>
    <s v="Договор №032/2012 от 01 марта 2012"/>
    <m/>
    <m/>
    <m/>
    <m/>
    <s v="Negative"/>
    <n v="-263025"/>
  </r>
  <r>
    <x v="4"/>
    <n v="95"/>
    <m/>
    <d v="2021-02-15T00:00:00"/>
    <d v="2021-05-21T12:18:01"/>
    <n v="72.487488425926131"/>
    <x v="2"/>
    <s v="Current"/>
    <s v="Converse"/>
    <x v="0"/>
    <n v="1005382"/>
    <s v="Реализация товаров и услуг УТ000002459 от 15.02.2021 12:18:01"/>
    <x v="12"/>
    <s v="15.02.2021 12:18:01"/>
    <x v="0"/>
    <s v="продажа, комиссия"/>
    <x v="17"/>
    <s v="Договор 212/2014 от 01.10.2014"/>
    <m/>
    <m/>
    <m/>
    <m/>
    <s v="Positive"/>
    <n v="1005382"/>
  </r>
  <r>
    <x v="4"/>
    <n v="95"/>
    <m/>
    <d v="2021-02-18T00:00:00"/>
    <d v="2021-05-24T10:47:27"/>
    <n v="69.550381944442051"/>
    <x v="2"/>
    <s v="Current"/>
    <s v="Converse"/>
    <x v="0"/>
    <n v="643035.6"/>
    <s v="Реализация товаров и услуг УТ000002485 от 18.02.2021 10:47:27"/>
    <x v="12"/>
    <s v="18.02.2021 10:47:27"/>
    <x v="0"/>
    <s v="продажа, комиссия"/>
    <x v="17"/>
    <s v="Договор 212/2014 от 01.10.2014"/>
    <m/>
    <m/>
    <m/>
    <m/>
    <s v="Positive"/>
    <n v="643035.6"/>
  </r>
  <r>
    <x v="4"/>
    <n v="65"/>
    <m/>
    <d v="2021-02-18T00:00:00"/>
    <d v="2021-04-24T12:28:03"/>
    <n v="99.480520833334594"/>
    <x v="1"/>
    <s v="Advance"/>
    <s v="Dr.Martens"/>
    <x v="4"/>
    <n v="-7605"/>
    <s v="Реализация товаров и услуг УТ000002487 от 18.02.2021 12:28:03"/>
    <x v="14"/>
    <s v="18.02.2021 12:28:03"/>
    <x v="9"/>
    <s v="продажа, комиссия"/>
    <x v="14"/>
    <s v="Договор №032/2012 от 01 марта 2012"/>
    <m/>
    <m/>
    <m/>
    <m/>
    <s v="Negative"/>
    <n v="-7605"/>
  </r>
  <r>
    <x v="4"/>
    <n v="95"/>
    <m/>
    <d v="2021-02-26T00:00:00"/>
    <d v="2021-06-01T14:20:48"/>
    <n v="61.40222222221928"/>
    <x v="2"/>
    <s v="Current"/>
    <s v="Converse"/>
    <x v="0"/>
    <n v="163888"/>
    <s v="Реализация товаров и услуг УТ000004012 от 26.02.2021 14:20:48"/>
    <x v="12"/>
    <s v="26.02.2021 14:20:48"/>
    <x v="0"/>
    <s v="продажа, комиссия"/>
    <x v="17"/>
    <s v="Договор 212/2014 от 01.10.2014"/>
    <m/>
    <m/>
    <m/>
    <m/>
    <s v="Positive"/>
    <n v="163888"/>
  </r>
  <r>
    <x v="4"/>
    <n v="65"/>
    <m/>
    <d v="2021-03-10T00:00:00"/>
    <d v="2021-05-14T12:03:44"/>
    <n v="79.497407407405262"/>
    <x v="2"/>
    <s v="Current"/>
    <s v="UGG"/>
    <x v="2"/>
    <n v="71140.73"/>
    <s v="Реализация товаров и услуг УТ000004872 от 10.03.2021 12:03:44"/>
    <x v="14"/>
    <s v="10.03.2021 12:03:44"/>
    <x v="6"/>
    <s v="продажа, комиссия"/>
    <x v="14"/>
    <s v="Договор №032/2012 от 01 марта 2012"/>
    <m/>
    <m/>
    <m/>
    <m/>
    <s v="Positive"/>
    <n v="71140.73"/>
  </r>
  <r>
    <x v="4"/>
    <n v="65"/>
    <m/>
    <d v="2021-03-10T00:00:00"/>
    <d v="2021-05-14T12:07:54"/>
    <n v="79.494513888887013"/>
    <x v="2"/>
    <s v="Current"/>
    <s v="UGG"/>
    <x v="2"/>
    <n v="1471492"/>
    <s v="Реализация товаров и услуг УТ000004873 от 10.03.2021 12:07:54"/>
    <x v="14"/>
    <s v="10.03.2021 12:07:54"/>
    <x v="6"/>
    <s v="продажа, комиссия"/>
    <x v="14"/>
    <s v="Договор №032/2012 от 01 марта 2012"/>
    <m/>
    <m/>
    <m/>
    <m/>
    <s v="Positive"/>
    <n v="1471492"/>
  </r>
  <r>
    <x v="4"/>
    <n v="95"/>
    <m/>
    <d v="2021-03-12T00:00:00"/>
    <d v="2021-06-15T13:22:44"/>
    <n v="47.442546296297223"/>
    <x v="2"/>
    <s v="Current"/>
    <s v="Converse"/>
    <x v="0"/>
    <n v="19433"/>
    <s v="Реализация товаров и услуг УТ000005003 от 12.03.2021 13:22:44"/>
    <x v="12"/>
    <s v="12.03.2021 13:22:44"/>
    <x v="0"/>
    <s v="продажа, комиссия"/>
    <x v="17"/>
    <s v="Договор №032/2012 от 01 марта 2012"/>
    <m/>
    <m/>
    <m/>
    <m/>
    <s v="Positive"/>
    <n v="19433"/>
  </r>
  <r>
    <x v="4"/>
    <n v="95"/>
    <m/>
    <d v="2021-03-18T00:00:00"/>
    <d v="2021-06-21T11:02:50"/>
    <n v="41.539699074077362"/>
    <x v="3"/>
    <s v="Current"/>
    <s v="Converse"/>
    <x v="0"/>
    <n v="4185"/>
    <s v="Реализация товаров и услуг УТ000005429 от 18.03.2021 11:02:50"/>
    <x v="12"/>
    <s v="18.03.2021 11:02:50"/>
    <x v="0"/>
    <s v="продажа, комиссия"/>
    <x v="17"/>
    <s v="Договор 212/2014 от 01.10.2014"/>
    <m/>
    <m/>
    <m/>
    <m/>
    <s v="Positive"/>
    <n v="4185"/>
  </r>
  <r>
    <x v="4"/>
    <n v="95"/>
    <m/>
    <d v="2021-03-19T00:00:00"/>
    <d v="2021-06-22T11:02:30"/>
    <n v="40.539930555554747"/>
    <x v="3"/>
    <s v="Current"/>
    <s v="Converse"/>
    <x v="0"/>
    <n v="8281"/>
    <s v="Реализация товаров и услуг УТ000005486 от 19.03.2021 11:02:30"/>
    <x v="12"/>
    <s v="19.03.2021 11:02:30"/>
    <x v="0"/>
    <s v="продажа, комиссия"/>
    <x v="17"/>
    <s v="Договор 212/2014 от 01.10.2014"/>
    <m/>
    <m/>
    <m/>
    <m/>
    <s v="Positive"/>
    <n v="8281"/>
  </r>
  <r>
    <x v="2"/>
    <n v="0"/>
    <m/>
    <d v="2021-03-22T00:00:00"/>
    <d v="2021-03-22T17:00:00"/>
    <n v="132.29166666666424"/>
    <x v="1"/>
    <s v="Advance"/>
    <s v="Сток Dr.Martens"/>
    <x v="4"/>
    <n v="-8839.48"/>
    <s v="Платежное поручение входящее 00BF-002052 от 22.03.2021 17:00:00"/>
    <x v="17"/>
    <s v="22.03.2021 17:00:00"/>
    <x v="8"/>
    <s v="Оплата от покупателя"/>
    <x v="18"/>
    <s v="Договор 212/2014 от 01.10.2014"/>
    <m/>
    <m/>
    <m/>
    <m/>
    <s v="Negative"/>
    <n v="-8839.48"/>
  </r>
  <r>
    <x v="2"/>
    <n v="0"/>
    <m/>
    <d v="2021-03-23T00:00:00"/>
    <d v="2021-03-23T17:00:00"/>
    <n v="131.29166666666424"/>
    <x v="1"/>
    <s v="Advance"/>
    <s v="Converse"/>
    <x v="0"/>
    <n v="-10200"/>
    <s v="Платежное поручение входящее 00BF-002076 от 23.03.2021 17:00:00"/>
    <x v="18"/>
    <s v="23.03.2021 17:00:00"/>
    <x v="0"/>
    <s v="Оплата от покупателя"/>
    <x v="19"/>
    <s v="№ 404/2019 от 08.10.2019"/>
    <m/>
    <m/>
    <m/>
    <m/>
    <s v="Negative"/>
    <n v="-10200"/>
  </r>
  <r>
    <x v="4"/>
    <n v="95"/>
    <m/>
    <d v="2021-03-25T00:00:00"/>
    <d v="2021-06-28T13:36:57"/>
    <n v="34.432673611110658"/>
    <x v="3"/>
    <s v="Current"/>
    <s v="Сток UGG"/>
    <x v="2"/>
    <n v="102834.6"/>
    <s v="Реализация товаров и услуг УТ000005935 от 25.03.2021 13:36:57"/>
    <x v="19"/>
    <s v="25.03.2021 13:36:57"/>
    <x v="3"/>
    <s v="продажа, комиссия"/>
    <x v="20"/>
    <s v="№ 350/2018 от 21.06.18"/>
    <m/>
    <m/>
    <m/>
    <m/>
    <s v="Positive"/>
    <n v="102834.6"/>
  </r>
  <r>
    <x v="6"/>
    <n v="38"/>
    <n v="86"/>
    <d v="2021-03-31T00:00:00"/>
    <d v="2021-08-02T23:50:13"/>
    <n v="-0.99320601851650281"/>
    <x v="4"/>
    <s v="Current"/>
    <s v="Сток Havaianas"/>
    <x v="5"/>
    <n v="70671.34"/>
    <s v="Платежное поручение исходящее УТ000000004 от 31.03.2021 23:50:13"/>
    <x v="12"/>
    <s v="31.03.2021 23:50:13"/>
    <x v="10"/>
    <s v="Оплата поставщику"/>
    <x v="21"/>
    <s v="№429/2020 от 22.06.2020"/>
    <m/>
    <m/>
    <m/>
    <m/>
    <s v="Positive"/>
    <n v="70671.34"/>
  </r>
  <r>
    <x v="4"/>
    <n v="95"/>
    <m/>
    <d v="2021-04-06T00:00:00"/>
    <d v="2021-07-10T11:11:20"/>
    <n v="22.533796296294895"/>
    <x v="5"/>
    <s v="Current"/>
    <s v="Сток Converse"/>
    <x v="0"/>
    <n v="47245.5"/>
    <s v="Реализация товаров и услуг УТ000006887 от 06.04.2021 11:11:20"/>
    <x v="19"/>
    <s v="06.04.2021 11:11:20"/>
    <x v="1"/>
    <s v="продажа, комиссия"/>
    <x v="20"/>
    <s v="№429/2020 от 22.06.2020"/>
    <m/>
    <m/>
    <m/>
    <m/>
    <s v="Positive"/>
    <n v="47245.5"/>
  </r>
  <r>
    <x v="4"/>
    <n v="95"/>
    <m/>
    <d v="2021-04-06T00:00:00"/>
    <d v="2021-07-10T11:13:46"/>
    <n v="22.532106481477967"/>
    <x v="5"/>
    <s v="Current"/>
    <s v="Сток Converse"/>
    <x v="0"/>
    <n v="40845"/>
    <s v="Реализация товаров и услуг УТ000006888 от 06.04.2021 11:13:46"/>
    <x v="19"/>
    <s v="06.04.2021 11:13:46"/>
    <x v="1"/>
    <s v="продажа, комиссия"/>
    <x v="20"/>
    <s v="№429/2020 от 22.06.2020"/>
    <m/>
    <m/>
    <m/>
    <m/>
    <s v="Positive"/>
    <n v="40845"/>
  </r>
  <r>
    <x v="4"/>
    <n v="95"/>
    <m/>
    <d v="2021-04-06T00:00:00"/>
    <d v="2021-07-10T11:15:16"/>
    <n v="22.531064814815181"/>
    <x v="5"/>
    <s v="Current"/>
    <s v="Сток Converse"/>
    <x v="0"/>
    <n v="65800"/>
    <s v="Реализация товаров и услуг УТ000006889 от 06.04.2021 11:15:16"/>
    <x v="19"/>
    <s v="06.04.2021 11:15:16"/>
    <x v="1"/>
    <s v="продажа, комиссия"/>
    <x v="20"/>
    <s v="Оферта"/>
    <m/>
    <m/>
    <m/>
    <m/>
    <s v="Positive"/>
    <n v="65800"/>
  </r>
  <r>
    <x v="4"/>
    <n v="95"/>
    <m/>
    <d v="2021-04-06T00:00:00"/>
    <d v="2021-07-10T11:31:17"/>
    <n v="22.519942129627452"/>
    <x v="5"/>
    <s v="Current"/>
    <s v="Сток Converse"/>
    <x v="0"/>
    <n v="141030"/>
    <s v="Реализация товаров и услуг УТ000006890 от 06.04.2021 11:31:17"/>
    <x v="19"/>
    <s v="06.04.2021 11:31:17"/>
    <x v="1"/>
    <s v="продажа, комиссия"/>
    <x v="20"/>
    <s v="Оферта"/>
    <m/>
    <m/>
    <m/>
    <m/>
    <s v="Positive"/>
    <n v="141030"/>
  </r>
  <r>
    <x v="4"/>
    <n v="95"/>
    <m/>
    <d v="2021-04-08T00:00:00"/>
    <d v="2021-07-12T17:20:04"/>
    <n v="20.277731481481169"/>
    <x v="5"/>
    <s v="Current"/>
    <s v="Сток Saucony"/>
    <x v="3"/>
    <n v="39628.9"/>
    <s v="Реализация товаров и услуг УТ000007088 от 08.04.2021 17:20:04"/>
    <x v="19"/>
    <s v="08.04.2021 17:20:04"/>
    <x v="4"/>
    <s v="продажа, комиссия"/>
    <x v="20"/>
    <s v="Оферта"/>
    <m/>
    <m/>
    <m/>
    <m/>
    <s v="Positive"/>
    <n v="39628.9"/>
  </r>
  <r>
    <x v="4"/>
    <n v="95"/>
    <m/>
    <d v="2021-04-08T00:00:00"/>
    <d v="2021-07-12T17:21:58"/>
    <n v="20.276412037033879"/>
    <x v="5"/>
    <s v="Current"/>
    <s v="Сток Saucony"/>
    <x v="3"/>
    <n v="96668"/>
    <s v="Реализация товаров и услуг УТ000007089 от 08.04.2021 17:21:58"/>
    <x v="19"/>
    <s v="08.04.2021 17:21:58"/>
    <x v="4"/>
    <s v="продажа, комиссия"/>
    <x v="20"/>
    <s v="№429/2020 от 22.06.2020"/>
    <m/>
    <m/>
    <m/>
    <m/>
    <s v="Positive"/>
    <n v="96668"/>
  </r>
  <r>
    <x v="4"/>
    <n v="95"/>
    <m/>
    <d v="2021-04-08T00:00:00"/>
    <d v="2021-07-12T17:24:47"/>
    <n v="20.274456018516503"/>
    <x v="5"/>
    <s v="Current"/>
    <s v="Saucony"/>
    <x v="3"/>
    <n v="100412.4"/>
    <s v="Реализация товаров и услуг УТ000007090 от 08.04.2021 17:24:47"/>
    <x v="19"/>
    <s v="08.04.2021 17:24:47"/>
    <x v="7"/>
    <s v="продажа, комиссия"/>
    <x v="20"/>
    <s v="№429/2020 от 22.06.2020"/>
    <m/>
    <m/>
    <m/>
    <m/>
    <s v="Positive"/>
    <n v="100412.4"/>
  </r>
  <r>
    <x v="4"/>
    <n v="65"/>
    <m/>
    <d v="2021-04-12T00:00:00"/>
    <d v="2021-06-16T11:40:15"/>
    <n v="46.513715277775191"/>
    <x v="2"/>
    <s v="Current"/>
    <s v="Dr.Martens"/>
    <x v="4"/>
    <n v="52335"/>
    <s v="Реализация товаров и услуг УТ000007416 от 12.04.2021 11:40:15"/>
    <x v="14"/>
    <s v="12.04.2021 11:40:15"/>
    <x v="9"/>
    <s v="продажа, комиссия"/>
    <x v="14"/>
    <s v="№429/2020 от 22.06.2020"/>
    <m/>
    <m/>
    <m/>
    <m/>
    <s v="Positive"/>
    <n v="52335"/>
  </r>
  <r>
    <x v="2"/>
    <n v="0"/>
    <m/>
    <d v="2021-04-12T00:00:00"/>
    <d v="2021-04-12T17:00:00"/>
    <n v="111.29166666666424"/>
    <x v="1"/>
    <s v="Advance"/>
    <s v="Converse"/>
    <x v="0"/>
    <n v="-4628"/>
    <s v="Платежное поручение входящее 00BF-002577 от 12.04.2021 17:00:00"/>
    <x v="20"/>
    <s v="12.04.2021 17:00:00"/>
    <x v="0"/>
    <s v="Оплата от покупателя"/>
    <x v="22"/>
    <s v="№429/2020 от 22.06.2020"/>
    <m/>
    <m/>
    <m/>
    <m/>
    <s v="Negative"/>
    <n v="-4628"/>
  </r>
  <r>
    <x v="2"/>
    <n v="0"/>
    <m/>
    <d v="2021-04-13T00:00:00"/>
    <d v="2021-04-13T23:41:08"/>
    <n v="110.01310185185139"/>
    <x v="1"/>
    <s v="Advance"/>
    <s v="Сток Converse"/>
    <x v="0"/>
    <n v="-1194"/>
    <s v="Платежное поручение входящее УТ000000082 от 13.04.2021 23:41:08"/>
    <x v="21"/>
    <s v="13.04.2021 23:41:08"/>
    <x v="1"/>
    <s v="Оплата от покупателя"/>
    <x v="23"/>
    <s v="Договор №032/2012 от 01 марта 2012"/>
    <m/>
    <m/>
    <m/>
    <m/>
    <s v="Negative"/>
    <n v="-1194"/>
  </r>
  <r>
    <x v="4"/>
    <n v="95"/>
    <m/>
    <d v="2021-04-15T00:00:00"/>
    <d v="2021-07-19T11:24:29"/>
    <n v="13.524664351854881"/>
    <x v="1"/>
    <s v="Advance"/>
    <s v="Converse"/>
    <x v="0"/>
    <n v="-5087340"/>
    <s v="Реализация товаров и услуг УТ000007810 от 15.04.2021 11:24:29"/>
    <x v="22"/>
    <s v="15.04.2021 11:24:29"/>
    <x v="0"/>
    <s v="продажа, комиссия"/>
    <x v="24"/>
    <s v="№429/2020 от 22.06.2020"/>
    <m/>
    <m/>
    <m/>
    <m/>
    <s v="Negative"/>
    <n v="-5087340"/>
  </r>
  <r>
    <x v="4"/>
    <n v="65"/>
    <m/>
    <d v="2021-04-15T00:00:00"/>
    <d v="2021-06-19T18:42:45"/>
    <n v="43.220312500001455"/>
    <x v="3"/>
    <s v="Current"/>
    <s v="Converse"/>
    <x v="0"/>
    <n v="177840.6"/>
    <s v="Реализация товаров и услуг УТ000007835 от 15.04.2021 18:42:45"/>
    <x v="23"/>
    <s v="15.04.2021 18:42:45"/>
    <x v="0"/>
    <s v="продажа, комиссия"/>
    <x v="25"/>
    <s v="№429/2020 от 22.06.2020"/>
    <m/>
    <m/>
    <m/>
    <m/>
    <s v="Positive"/>
    <n v="177840.6"/>
  </r>
  <r>
    <x v="4"/>
    <n v="95"/>
    <m/>
    <d v="2021-04-16T00:00:00"/>
    <d v="2021-07-20T10:31:43"/>
    <n v="12.561307870368182"/>
    <x v="6"/>
    <s v="Current"/>
    <s v="Dr.Martens"/>
    <x v="4"/>
    <n v="398600"/>
    <s v="Реализация товаров и услуг УТ000007928 от 16.04.2021 10:31:43"/>
    <x v="19"/>
    <s v="16.04.2021 10:31:43"/>
    <x v="9"/>
    <s v="продажа, комиссия"/>
    <x v="20"/>
    <s v="№429/2020 от 22.06.2020"/>
    <m/>
    <m/>
    <m/>
    <m/>
    <s v="Positive"/>
    <n v="398600"/>
  </r>
  <r>
    <x v="4"/>
    <n v="95"/>
    <m/>
    <d v="2021-04-16T00:00:00"/>
    <d v="2021-07-20T10:33:58"/>
    <n v="12.559745370374003"/>
    <x v="6"/>
    <s v="Current"/>
    <s v="Сток Converse"/>
    <x v="0"/>
    <n v="242685"/>
    <s v="Реализация товаров и услуг УТ000007929 от 16.04.2021 10:33:58"/>
    <x v="19"/>
    <s v="16.04.2021 10:33:58"/>
    <x v="1"/>
    <s v="продажа, комиссия"/>
    <x v="20"/>
    <s v="Договор №032/2012 от 01 марта 2012"/>
    <m/>
    <m/>
    <m/>
    <m/>
    <s v="Positive"/>
    <n v="242685"/>
  </r>
  <r>
    <x v="4"/>
    <n v="95"/>
    <m/>
    <d v="2021-04-16T00:00:00"/>
    <d v="2021-07-20T10:35:25"/>
    <n v="12.558738425927004"/>
    <x v="6"/>
    <s v="Current"/>
    <s v="Сток Converse"/>
    <x v="0"/>
    <n v="35175"/>
    <s v="Реализация товаров и услуг УТ000007930 от 16.04.2021 10:35:25"/>
    <x v="19"/>
    <s v="16.04.2021 10:35:25"/>
    <x v="1"/>
    <s v="продажа, комиссия"/>
    <x v="20"/>
    <s v="Договор №032/2012 от 01 марта 2012"/>
    <m/>
    <m/>
    <m/>
    <m/>
    <s v="Positive"/>
    <n v="35175"/>
  </r>
  <r>
    <x v="4"/>
    <n v="95"/>
    <m/>
    <d v="2021-04-16T00:00:00"/>
    <d v="2021-07-20T10:36:26"/>
    <n v="12.558032407410792"/>
    <x v="6"/>
    <s v="Current"/>
    <s v="Saucony"/>
    <x v="3"/>
    <n v="198092"/>
    <s v="Реализация товаров и услуг УТ000007931 от 16.04.2021 10:36:26"/>
    <x v="19"/>
    <s v="16.04.2021 10:36:26"/>
    <x v="7"/>
    <s v="продажа, комиссия"/>
    <x v="20"/>
    <s v="Основной договор 306/2017"/>
    <m/>
    <m/>
    <m/>
    <m/>
    <s v="Positive"/>
    <n v="198092"/>
  </r>
  <r>
    <x v="4"/>
    <n v="95"/>
    <m/>
    <d v="2021-04-16T00:00:00"/>
    <d v="2021-07-20T10:37:35"/>
    <n v="12.557233796294895"/>
    <x v="6"/>
    <s v="Current"/>
    <s v="Сток Saucony"/>
    <x v="3"/>
    <n v="259023.7"/>
    <s v="Реализация товаров и услуг УТ000007932 от 16.04.2021 10:37:35"/>
    <x v="19"/>
    <s v="16.04.2021 10:37:35"/>
    <x v="4"/>
    <s v="продажа, комиссия"/>
    <x v="20"/>
    <s v="№ 018/2012 от 19 марта 2012"/>
    <m/>
    <m/>
    <m/>
    <m/>
    <s v="Positive"/>
    <n v="259023.7"/>
  </r>
  <r>
    <x v="4"/>
    <n v="95"/>
    <m/>
    <d v="2021-04-16T00:00:00"/>
    <d v="2021-07-20T10:38:43"/>
    <n v="12.556446759255778"/>
    <x v="6"/>
    <s v="Current"/>
    <s v="Сток Saucony"/>
    <x v="3"/>
    <n v="5306.75"/>
    <s v="Реализация товаров и услуг УТ000007933 от 16.04.2021 10:38:43"/>
    <x v="19"/>
    <s v="16.04.2021 10:38:43"/>
    <x v="4"/>
    <s v="продажа, комиссия"/>
    <x v="20"/>
    <s v="ИР-П 215/15 от 21.04.2015"/>
    <m/>
    <m/>
    <m/>
    <m/>
    <s v="Positive"/>
    <n v="5306.75"/>
  </r>
  <r>
    <x v="4"/>
    <n v="95"/>
    <m/>
    <d v="2021-04-16T00:00:00"/>
    <d v="2021-07-20T10:39:42"/>
    <n v="12.555763888885849"/>
    <x v="6"/>
    <s v="Current"/>
    <s v="Сток Converse"/>
    <x v="0"/>
    <n v="50762.25"/>
    <s v="Реализация товаров и услуг УТ000007934 от 16.04.2021 10:39:42"/>
    <x v="19"/>
    <s v="16.04.2021 10:39:42"/>
    <x v="1"/>
    <s v="продажа, комиссия"/>
    <x v="20"/>
    <s v="№429/2020 от 22.06.2020"/>
    <m/>
    <m/>
    <m/>
    <m/>
    <s v="Positive"/>
    <n v="50762.25"/>
  </r>
  <r>
    <x v="4"/>
    <n v="95"/>
    <m/>
    <d v="2021-04-16T00:00:00"/>
    <d v="2021-07-20T10:40:58"/>
    <n v="12.554884259261598"/>
    <x v="6"/>
    <s v="Current"/>
    <s v="Сток Converse"/>
    <x v="0"/>
    <n v="48588.75"/>
    <s v="Реализация товаров и услуг УТ000007935 от 16.04.2021 10:40:58"/>
    <x v="19"/>
    <s v="16.04.2021 10:40:58"/>
    <x v="1"/>
    <s v="продажа, комиссия"/>
    <x v="20"/>
    <s v="№429/2020 от 22.06.2020"/>
    <m/>
    <m/>
    <m/>
    <m/>
    <s v="Positive"/>
    <n v="48588.75"/>
  </r>
  <r>
    <x v="4"/>
    <n v="95"/>
    <m/>
    <d v="2021-04-21T00:00:00"/>
    <d v="2021-07-25T18:33:34"/>
    <n v="7.2266898148154723"/>
    <x v="1"/>
    <s v="Advance"/>
    <s v="Converse"/>
    <x v="0"/>
    <n v="-689792.59"/>
    <s v="Реализация товаров и услуг УТ000008560 от 21.04.2021 18:33:34"/>
    <x v="22"/>
    <s v="21.04.2021 18:33:34"/>
    <x v="0"/>
    <s v="продажа, комиссия"/>
    <x v="24"/>
    <s v="№429/2020 от 22.06.2020"/>
    <m/>
    <m/>
    <m/>
    <m/>
    <s v="Negative"/>
    <n v="-689792.59"/>
  </r>
  <r>
    <x v="2"/>
    <n v="0"/>
    <m/>
    <d v="2021-04-22T00:00:00"/>
    <d v="2021-04-22T17:00:00"/>
    <n v="101.29166666666424"/>
    <x v="1"/>
    <s v="Advance"/>
    <s v="Сток Converse"/>
    <x v="0"/>
    <n v="-10"/>
    <s v="Платежное поручение входящее 00BF-002869 от 22.04.2021 17:00:00"/>
    <x v="24"/>
    <s v="22.04.2021 17:00:00"/>
    <x v="1"/>
    <s v="Оплата от покупателя"/>
    <x v="26"/>
    <s v="№429/2020 от 22.06.2020"/>
    <m/>
    <m/>
    <m/>
    <m/>
    <s v="Negative"/>
    <n v="-10"/>
  </r>
  <r>
    <x v="2"/>
    <n v="65"/>
    <m/>
    <d v="2021-04-23T00:00:00"/>
    <d v="2021-06-27T23:50:07"/>
    <n v="35.006863425922347"/>
    <x v="1"/>
    <s v="Advance"/>
    <s v="Сток Dr.Martens"/>
    <x v="4"/>
    <n v="-1006499.9"/>
    <s v="Платежное поручение входящее УТ000000107 от 23.04.2021 23:50:07"/>
    <x v="14"/>
    <s v="23.04.2021 23:50:07"/>
    <x v="8"/>
    <s v="Оплата от покупателя"/>
    <x v="14"/>
    <s v="№429/2020 от 22.06.2020"/>
    <m/>
    <m/>
    <m/>
    <m/>
    <s v="Negative"/>
    <n v="-1006499.9"/>
  </r>
  <r>
    <x v="4"/>
    <n v="95"/>
    <m/>
    <d v="2021-04-27T00:00:00"/>
    <d v="2021-07-31T10:41:26"/>
    <n v="1.5545601851845277"/>
    <x v="6"/>
    <s v="Current"/>
    <s v="Converse"/>
    <x v="0"/>
    <n v="323466.67"/>
    <s v="Реализация товаров и услуг УТ000009134 от 27.04.2021 10:41:26"/>
    <x v="25"/>
    <s v="27.04.2021 10:41:26"/>
    <x v="0"/>
    <s v="продажа, комиссия"/>
    <x v="27"/>
    <s v="№429/2020 от 22.06.2020"/>
    <m/>
    <m/>
    <m/>
    <m/>
    <s v="Positive"/>
    <n v="323466.67"/>
  </r>
  <r>
    <x v="4"/>
    <n v="95"/>
    <m/>
    <d v="2021-04-27T00:00:00"/>
    <d v="2021-07-31T10:41:36"/>
    <n v="1.554444444445835"/>
    <x v="6"/>
    <s v="Current"/>
    <s v="Converse"/>
    <x v="0"/>
    <n v="97500"/>
    <s v="Реализация товаров и услуг УТ000009135 от 27.04.2021 10:41:36"/>
    <x v="25"/>
    <s v="27.04.2021 10:41:36"/>
    <x v="0"/>
    <s v="продажа, комиссия"/>
    <x v="27"/>
    <s v="№429/2020 от 22.06.2020"/>
    <m/>
    <m/>
    <m/>
    <m/>
    <s v="Positive"/>
    <n v="97500"/>
  </r>
  <r>
    <x v="4"/>
    <n v="65"/>
    <m/>
    <d v="2021-04-28T00:00:00"/>
    <d v="2021-07-02T16:07:29"/>
    <n v="30.32813657407678"/>
    <x v="3"/>
    <s v="Current"/>
    <s v="Converse"/>
    <x v="0"/>
    <n v="3358"/>
    <s v="Реализация товаров и услуг УТ000009264 от 28.04.2021 16:07:29"/>
    <x v="23"/>
    <s v="28.04.2021 16:07:29"/>
    <x v="0"/>
    <s v="продажа, комиссия"/>
    <x v="25"/>
    <s v="№429/2020 от 22.06.2020"/>
    <m/>
    <m/>
    <m/>
    <m/>
    <s v="Positive"/>
    <n v="3358"/>
  </r>
  <r>
    <x v="4"/>
    <n v="65"/>
    <m/>
    <d v="2021-04-28T00:00:00"/>
    <d v="2021-07-02T17:07:02"/>
    <n v="30.286782407405553"/>
    <x v="3"/>
    <s v="Current"/>
    <s v="Converse"/>
    <x v="0"/>
    <n v="5796"/>
    <s v="Реализация товаров и услуг УТ000009266 от 28.04.2021 17:07:02"/>
    <x v="23"/>
    <s v="28.04.2021 17:07:02"/>
    <x v="0"/>
    <s v="продажа, комиссия"/>
    <x v="25"/>
    <s v="Договор № 195/2014 от 01.08.2014"/>
    <m/>
    <m/>
    <m/>
    <m/>
    <s v="Positive"/>
    <n v="5796"/>
  </r>
  <r>
    <x v="4"/>
    <n v="95"/>
    <m/>
    <d v="2021-04-29T00:00:00"/>
    <d v="2021-08-02T09:51:16"/>
    <n v="-0.41060185185051523"/>
    <x v="4"/>
    <s v="Current"/>
    <s v="Сток Saucony"/>
    <x v="3"/>
    <n v="79690.8"/>
    <s v="Реализация товаров и услуг УТ000009352 от 29.04.2021 9:51:16"/>
    <x v="19"/>
    <s v="29.04.2021 9:51:16"/>
    <x v="4"/>
    <s v="продажа, комиссия"/>
    <x v="20"/>
    <s v="Договор №032/2012 от 01 марта 2012"/>
    <m/>
    <m/>
    <m/>
    <m/>
    <s v="Positive"/>
    <n v="79690.8"/>
  </r>
  <r>
    <x v="4"/>
    <n v="95"/>
    <m/>
    <d v="2021-04-29T00:00:00"/>
    <d v="2021-08-02T09:52:24"/>
    <n v="-0.41138888888963265"/>
    <x v="4"/>
    <s v="Current"/>
    <s v="Сток Saucony"/>
    <x v="3"/>
    <n v="140120"/>
    <s v="Реализация товаров и услуг УТ000009353 от 29.04.2021 9:52:24"/>
    <x v="19"/>
    <s v="29.04.2021 9:52:24"/>
    <x v="4"/>
    <s v="продажа, комиссия"/>
    <x v="20"/>
    <s v="Договор № 195/2014 от 01.08.2014"/>
    <m/>
    <m/>
    <m/>
    <m/>
    <s v="Positive"/>
    <n v="140120"/>
  </r>
  <r>
    <x v="4"/>
    <n v="95"/>
    <m/>
    <d v="2021-04-29T00:00:00"/>
    <d v="2021-08-02T09:53:29"/>
    <n v="-0.41214120370568708"/>
    <x v="4"/>
    <s v="Current"/>
    <s v="Сток Dr.Martens"/>
    <x v="4"/>
    <n v="17808"/>
    <s v="Реализация товаров и услуг УТ000009354 от 29.04.2021 9:53:29"/>
    <x v="19"/>
    <s v="29.04.2021 9:53:29"/>
    <x v="8"/>
    <s v="продажа, комиссия"/>
    <x v="20"/>
    <s v="Договор № 195/2014 от 01.08.2014"/>
    <m/>
    <m/>
    <m/>
    <m/>
    <s v="Positive"/>
    <n v="17808"/>
  </r>
  <r>
    <x v="4"/>
    <n v="95"/>
    <m/>
    <d v="2021-04-29T00:00:00"/>
    <d v="2021-08-02T09:54:20"/>
    <n v="-0.41273148148320615"/>
    <x v="4"/>
    <s v="Current"/>
    <s v="Saucony"/>
    <x v="3"/>
    <n v="131994.25"/>
    <s v="Реализация товаров и услуг УТ000009355 от 29.04.2021 9:54:20"/>
    <x v="19"/>
    <s v="29.04.2021 9:54:20"/>
    <x v="7"/>
    <s v="продажа, комиссия"/>
    <x v="20"/>
    <s v="258/2015 от 21.08.2015"/>
    <m/>
    <m/>
    <m/>
    <m/>
    <s v="Positive"/>
    <n v="131994.25"/>
  </r>
  <r>
    <x v="4"/>
    <n v="95"/>
    <m/>
    <d v="2021-04-29T00:00:00"/>
    <d v="2021-08-02T09:55:17"/>
    <n v="-0.41339120370685123"/>
    <x v="4"/>
    <s v="Current"/>
    <s v="Dr.Martens"/>
    <x v="4"/>
    <n v="221160"/>
    <s v="Реализация товаров и услуг УТ000009356 от 29.04.2021 9:55:17"/>
    <x v="19"/>
    <s v="29.04.2021 9:55:17"/>
    <x v="9"/>
    <s v="продажа, комиссия"/>
    <x v="20"/>
    <s v="Договор №032/2012 от 01 марта 2012"/>
    <m/>
    <m/>
    <m/>
    <m/>
    <s v="Positive"/>
    <n v="221160"/>
  </r>
  <r>
    <x v="4"/>
    <n v="95"/>
    <m/>
    <d v="2021-04-29T00:00:00"/>
    <d v="2021-08-02T09:56:15"/>
    <n v="-0.4140625"/>
    <x v="4"/>
    <s v="Current"/>
    <s v="Dr.Martens"/>
    <x v="4"/>
    <n v="238280"/>
    <s v="Реализация товаров и услуг УТ000009357 от 29.04.2021 9:56:15"/>
    <x v="19"/>
    <s v="29.04.2021 9:56:15"/>
    <x v="9"/>
    <s v="продажа, комиссия"/>
    <x v="20"/>
    <s v="№ 435/2020 от 16.09.2020"/>
    <m/>
    <m/>
    <m/>
    <m/>
    <s v="Positive"/>
    <n v="238280"/>
  </r>
  <r>
    <x v="4"/>
    <n v="95"/>
    <m/>
    <d v="2021-04-29T00:00:00"/>
    <d v="2021-08-02T09:57:11"/>
    <n v="-0.41471064814686542"/>
    <x v="4"/>
    <s v="Current"/>
    <s v="Сток Converse"/>
    <x v="0"/>
    <n v="111870"/>
    <s v="Реализация товаров и услуг УТ000009358 от 29.04.2021 9:57:11"/>
    <x v="19"/>
    <s v="29.04.2021 9:57:11"/>
    <x v="1"/>
    <s v="продажа, комиссия"/>
    <x v="20"/>
    <s v="№ 435/2020 от 16.09.2020"/>
    <m/>
    <m/>
    <m/>
    <m/>
    <s v="Positive"/>
    <n v="111870"/>
  </r>
  <r>
    <x v="4"/>
    <n v="95"/>
    <m/>
    <d v="2021-04-29T00:00:00"/>
    <d v="2021-08-02T09:58:08"/>
    <n v="-0.4153703703705105"/>
    <x v="4"/>
    <s v="Current"/>
    <s v="Сток Converse"/>
    <x v="0"/>
    <n v="23800"/>
    <s v="Реализация товаров и услуг УТ000009359 от 29.04.2021 9:58:08"/>
    <x v="19"/>
    <s v="29.04.2021 9:58:08"/>
    <x v="1"/>
    <s v="продажа, комиссия"/>
    <x v="20"/>
    <s v="ИР-П 215/15 от 21.04.2015"/>
    <m/>
    <m/>
    <m/>
    <m/>
    <s v="Positive"/>
    <n v="23800"/>
  </r>
  <r>
    <x v="4"/>
    <n v="95"/>
    <m/>
    <d v="2021-04-29T00:00:00"/>
    <d v="2021-08-02T09:59:16"/>
    <n v="-0.41615740740962792"/>
    <x v="4"/>
    <s v="Current"/>
    <s v="Сток Converse"/>
    <x v="0"/>
    <n v="255870"/>
    <s v="Реализация товаров и услуг УТ000009360 от 29.04.2021 9:59:16"/>
    <x v="19"/>
    <s v="29.04.2021 9:59:16"/>
    <x v="1"/>
    <s v="продажа, комиссия"/>
    <x v="20"/>
    <s v="ИР-П 215/15 от 21.04.2015"/>
    <m/>
    <m/>
    <m/>
    <m/>
    <s v="Positive"/>
    <n v="255870"/>
  </r>
  <r>
    <x v="4"/>
    <n v="95"/>
    <m/>
    <d v="2021-04-29T00:00:00"/>
    <d v="2021-08-02T23:21:13"/>
    <n v="-0.97306712962745223"/>
    <x v="4"/>
    <s v="Current"/>
    <s v="Converse"/>
    <x v="0"/>
    <n v="47675.5"/>
    <s v="Реализация товаров и услуг УТ000009414 от 29.04.2021 23:21:13"/>
    <x v="12"/>
    <s v="29.04.2021 23:21:13"/>
    <x v="0"/>
    <s v="продажа, комиссия"/>
    <x v="17"/>
    <s v="№429/2020 от 22.06.2020"/>
    <m/>
    <m/>
    <m/>
    <m/>
    <s v="Positive"/>
    <n v="47675.5"/>
  </r>
  <r>
    <x v="0"/>
    <n v="45"/>
    <m/>
    <d v="2021-04-30T00:00:00"/>
    <d v="2021-06-14T17:23:13"/>
    <n v="48.275543981479132"/>
    <x v="2"/>
    <s v="Current"/>
    <s v="Сток Dr.Martens"/>
    <x v="4"/>
    <n v="4850.91"/>
    <s v="Отчет комиссионера о продажах УТ000000233 от 30.04.2021 17:23:13"/>
    <x v="26"/>
    <s v="30.04.2021 17:23:13"/>
    <x v="8"/>
    <m/>
    <x v="28"/>
    <s v="№429/2020 от 22.06.2020"/>
    <m/>
    <m/>
    <m/>
    <m/>
    <s v="Positive"/>
    <n v="4850.91"/>
  </r>
  <r>
    <x v="4"/>
    <n v="95"/>
    <m/>
    <d v="2021-05-06T00:00:00"/>
    <d v="2021-08-09T16:41:16"/>
    <n v="-7.6953240740767797"/>
    <x v="4"/>
    <s v="Current"/>
    <s v="Converse"/>
    <x v="0"/>
    <n v="4204980"/>
    <s v="Реализация товаров и услуг УТ000009900 от 06.05.2021 16:41:16"/>
    <x v="22"/>
    <s v="06.05.2021 16:41:16"/>
    <x v="0"/>
    <s v="продажа, комиссия"/>
    <x v="24"/>
    <s v="№429/2020 от 22.06.2020"/>
    <m/>
    <m/>
    <m/>
    <m/>
    <s v="Positive"/>
    <n v="4204980"/>
  </r>
  <r>
    <x v="4"/>
    <n v="95"/>
    <m/>
    <d v="2021-05-07T00:00:00"/>
    <d v="2021-08-10T12:19:20"/>
    <n v="-8.513425925928459"/>
    <x v="4"/>
    <s v="Current"/>
    <s v="Converse"/>
    <x v="0"/>
    <n v="3196845"/>
    <s v="Реализация товаров и услуг УТ000009967 от 07.05.2021 12:19:20"/>
    <x v="22"/>
    <s v="07.05.2021 12:19:20"/>
    <x v="0"/>
    <s v="продажа, комиссия"/>
    <x v="24"/>
    <s v="№429/2020 от 22.06.2020"/>
    <m/>
    <m/>
    <m/>
    <m/>
    <s v="Positive"/>
    <n v="3196845"/>
  </r>
  <r>
    <x v="4"/>
    <n v="95"/>
    <m/>
    <d v="2021-05-11T00:00:00"/>
    <d v="2021-08-14T14:38:55"/>
    <n v="-12.61035879629344"/>
    <x v="4"/>
    <s v="Current"/>
    <s v="Converse"/>
    <x v="0"/>
    <n v="900609"/>
    <s v="Реализация товаров и услуг УТ000010295 от 11.05.2021 14:38:55"/>
    <x v="12"/>
    <s v="11.05.2021 14:38:55"/>
    <x v="0"/>
    <s v="продажа, комиссия"/>
    <x v="17"/>
    <s v="№429/2020 от 22.06.2020"/>
    <m/>
    <m/>
    <m/>
    <m/>
    <s v="Positive"/>
    <n v="900609"/>
  </r>
  <r>
    <x v="4"/>
    <n v="95"/>
    <m/>
    <d v="2021-05-17T00:00:00"/>
    <d v="2021-08-20T17:24:29"/>
    <n v="-18.725335648145119"/>
    <x v="4"/>
    <s v="Current"/>
    <s v="Сток Converse"/>
    <x v="0"/>
    <n v="201960"/>
    <s v="Реализация товаров и услуг УТ000010901 от 17.05.2021 17:24:29"/>
    <x v="22"/>
    <s v="17.05.2021 17:24:29"/>
    <x v="1"/>
    <s v="продажа, комиссия"/>
    <x v="24"/>
    <s v="№429/2020 от 22.06.2020"/>
    <m/>
    <m/>
    <m/>
    <m/>
    <s v="Positive"/>
    <n v="201960"/>
  </r>
  <r>
    <x v="4"/>
    <n v="95"/>
    <m/>
    <d v="2021-05-17T00:00:00"/>
    <d v="2021-08-20T17:24:53"/>
    <n v="-18.725613425922347"/>
    <x v="4"/>
    <s v="Current"/>
    <s v="Converse"/>
    <x v="0"/>
    <n v="1941750"/>
    <s v="Реализация товаров и услуг УТ000010903 от 17.05.2021 17:24:53"/>
    <x v="22"/>
    <s v="17.05.2021 17:24:53"/>
    <x v="0"/>
    <s v="продажа, комиссия"/>
    <x v="24"/>
    <s v="№429/2020 от 22.06.2020"/>
    <m/>
    <m/>
    <m/>
    <m/>
    <s v="Positive"/>
    <n v="1941750"/>
  </r>
  <r>
    <x v="4"/>
    <n v="95"/>
    <m/>
    <d v="2021-05-17T00:00:00"/>
    <d v="2021-08-20T17:40:52"/>
    <n v="-18.736712962963793"/>
    <x v="4"/>
    <s v="Current"/>
    <s v="Сток Converse"/>
    <x v="0"/>
    <n v="8493001"/>
    <s v="Реализация товаров и услуг УТ000010902 от 17.05.2021 17:40:52"/>
    <x v="22"/>
    <s v="17.05.2021 17:40:52"/>
    <x v="1"/>
    <s v="продажа, комиссия"/>
    <x v="24"/>
    <s v="№429/2020 от 22.06.2020"/>
    <m/>
    <m/>
    <m/>
    <m/>
    <s v="Positive"/>
    <n v="8493001"/>
  </r>
  <r>
    <x v="4"/>
    <n v="95"/>
    <m/>
    <d v="2021-05-19T00:00:00"/>
    <d v="2021-08-22T13:34:36"/>
    <n v="-20.56569444444176"/>
    <x v="4"/>
    <s v="Current"/>
    <s v="Converse"/>
    <x v="0"/>
    <n v="560150"/>
    <s v="Реализация товаров и услуг УТ000011179 от 19.05.2021 13:34:36"/>
    <x v="25"/>
    <s v="19.05.2021 13:34:36"/>
    <x v="0"/>
    <s v="продажа, комиссия"/>
    <x v="27"/>
    <s v="№429/2020 от 22.06.2020"/>
    <m/>
    <m/>
    <m/>
    <m/>
    <s v="Positive"/>
    <n v="560150"/>
  </r>
  <r>
    <x v="4"/>
    <n v="95"/>
    <m/>
    <d v="2021-05-20T00:00:00"/>
    <d v="2021-08-23T12:10:50"/>
    <n v="-21.507523148145992"/>
    <x v="4"/>
    <s v="Current"/>
    <s v="Converse"/>
    <x v="0"/>
    <n v="2633224.35"/>
    <s v="Реализация товаров и услуг УТ000011308 от 20.05.2021 12:10:50"/>
    <x v="12"/>
    <s v="20.05.2021 12:10:50"/>
    <x v="0"/>
    <s v="продажа, комиссия"/>
    <x v="17"/>
    <s v="Договор 212/2014 от 01.10.2014"/>
    <m/>
    <m/>
    <m/>
    <m/>
    <s v="Positive"/>
    <n v="2633224.35"/>
  </r>
  <r>
    <x v="4"/>
    <n v="65"/>
    <m/>
    <d v="2021-05-20T00:00:00"/>
    <d v="2021-07-24T13:02:50"/>
    <n v="8.4563657407416031"/>
    <x v="6"/>
    <s v="Current"/>
    <s v="Converse"/>
    <x v="0"/>
    <n v="4094"/>
    <s v="Реализация товаров и услуг УТ000011310 от 20.05.2021 13:02:50"/>
    <x v="23"/>
    <s v="20.05.2021 13:02:50"/>
    <x v="0"/>
    <s v="продажа, комиссия"/>
    <x v="25"/>
    <s v="Договор 212/2014 от 01.10.2014"/>
    <m/>
    <m/>
    <m/>
    <m/>
    <s v="Positive"/>
    <n v="4094"/>
  </r>
  <r>
    <x v="4"/>
    <n v="65"/>
    <m/>
    <d v="2021-05-20T00:00:00"/>
    <d v="2021-07-24T16:20:39"/>
    <n v="8.3189930555527098"/>
    <x v="1"/>
    <s v="Advance"/>
    <s v="Converse"/>
    <x v="0"/>
    <n v="-622500"/>
    <s v="Реализация товаров и услуг УТ000011317 от 20.05.2021 16:20:39"/>
    <x v="14"/>
    <s v="20.05.2021 16:20:39"/>
    <x v="0"/>
    <s v="продажа, комиссия"/>
    <x v="14"/>
    <s v="Договор № 195/2014 от 01.08.2014"/>
    <m/>
    <m/>
    <m/>
    <m/>
    <s v="Negative"/>
    <n v="-622500"/>
  </r>
  <r>
    <x v="4"/>
    <n v="95"/>
    <m/>
    <d v="2021-05-25T00:00:00"/>
    <d v="2021-08-28T11:10:39"/>
    <n v="-26.465729166666279"/>
    <x v="4"/>
    <s v="Current"/>
    <s v="Converse"/>
    <x v="0"/>
    <n v="396157.5"/>
    <s v="Реализация товаров и услуг УТ000011815 от 25.05.2021 11:10:39"/>
    <x v="22"/>
    <s v="25.05.2021 11:10:39"/>
    <x v="0"/>
    <s v="продажа, комиссия"/>
    <x v="24"/>
    <s v="Договор № 195/2014 от 01.08.2014"/>
    <m/>
    <m/>
    <m/>
    <m/>
    <s v="Positive"/>
    <n v="396157.5"/>
  </r>
  <r>
    <x v="4"/>
    <n v="95"/>
    <m/>
    <d v="2021-05-25T00:00:00"/>
    <d v="2021-08-28T11:12:39"/>
    <n v="-26.467118055552419"/>
    <x v="4"/>
    <s v="Current"/>
    <s v="Сток Converse"/>
    <x v="0"/>
    <n v="1780335"/>
    <s v="Реализация товаров и услуг УТ000011814 от 25.05.2021 11:12:39"/>
    <x v="22"/>
    <s v="25.05.2021 11:12:39"/>
    <x v="1"/>
    <s v="продажа, комиссия"/>
    <x v="24"/>
    <s v="№ К 130-04-20 от 7 мая 2020 г."/>
    <m/>
    <m/>
    <m/>
    <m/>
    <s v="Positive"/>
    <n v="1780335"/>
  </r>
  <r>
    <x v="4"/>
    <n v="95"/>
    <m/>
    <d v="2021-05-25T00:00:00"/>
    <d v="2021-08-28T13:40:15"/>
    <n v="-26.569618055553292"/>
    <x v="4"/>
    <s v="Current"/>
    <s v="Converse"/>
    <x v="0"/>
    <n v="2787705"/>
    <s v="Реализация товаров и услуг УТ000011816 от 25.05.2021 13:40:15"/>
    <x v="22"/>
    <s v="25.05.2021 13:40:15"/>
    <x v="0"/>
    <s v="продажа, комиссия"/>
    <x v="24"/>
    <s v="№ К 130-04-20 от 7 мая 2020 г."/>
    <m/>
    <m/>
    <m/>
    <m/>
    <s v="Positive"/>
    <n v="2787705"/>
  </r>
  <r>
    <x v="4"/>
    <n v="95"/>
    <m/>
    <d v="2021-05-26T00:00:00"/>
    <d v="2021-08-29T12:49:04"/>
    <n v="-27.534074074072123"/>
    <x v="4"/>
    <s v="Current"/>
    <s v="UGG"/>
    <x v="2"/>
    <n v="21525"/>
    <s v="Реализация товаров и услуг УТ000011948 от 26.05.2021 12:49:04"/>
    <x v="19"/>
    <s v="26.05.2021 12:49:04"/>
    <x v="6"/>
    <s v="продажа, комиссия"/>
    <x v="20"/>
    <s v="Оферта"/>
    <m/>
    <m/>
    <m/>
    <m/>
    <s v="Positive"/>
    <n v="21525"/>
  </r>
  <r>
    <x v="4"/>
    <n v="95"/>
    <m/>
    <d v="2021-05-26T00:00:00"/>
    <d v="2021-08-29T12:51:56"/>
    <n v="-27.536064814812562"/>
    <x v="4"/>
    <s v="Current"/>
    <s v="UGG"/>
    <x v="2"/>
    <n v="35850"/>
    <s v="Реализация товаров и услуг УТ000011949 от 26.05.2021 12:51:56"/>
    <x v="19"/>
    <s v="26.05.2021 12:51:56"/>
    <x v="6"/>
    <s v="продажа, комиссия"/>
    <x v="20"/>
    <s v="Оферта"/>
    <m/>
    <m/>
    <m/>
    <m/>
    <s v="Positive"/>
    <n v="35850"/>
  </r>
  <r>
    <x v="4"/>
    <n v="95"/>
    <m/>
    <d v="2021-05-26T00:00:00"/>
    <d v="2021-08-29T12:54:58"/>
    <n v="-27.53817129629897"/>
    <x v="4"/>
    <s v="Current"/>
    <s v="Saucony"/>
    <x v="3"/>
    <n v="66120"/>
    <s v="Реализация товаров и услуг УТ000011950 от 26.05.2021 12:54:58"/>
    <x v="19"/>
    <s v="26.05.2021 12:54:58"/>
    <x v="7"/>
    <s v="продажа, комиссия"/>
    <x v="20"/>
    <s v="Оферта"/>
    <m/>
    <m/>
    <m/>
    <m/>
    <s v="Positive"/>
    <n v="66120"/>
  </r>
  <r>
    <x v="4"/>
    <n v="95"/>
    <m/>
    <d v="2021-05-26T00:00:00"/>
    <d v="2021-08-29T13:07:48"/>
    <n v="-27.547083333331102"/>
    <x v="4"/>
    <s v="Current"/>
    <s v="Saucony"/>
    <x v="3"/>
    <n v="61800"/>
    <s v="Реализация товаров и услуг УТ000011951 от 26.05.2021 13:07:48"/>
    <x v="19"/>
    <s v="26.05.2021 13:07:48"/>
    <x v="7"/>
    <s v="продажа, комиссия"/>
    <x v="20"/>
    <s v="Договор №032/2012 от 01 марта 2012"/>
    <m/>
    <m/>
    <m/>
    <m/>
    <s v="Positive"/>
    <n v="61800"/>
  </r>
  <r>
    <x v="4"/>
    <n v="95"/>
    <m/>
    <d v="2021-05-26T00:00:00"/>
    <d v="2021-08-29T13:08:01"/>
    <n v="-27.547233796292858"/>
    <x v="4"/>
    <s v="Current"/>
    <s v="Dr.Martens"/>
    <x v="4"/>
    <n v="30960"/>
    <s v="Реализация товаров и услуг УТ000011953 от 26.05.2021 13:08:01"/>
    <x v="19"/>
    <s v="26.05.2021 13:08:01"/>
    <x v="9"/>
    <s v="продажа, комиссия"/>
    <x v="20"/>
    <s v="Договор № 195/2014 от 01.08.2014"/>
    <m/>
    <m/>
    <m/>
    <m/>
    <s v="Positive"/>
    <n v="30960"/>
  </r>
  <r>
    <x v="4"/>
    <n v="95"/>
    <m/>
    <d v="2021-05-26T00:00:00"/>
    <d v="2021-08-29T13:12:23"/>
    <n v="-27.550266203703359"/>
    <x v="4"/>
    <s v="Current"/>
    <s v="Сток Converse"/>
    <x v="0"/>
    <n v="203895"/>
    <s v="Реализация товаров и услуг УТ000011954 от 26.05.2021 13:12:23"/>
    <x v="19"/>
    <s v="26.05.2021 13:12:23"/>
    <x v="1"/>
    <s v="продажа, комиссия"/>
    <x v="20"/>
    <s v="Договор № 195/2014 от 01.08.2014"/>
    <m/>
    <m/>
    <m/>
    <m/>
    <s v="Positive"/>
    <n v="203895"/>
  </r>
  <r>
    <x v="4"/>
    <n v="95"/>
    <m/>
    <d v="2021-05-26T00:00:00"/>
    <d v="2021-08-29T14:59:23"/>
    <n v="-27.624571759261016"/>
    <x v="4"/>
    <s v="Current"/>
    <s v="Сток Converse"/>
    <x v="0"/>
    <n v="394875"/>
    <s v="Реализация товаров и услуг УТ000011952 от 26.05.2021 14:59:23"/>
    <x v="19"/>
    <s v="26.05.2021 14:59:23"/>
    <x v="1"/>
    <s v="продажа, комиссия"/>
    <x v="20"/>
    <s v="Договор 212/2014 от 01.10.2014"/>
    <m/>
    <m/>
    <m/>
    <m/>
    <s v="Positive"/>
    <n v="394875"/>
  </r>
  <r>
    <x v="0"/>
    <n v="45"/>
    <m/>
    <d v="2021-05-31T00:00:00"/>
    <d v="2021-07-15T12:57:59"/>
    <n v="17.459733796298678"/>
    <x v="5"/>
    <s v="Current"/>
    <s v="Сток Converse"/>
    <x v="0"/>
    <n v="78394.48"/>
    <s v="Отчет комиссионера о продажах УТ000000271 от 31.05.2021 12:57:59"/>
    <x v="26"/>
    <s v="31.05.2021 12:57:59"/>
    <x v="1"/>
    <m/>
    <x v="28"/>
    <s v="Договор №032/2012 от 01 марта 2012"/>
    <m/>
    <m/>
    <m/>
    <m/>
    <s v="Positive"/>
    <n v="78394.48"/>
  </r>
  <r>
    <x v="0"/>
    <n v="45"/>
    <m/>
    <d v="2021-05-31T00:00:00"/>
    <d v="2021-07-15T12:59:11"/>
    <n v="17.458900462959718"/>
    <x v="5"/>
    <s v="Current"/>
    <s v="Сток Dr.Martens"/>
    <x v="4"/>
    <n v="30948"/>
    <s v="Отчет комиссионера о продажах УТ000000272 от 31.05.2021 12:59:11"/>
    <x v="26"/>
    <s v="31.05.2021 12:59:11"/>
    <x v="8"/>
    <m/>
    <x v="28"/>
    <s v="Договор №032/2012 от 01 марта 2012"/>
    <m/>
    <m/>
    <m/>
    <m/>
    <s v="Positive"/>
    <n v="30948"/>
  </r>
  <r>
    <x v="0"/>
    <n v="45"/>
    <m/>
    <d v="2021-05-31T00:00:00"/>
    <d v="2021-07-15T13:00:28"/>
    <n v="17.458009259258688"/>
    <x v="5"/>
    <s v="Current"/>
    <s v="Сток UGG"/>
    <x v="2"/>
    <n v="114072.62"/>
    <s v="Отчет комиссионера о продажах УТ000000273 от 31.05.2021 13:00:28"/>
    <x v="26"/>
    <s v="31.05.2021 13:00:28"/>
    <x v="3"/>
    <m/>
    <x v="28"/>
    <s v="Договор № 195/2014 от 01.08.2014"/>
    <m/>
    <m/>
    <m/>
    <m/>
    <s v="Positive"/>
    <n v="114072.62"/>
  </r>
  <r>
    <x v="0"/>
    <n v="45"/>
    <m/>
    <d v="2021-05-31T00:00:00"/>
    <d v="2021-07-15T13:02:17"/>
    <n v="17.45674768518802"/>
    <x v="5"/>
    <s v="Current"/>
    <s v="Сток Saucony"/>
    <x v="3"/>
    <n v="116496.8"/>
    <s v="Отчет комиссионера о продажах УТ000000274 от 31.05.2021 13:02:17"/>
    <x v="26"/>
    <s v="31.05.2021 13:02:17"/>
    <x v="4"/>
    <m/>
    <x v="28"/>
    <s v="Договор № 195/2014 от 01.08.2014"/>
    <m/>
    <m/>
    <m/>
    <m/>
    <s v="Positive"/>
    <n v="116496.8"/>
  </r>
  <r>
    <x v="0"/>
    <n v="38"/>
    <n v="25"/>
    <d v="2021-05-31T00:00:00"/>
    <d v="2021-08-02T15:08:56"/>
    <n v="-0.63120370370597811"/>
    <x v="4"/>
    <s v="Current"/>
    <s v="Сток Havaianas"/>
    <x v="5"/>
    <n v="30007.08"/>
    <s v="Отчет комиссионера о продажах УТ000000279 от 31.05.2021 15:08:56"/>
    <x v="12"/>
    <s v="31.05.2021 15:08:56"/>
    <x v="10"/>
    <m/>
    <x v="21"/>
    <s v="Договор № 195/2014 от 01.08.2014"/>
    <m/>
    <m/>
    <m/>
    <m/>
    <s v="Positive"/>
    <n v="30007.08"/>
  </r>
  <r>
    <x v="2"/>
    <n v="0"/>
    <m/>
    <d v="2021-06-07T00:00:00"/>
    <d v="2021-06-07T17:00:00"/>
    <n v="55.291666666664241"/>
    <x v="1"/>
    <s v="Advance"/>
    <s v="Сток Converse"/>
    <x v="0"/>
    <n v="-5200"/>
    <s v="Платежное поручение входящее 00BF-004012 от 07.06.2021 17:00:00"/>
    <x v="27"/>
    <s v="07.06.2021 17:00:00"/>
    <x v="1"/>
    <s v="Оплата от покупателя"/>
    <x v="15"/>
    <s v="№ 435/2020 от 16.09.2020"/>
    <m/>
    <m/>
    <m/>
    <m/>
    <s v="Negative"/>
    <n v="-5200"/>
  </r>
  <r>
    <x v="2"/>
    <n v="95"/>
    <m/>
    <d v="2021-06-08T00:00:00"/>
    <d v="2021-09-11T17:00:00"/>
    <n v="-40.708333333335759"/>
    <x v="1"/>
    <s v="Advance"/>
    <s v="Converse"/>
    <x v="0"/>
    <n v="-1245466"/>
    <s v="Платежное поручение входящее 00BF-004046 от 08.06.2021 17:00:00"/>
    <x v="22"/>
    <s v="08.06.2021 17:00:00"/>
    <x v="0"/>
    <s v="Оплата от покупателя"/>
    <x v="24"/>
    <s v="Договор 212/2014 от 01.10.2014"/>
    <m/>
    <m/>
    <m/>
    <m/>
    <s v="Negative"/>
    <n v="-1245466"/>
  </r>
  <r>
    <x v="2"/>
    <n v="0"/>
    <m/>
    <d v="2021-06-08T00:00:00"/>
    <d v="2021-06-08T17:00:00"/>
    <n v="54.291666666664241"/>
    <x v="1"/>
    <s v="Advance"/>
    <s v="Сток Converse"/>
    <x v="0"/>
    <n v="-0.76"/>
    <s v="Платежное поручение входящее 00BF-004050 от 08.06.2021 17:00:00"/>
    <x v="28"/>
    <s v="08.06.2021 17:00:00"/>
    <x v="1"/>
    <s v="Оплата от покупателя"/>
    <x v="29"/>
    <s v="ИР-П 215/15 от 21.04.2015"/>
    <m/>
    <m/>
    <m/>
    <m/>
    <s v="Negative"/>
    <n v="-0.76"/>
  </r>
  <r>
    <x v="4"/>
    <n v="95"/>
    <m/>
    <d v="2021-06-10T00:00:00"/>
    <d v="2021-09-13T10:46:49"/>
    <n v="-42.449178240742185"/>
    <x v="4"/>
    <s v="Current"/>
    <s v="Saucony"/>
    <x v="3"/>
    <n v="139840"/>
    <s v="Реализация товаров и услуг УТ000013449 от 10.06.2021 10:46:49"/>
    <x v="19"/>
    <s v="10.06.2021 10:46:49"/>
    <x v="7"/>
    <s v="продажа, комиссия"/>
    <x v="20"/>
    <s v="ИР-П 215/15 от 21.04.2015"/>
    <m/>
    <m/>
    <m/>
    <m/>
    <s v="Positive"/>
    <n v="139840"/>
  </r>
  <r>
    <x v="4"/>
    <n v="95"/>
    <m/>
    <d v="2021-06-10T00:00:00"/>
    <d v="2021-09-13T10:52:56"/>
    <n v="-42.453425925923511"/>
    <x v="4"/>
    <s v="Current"/>
    <s v="Dr.Martens"/>
    <x v="4"/>
    <n v="141480"/>
    <s v="Реализация товаров и услуг УТ000013453 от 10.06.2021 10:52:56"/>
    <x v="19"/>
    <s v="10.06.2021 10:52:56"/>
    <x v="9"/>
    <s v="продажа, комиссия"/>
    <x v="20"/>
    <s v="Договор №032/2012 от 01 марта 2012"/>
    <m/>
    <m/>
    <m/>
    <m/>
    <s v="Positive"/>
    <n v="141480"/>
  </r>
  <r>
    <x v="4"/>
    <n v="95"/>
    <m/>
    <d v="2021-06-10T00:00:00"/>
    <d v="2021-09-13T13:34:25"/>
    <n v="-42.565567129626288"/>
    <x v="4"/>
    <s v="Current"/>
    <s v="Сток Dr.Martens"/>
    <x v="4"/>
    <n v="95400"/>
    <s v="Реализация товаров и услуг УТ000013452 от 10.06.2021 13:34:25"/>
    <x v="19"/>
    <s v="10.06.2021 13:34:25"/>
    <x v="8"/>
    <s v="продажа, комиссия"/>
    <x v="20"/>
    <s v="Договор №032/2012 от 01 марта 2012"/>
    <m/>
    <m/>
    <m/>
    <m/>
    <s v="Positive"/>
    <n v="95400"/>
  </r>
  <r>
    <x v="4"/>
    <n v="95"/>
    <m/>
    <d v="2021-06-10T00:00:00"/>
    <d v="2021-09-13T13:35:04"/>
    <n v="-42.566018518518831"/>
    <x v="4"/>
    <s v="Current"/>
    <s v="Сток Dr.Martens"/>
    <x v="4"/>
    <n v="95400"/>
    <s v="Реализация товаров и услуг УТ000013448 от 10.06.2021 13:35:04"/>
    <x v="19"/>
    <s v="10.06.2021 13:35:04"/>
    <x v="8"/>
    <s v="продажа, комиссия"/>
    <x v="20"/>
    <s v="№ 295/2016 от 14.12.2016"/>
    <m/>
    <m/>
    <m/>
    <m/>
    <s v="Positive"/>
    <n v="95400"/>
  </r>
  <r>
    <x v="4"/>
    <n v="95"/>
    <m/>
    <d v="2021-06-10T00:00:00"/>
    <d v="2021-09-13T14:08:05"/>
    <n v="-42.588946759256942"/>
    <x v="4"/>
    <s v="Current"/>
    <s v="Сток Saucony"/>
    <x v="3"/>
    <n v="92468"/>
    <s v="Реализация товаров и услуг УТ000013454 от 10.06.2021 14:08:05"/>
    <x v="19"/>
    <s v="10.06.2021 14:08:05"/>
    <x v="4"/>
    <s v="продажа, комиссия"/>
    <x v="20"/>
    <s v="Договор № 195/2014 от 01.08.2014"/>
    <m/>
    <m/>
    <m/>
    <m/>
    <s v="Positive"/>
    <n v="92468"/>
  </r>
  <r>
    <x v="4"/>
    <n v="95"/>
    <m/>
    <d v="2021-06-10T00:00:00"/>
    <d v="2021-09-13T15:20:44"/>
    <n v="-42.639398148145119"/>
    <x v="4"/>
    <s v="Current"/>
    <s v="Saucony"/>
    <x v="3"/>
    <n v="214600"/>
    <s v="Реализация товаров и услуг УТ000013472 от 10.06.2021 15:20:44"/>
    <x v="19"/>
    <s v="10.06.2021 15:20:44"/>
    <x v="7"/>
    <s v="продажа, комиссия"/>
    <x v="20"/>
    <s v="Договор № 195/2014 от 01.08.2014"/>
    <m/>
    <m/>
    <m/>
    <m/>
    <s v="Positive"/>
    <n v="214600"/>
  </r>
  <r>
    <x v="4"/>
    <n v="65"/>
    <m/>
    <d v="2021-06-11T00:00:00"/>
    <d v="2021-08-15T10:13:04"/>
    <n v="-13.425740740742185"/>
    <x v="4"/>
    <s v="Current"/>
    <s v="Сток Converse"/>
    <x v="0"/>
    <n v="5118615"/>
    <s v="Реализация товаров и услуг УТ000013585 от 11.06.2021 10:13:04"/>
    <x v="14"/>
    <s v="11.06.2021 10:13:04"/>
    <x v="1"/>
    <s v="продажа, комиссия"/>
    <x v="14"/>
    <s v="Договор № 195/2014 от 01.08.2014"/>
    <m/>
    <m/>
    <m/>
    <m/>
    <s v="Positive"/>
    <n v="5118615"/>
  </r>
  <r>
    <x v="4"/>
    <n v="95"/>
    <m/>
    <d v="2021-06-11T00:00:00"/>
    <d v="2021-09-14T12:40:27"/>
    <n v="-43.528090277781303"/>
    <x v="4"/>
    <s v="Current"/>
    <s v="Сток Converse"/>
    <x v="0"/>
    <n v="32025"/>
    <s v="Реализация товаров и услуг УТ000013589 от 11.06.2021 12:40:27"/>
    <x v="19"/>
    <s v="11.06.2021 12:40:27"/>
    <x v="1"/>
    <s v="продажа, комиссия"/>
    <x v="20"/>
    <s v="№429/2020 от 22.06.2020"/>
    <m/>
    <m/>
    <m/>
    <m/>
    <s v="Positive"/>
    <n v="32025"/>
  </r>
  <r>
    <x v="4"/>
    <n v="95"/>
    <m/>
    <d v="2021-06-11T00:00:00"/>
    <d v="2021-09-14T12:43:25"/>
    <n v="-43.530150462960592"/>
    <x v="4"/>
    <s v="Current"/>
    <s v="Сток Converse"/>
    <x v="0"/>
    <n v="263214.65999999997"/>
    <s v="Реализация товаров и услуг УТ000013590 от 11.06.2021 12:43:25"/>
    <x v="19"/>
    <s v="11.06.2021 12:43:25"/>
    <x v="1"/>
    <s v="продажа, комиссия"/>
    <x v="20"/>
    <s v="№429/2020 от 22.06.2020"/>
    <m/>
    <m/>
    <m/>
    <m/>
    <s v="Positive"/>
    <n v="263214.65999999997"/>
  </r>
  <r>
    <x v="4"/>
    <n v="95"/>
    <m/>
    <d v="2021-06-11T00:00:00"/>
    <d v="2021-09-14T14:50:07"/>
    <n v="-43.618136574077653"/>
    <x v="4"/>
    <s v="Current"/>
    <s v="Сток Converse"/>
    <x v="0"/>
    <n v="199930.5"/>
    <s v="Реализация товаров и услуг УТ000013588 от 11.06.2021 14:50:07"/>
    <x v="19"/>
    <s v="11.06.2021 14:50:07"/>
    <x v="1"/>
    <s v="продажа, комиссия"/>
    <x v="20"/>
    <s v="№429/2020 от 22.06.2020"/>
    <m/>
    <m/>
    <m/>
    <m/>
    <s v="Positive"/>
    <n v="199930.5"/>
  </r>
  <r>
    <x v="4"/>
    <n v="95"/>
    <m/>
    <d v="2021-06-11T00:00:00"/>
    <d v="2021-09-14T15:49:46"/>
    <n v="-43.659560185187729"/>
    <x v="4"/>
    <s v="Current"/>
    <s v="Сток Converse"/>
    <x v="0"/>
    <n v="21241.5"/>
    <s v="Реализация товаров и услуг УТ000013595 от 11.06.2021 15:49:46"/>
    <x v="19"/>
    <s v="11.06.2021 15:49:46"/>
    <x v="1"/>
    <s v="продажа, комиссия"/>
    <x v="20"/>
    <s v="№429/2020 от 22.06.2020"/>
    <m/>
    <m/>
    <m/>
    <m/>
    <s v="Positive"/>
    <n v="21241.5"/>
  </r>
  <r>
    <x v="2"/>
    <n v="65"/>
    <m/>
    <d v="2021-06-11T00:00:00"/>
    <d v="2021-08-15T17:00:00"/>
    <n v="-13.708333333335759"/>
    <x v="1"/>
    <s v="Advance"/>
    <s v="Converse"/>
    <x v="0"/>
    <n v="-200607.93"/>
    <s v="Платежное поручение входящее 00BF-004129 от 11.06.2021 17:00:00"/>
    <x v="14"/>
    <s v="11.06.2021 17:00:00"/>
    <x v="0"/>
    <s v="Оплата от покупателя"/>
    <x v="14"/>
    <s v="№429/2020 от 22.06.2020"/>
    <m/>
    <m/>
    <m/>
    <m/>
    <s v="Negative"/>
    <n v="-200607.93"/>
  </r>
  <r>
    <x v="4"/>
    <n v="65"/>
    <m/>
    <d v="2021-06-16T00:00:00"/>
    <d v="2021-08-20T14:03:31"/>
    <n v="-18.585775462961465"/>
    <x v="4"/>
    <s v="Current"/>
    <s v="Сток Converse"/>
    <x v="0"/>
    <n v="494685"/>
    <s v="Реализация товаров и услуг УТ000014187 от 16.06.2021 14:03:31"/>
    <x v="14"/>
    <s v="16.06.2021 14:03:31"/>
    <x v="1"/>
    <s v="продажа, комиссия"/>
    <x v="14"/>
    <s v="№429/2020 от 22.06.2020"/>
    <m/>
    <m/>
    <m/>
    <m/>
    <s v="Positive"/>
    <n v="494685"/>
  </r>
  <r>
    <x v="4"/>
    <n v="19"/>
    <m/>
    <d v="2021-06-16T00:00:00"/>
    <d v="2021-07-05T18:32:14"/>
    <n v="27.227615740739566"/>
    <x v="5"/>
    <s v="Current"/>
    <s v="Converse"/>
    <x v="0"/>
    <n v="17000"/>
    <s v="Реализация товаров и услуг УТ000014198 от 16.06.2021 18:32:14"/>
    <x v="29"/>
    <s v="16.06.2021 18:32:14"/>
    <x v="0"/>
    <s v="продажа, комиссия"/>
    <x v="30"/>
    <s v="№429/2020 от 22.06.2020"/>
    <m/>
    <m/>
    <m/>
    <m/>
    <s v="Positive"/>
    <n v="17000"/>
  </r>
  <r>
    <x v="4"/>
    <n v="35"/>
    <m/>
    <d v="2021-06-21T00:00:00"/>
    <d v="2021-07-26T12:53:42"/>
    <n v="6.4627083333325572"/>
    <x v="6"/>
    <s v="Current"/>
    <s v="Converse"/>
    <x v="0"/>
    <n v="294734.90999999997"/>
    <s v="Реализация товаров и услуг УТ000014766 от 21.06.2021 12:53:42"/>
    <x v="30"/>
    <s v="21.06.2021 12:53:42"/>
    <x v="0"/>
    <s v="продажа, комиссия"/>
    <x v="31"/>
    <s v="ИР-П 215/15 от 21.04.2015"/>
    <m/>
    <m/>
    <m/>
    <m/>
    <s v="Positive"/>
    <n v="294734.90999999997"/>
  </r>
  <r>
    <x v="4"/>
    <n v="65"/>
    <m/>
    <d v="2021-06-21T00:00:00"/>
    <d v="2021-08-25T20:51:10"/>
    <n v="-23.868865740740148"/>
    <x v="4"/>
    <s v="Current"/>
    <s v="Сток Converse"/>
    <x v="0"/>
    <n v="1264140"/>
    <s v="Реализация товаров и услуг УТ000014764 от 21.06.2021 20:51:10"/>
    <x v="14"/>
    <s v="21.06.2021 20:51:10"/>
    <x v="1"/>
    <s v="продажа, комиссия"/>
    <x v="14"/>
    <s v="ИР-П 215/15 от 21.04.2015"/>
    <m/>
    <m/>
    <m/>
    <m/>
    <s v="Positive"/>
    <n v="1264140"/>
  </r>
  <r>
    <x v="2"/>
    <n v="0"/>
    <m/>
    <d v="2021-06-22T00:00:00"/>
    <d v="2021-06-22T17:00:00"/>
    <n v="40.291666666664241"/>
    <x v="1"/>
    <s v="Advance"/>
    <s v="Converse"/>
    <x v="0"/>
    <n v="-4250"/>
    <s v="Платежное поручение входящее 00BF-004404 от 22.06.2021 17:00:00"/>
    <x v="31"/>
    <s v="22.06.2021 17:00:00"/>
    <x v="0"/>
    <s v="Оплата от покупателя"/>
    <x v="32"/>
    <s v="№ 236/2015 от 27.04.2015"/>
    <m/>
    <m/>
    <m/>
    <m/>
    <s v="Negative"/>
    <n v="-4250"/>
  </r>
  <r>
    <x v="4"/>
    <n v="65"/>
    <m/>
    <d v="2021-06-23T00:00:00"/>
    <d v="2021-08-27T12:26:30"/>
    <n v="-25.518402777779556"/>
    <x v="4"/>
    <s v="Current"/>
    <s v="Сток Converse"/>
    <x v="0"/>
    <n v="1000"/>
    <s v="Реализация товаров и услуг УТ000015026 от 23.06.2021 12:26:30"/>
    <x v="32"/>
    <s v="23.06.2021 12:26:30"/>
    <x v="1"/>
    <s v="продажа, комиссия"/>
    <x v="33"/>
    <s v="№ К 130-04-20 от 7 мая 2020 г."/>
    <m/>
    <m/>
    <m/>
    <m/>
    <s v="Positive"/>
    <n v="1000"/>
  </r>
  <r>
    <x v="4"/>
    <n v="73"/>
    <m/>
    <d v="2021-06-24T00:00:00"/>
    <d v="2021-09-05T11:04:04"/>
    <n v="-34.461157407407882"/>
    <x v="1"/>
    <s v="Advance"/>
    <s v="Сток Converse"/>
    <x v="0"/>
    <n v="-407.95"/>
    <s v="Реализация товаров и услуг УТ000015163 от 24.06.2021 11:04:04"/>
    <x v="33"/>
    <s v="24.06.2021 11:04:04"/>
    <x v="1"/>
    <s v="продажа, комиссия"/>
    <x v="34"/>
    <s v="№ К 130-04-20 от 7 мая 2020 г."/>
    <m/>
    <m/>
    <m/>
    <m/>
    <s v="Negative"/>
    <n v="-407.95"/>
  </r>
  <r>
    <x v="4"/>
    <n v="65"/>
    <m/>
    <d v="2021-06-25T00:00:00"/>
    <d v="2021-08-29T14:43:12"/>
    <n v="-27.613333333334594"/>
    <x v="4"/>
    <s v="Current"/>
    <s v="Havaianas"/>
    <x v="5"/>
    <n v="2197923"/>
    <s v="Реализация товаров и услуг УТ000015287 от 25.06.2021 14:43:12"/>
    <x v="23"/>
    <s v="25.06.2021 14:43:12"/>
    <x v="11"/>
    <s v="продажа, комиссия"/>
    <x v="25"/>
    <s v="№ К 130-04-20 от 7 мая 2020 г."/>
    <m/>
    <m/>
    <m/>
    <m/>
    <s v="Positive"/>
    <n v="2197923"/>
  </r>
  <r>
    <x v="2"/>
    <n v="0"/>
    <m/>
    <d v="2021-06-29T00:00:00"/>
    <d v="2021-06-29T17:00:00"/>
    <n v="33.291666666664241"/>
    <x v="1"/>
    <s v="Advance"/>
    <s v="Сток Converse"/>
    <x v="0"/>
    <n v="-67520"/>
    <s v="Платежное поручение входящее 00BF-004557 от 29.06.2021 17:00:00"/>
    <x v="31"/>
    <s v="29.06.2021 17:00:00"/>
    <x v="1"/>
    <s v="Оплата от покупателя"/>
    <x v="32"/>
    <s v="№ К 130-04-20 от 7 мая 2020 г."/>
    <m/>
    <m/>
    <m/>
    <m/>
    <s v="Negative"/>
    <n v="-67520"/>
  </r>
  <r>
    <x v="0"/>
    <n v="45"/>
    <m/>
    <d v="2021-06-30T00:00:00"/>
    <d v="2021-08-14T19:02:46"/>
    <n v="-12.79358796296583"/>
    <x v="4"/>
    <s v="Current"/>
    <s v="Сток Converse"/>
    <x v="0"/>
    <n v="92655.62"/>
    <s v="Отчет комиссионера о продажах УТ000000307 от 30.06.2021 19:02:46"/>
    <x v="26"/>
    <s v="30.06.2021 19:02:46"/>
    <x v="1"/>
    <m/>
    <x v="28"/>
    <s v="Оферта"/>
    <m/>
    <m/>
    <m/>
    <m/>
    <s v="Positive"/>
    <n v="92655.62"/>
  </r>
  <r>
    <x v="0"/>
    <n v="45"/>
    <m/>
    <d v="2021-06-30T00:00:00"/>
    <d v="2021-08-14T19:04:30"/>
    <n v="-12.794791666667152"/>
    <x v="4"/>
    <s v="Current"/>
    <s v="Сток Dr.Martens"/>
    <x v="4"/>
    <n v="12387"/>
    <s v="Отчет комиссионера о продажах УТ000000309 от 30.06.2021 19:04:30"/>
    <x v="26"/>
    <s v="30.06.2021 19:04:30"/>
    <x v="8"/>
    <m/>
    <x v="28"/>
    <s v="Оферта"/>
    <m/>
    <m/>
    <m/>
    <m/>
    <s v="Positive"/>
    <n v="12387"/>
  </r>
  <r>
    <x v="0"/>
    <n v="45"/>
    <m/>
    <d v="2021-06-30T00:00:00"/>
    <d v="2021-08-14T19:05:27"/>
    <n v="-12.795451388890797"/>
    <x v="4"/>
    <s v="Current"/>
    <s v="Сток Saucony"/>
    <x v="3"/>
    <n v="496538.8"/>
    <s v="Отчет комиссионера о продажах УТ000000310 от 30.06.2021 19:05:27"/>
    <x v="26"/>
    <s v="30.06.2021 19:05:27"/>
    <x v="4"/>
    <m/>
    <x v="28"/>
    <s v="Оферта"/>
    <m/>
    <m/>
    <m/>
    <m/>
    <s v="Positive"/>
    <n v="496538.8"/>
  </r>
  <r>
    <x v="0"/>
    <n v="45"/>
    <m/>
    <d v="2021-06-30T00:00:00"/>
    <d v="2021-08-14T19:06:26"/>
    <n v="-12.796134259260725"/>
    <x v="4"/>
    <s v="Current"/>
    <s v="Сток UGG"/>
    <x v="2"/>
    <n v="187068"/>
    <s v="Отчет комиссионера о продажах УТ000000311 от 30.06.2021 19:06:26"/>
    <x v="26"/>
    <s v="30.06.2021 19:06:26"/>
    <x v="3"/>
    <m/>
    <x v="28"/>
    <s v="Договор №032/2012 от 01 марта 2012"/>
    <m/>
    <m/>
    <m/>
    <m/>
    <s v="Positive"/>
    <n v="187068"/>
  </r>
  <r>
    <x v="0"/>
    <n v="38"/>
    <m/>
    <d v="2021-06-30T00:00:00"/>
    <d v="2021-08-07T21:33:09"/>
    <n v="-5.89802083333052"/>
    <x v="4"/>
    <s v="Current"/>
    <s v="Hush Puppies"/>
    <x v="6"/>
    <n v="2437"/>
    <s v="Отчет комиссионера о продажах УТ000000315 от 30.06.2021 21:33:09"/>
    <x v="12"/>
    <s v="30.06.2021 21:33:09"/>
    <x v="12"/>
    <m/>
    <x v="21"/>
    <s v="Договор №032/2012 от 01 марта 2012"/>
    <m/>
    <m/>
    <m/>
    <m/>
    <s v="Positive"/>
    <n v="2437"/>
  </r>
  <r>
    <x v="0"/>
    <n v="38"/>
    <m/>
    <d v="2021-06-30T00:00:00"/>
    <d v="2021-08-07T21:34:24"/>
    <n v="-5.8988888888852671"/>
    <x v="4"/>
    <s v="Current"/>
    <s v="Сток Converse"/>
    <x v="0"/>
    <n v="3407855.41"/>
    <s v="Отчет комиссионера о продажах УТ000000318 от 30.06.2021 21:34:24"/>
    <x v="12"/>
    <s v="30.06.2021 21:34:24"/>
    <x v="1"/>
    <m/>
    <x v="21"/>
    <s v="№ 236/2015 от 27.04.2015"/>
    <m/>
    <m/>
    <m/>
    <m/>
    <s v="Positive"/>
    <n v="3407855.41"/>
  </r>
  <r>
    <x v="0"/>
    <n v="38"/>
    <m/>
    <d v="2021-06-30T00:00:00"/>
    <d v="2021-08-07T21:36:18"/>
    <n v="-5.9002083333325572"/>
    <x v="4"/>
    <s v="Current"/>
    <s v="Сток Havaianas"/>
    <x v="5"/>
    <n v="53005.15"/>
    <s v="Отчет комиссионера о продажах УТ000000316 от 30.06.2021 21:36:18"/>
    <x v="12"/>
    <s v="30.06.2021 21:36:18"/>
    <x v="10"/>
    <m/>
    <x v="21"/>
    <s v="№ 236/2015 от 27.04.2015"/>
    <m/>
    <m/>
    <m/>
    <m/>
    <s v="Positive"/>
    <n v="53005.15"/>
  </r>
  <r>
    <x v="0"/>
    <n v="38"/>
    <m/>
    <d v="2021-06-30T00:00:00"/>
    <d v="2021-08-07T21:38:00"/>
    <n v="-5.9013888888875954"/>
    <x v="4"/>
    <s v="Current"/>
    <s v="Сток Saucony"/>
    <x v="3"/>
    <n v="1050497"/>
    <s v="Отчет комиссионера о продажах УТ000000317 от 30.06.2021 21:38:00"/>
    <x v="12"/>
    <s v="30.06.2021 21:38:00"/>
    <x v="4"/>
    <m/>
    <x v="21"/>
    <s v="Договор № 195/2014 от 01.08.2014"/>
    <m/>
    <m/>
    <m/>
    <m/>
    <s v="Positive"/>
    <n v="1050497"/>
  </r>
  <r>
    <x v="4"/>
    <n v="95"/>
    <m/>
    <d v="2021-07-01T00:00:00"/>
    <d v="2021-10-04T12:33:37"/>
    <n v="-63.523344907407591"/>
    <x v="4"/>
    <s v="Current"/>
    <s v="Сток Converse"/>
    <x v="0"/>
    <n v="334305"/>
    <s v="Реализация товаров и услуг УТ000016050 от 01.07.2021 12:33:37"/>
    <x v="19"/>
    <s v="01.07.2021 12:33:37"/>
    <x v="1"/>
    <s v="продажа, комиссия"/>
    <x v="20"/>
    <s v="№242/2015 от 18.06.2015"/>
    <m/>
    <m/>
    <m/>
    <m/>
    <s v="Positive"/>
    <n v="334305"/>
  </r>
  <r>
    <x v="4"/>
    <n v="95"/>
    <m/>
    <d v="2021-07-01T00:00:00"/>
    <d v="2021-10-04T12:47:17"/>
    <n v="-63.532835648147739"/>
    <x v="4"/>
    <s v="Current"/>
    <s v="Сток Converse"/>
    <x v="0"/>
    <n v="15505"/>
    <s v="Реализация товаров и услуг УТ000016051 от 01.07.2021 12:47:17"/>
    <x v="19"/>
    <s v="01.07.2021 12:47:17"/>
    <x v="1"/>
    <s v="продажа, комиссия"/>
    <x v="20"/>
    <s v="Основной договор"/>
    <m/>
    <m/>
    <m/>
    <m/>
    <s v="Positive"/>
    <n v="15505"/>
  </r>
  <r>
    <x v="4"/>
    <n v="95"/>
    <m/>
    <d v="2021-07-01T00:00:00"/>
    <d v="2021-10-04T13:12:35"/>
    <n v="-63.550405092595611"/>
    <x v="4"/>
    <s v="Current"/>
    <s v="Сток Converse"/>
    <x v="0"/>
    <n v="36225"/>
    <s v="Реализация товаров и услуг УТ000016054 от 01.07.2021 13:12:35"/>
    <x v="19"/>
    <s v="01.07.2021 13:12:35"/>
    <x v="1"/>
    <s v="продажа, комиссия"/>
    <x v="20"/>
    <s v="Основной договор"/>
    <m/>
    <m/>
    <m/>
    <m/>
    <s v="Positive"/>
    <n v="36225"/>
  </r>
  <r>
    <x v="4"/>
    <n v="95"/>
    <m/>
    <d v="2021-07-01T00:00:00"/>
    <d v="2021-10-04T13:17:30"/>
    <n v="-63.553819444445253"/>
    <x v="4"/>
    <s v="Current"/>
    <s v="UGG"/>
    <x v="2"/>
    <n v="68200"/>
    <s v="Реализация товаров и услуг УТ000016055 от 01.07.2021 13:17:30"/>
    <x v="19"/>
    <s v="01.07.2021 13:17:30"/>
    <x v="6"/>
    <s v="продажа, комиссия"/>
    <x v="20"/>
    <s v="Основной договор"/>
    <m/>
    <m/>
    <m/>
    <m/>
    <s v="Positive"/>
    <n v="68200"/>
  </r>
  <r>
    <x v="4"/>
    <n v="95"/>
    <m/>
    <d v="2021-07-01T00:00:00"/>
    <d v="2021-10-04T13:26:34"/>
    <n v="-63.56011574074364"/>
    <x v="4"/>
    <s v="Current"/>
    <s v="Сток Converse"/>
    <x v="0"/>
    <n v="2478195"/>
    <s v="Реализация товаров и услуг УТ000016056 от 01.07.2021 13:26:34"/>
    <x v="22"/>
    <s v="01.07.2021 13:26:34"/>
    <x v="1"/>
    <s v="продажа, комиссия"/>
    <x v="24"/>
    <s v="Основной договор"/>
    <m/>
    <m/>
    <m/>
    <m/>
    <s v="Positive"/>
    <n v="2478195"/>
  </r>
  <r>
    <x v="4"/>
    <n v="95"/>
    <m/>
    <d v="2021-07-01T00:00:00"/>
    <d v="2021-10-04T14:02:40"/>
    <n v="-63.585185185183946"/>
    <x v="4"/>
    <s v="Current"/>
    <s v="Сток Converse"/>
    <x v="0"/>
    <n v="275220"/>
    <s v="Реализация товаров и услуг УТ000016059 от 01.07.2021 14:02:40"/>
    <x v="19"/>
    <s v="01.07.2021 14:02:40"/>
    <x v="1"/>
    <s v="продажа, комиссия"/>
    <x v="20"/>
    <s v="Основной договор"/>
    <m/>
    <m/>
    <m/>
    <m/>
    <s v="Positive"/>
    <n v="275220"/>
  </r>
  <r>
    <x v="4"/>
    <n v="95"/>
    <m/>
    <d v="2021-07-01T00:00:00"/>
    <d v="2021-10-04T14:38:05"/>
    <n v="-63.6097800925927"/>
    <x v="4"/>
    <s v="Current"/>
    <s v="Dr.Martens"/>
    <x v="4"/>
    <n v="10320"/>
    <s v="Реализация товаров и услуг УТ000016064 от 01.07.2021 14:38:05"/>
    <x v="19"/>
    <s v="01.07.2021 14:38:05"/>
    <x v="9"/>
    <s v="продажа, комиссия"/>
    <x v="20"/>
    <s v="№429/2020 от 22.06.2020"/>
    <m/>
    <m/>
    <m/>
    <m/>
    <s v="Positive"/>
    <n v="10320"/>
  </r>
  <r>
    <x v="4"/>
    <n v="95"/>
    <m/>
    <d v="2021-07-01T00:00:00"/>
    <d v="2021-10-04T14:40:45"/>
    <n v="-63.611631944440887"/>
    <x v="4"/>
    <s v="Current"/>
    <s v="Saucony"/>
    <x v="3"/>
    <n v="9360"/>
    <s v="Реализация товаров и услуг УТ000016065 от 01.07.2021 14:40:45"/>
    <x v="19"/>
    <s v="01.07.2021 14:40:45"/>
    <x v="7"/>
    <s v="продажа, комиссия"/>
    <x v="20"/>
    <s v="№429/2020 от 22.06.2020"/>
    <m/>
    <m/>
    <m/>
    <m/>
    <s v="Positive"/>
    <n v="9360"/>
  </r>
  <r>
    <x v="4"/>
    <n v="95"/>
    <m/>
    <d v="2021-07-01T00:00:00"/>
    <d v="2021-10-04T15:33:57"/>
    <n v="-63.648576388892252"/>
    <x v="4"/>
    <s v="Current"/>
    <s v="Saucony"/>
    <x v="3"/>
    <n v="34080"/>
    <s v="Реализация товаров и услуг УТ000016067 от 01.07.2021 15:33:57"/>
    <x v="19"/>
    <s v="01.07.2021 15:33:57"/>
    <x v="7"/>
    <s v="продажа, комиссия"/>
    <x v="20"/>
    <s v="№ 236/2015 от 27.04.2015"/>
    <m/>
    <m/>
    <m/>
    <m/>
    <s v="Positive"/>
    <n v="34080"/>
  </r>
  <r>
    <x v="4"/>
    <n v="95"/>
    <m/>
    <d v="2021-07-01T00:00:00"/>
    <d v="2021-10-04T17:19:34"/>
    <n v="-63.721921296295477"/>
    <x v="4"/>
    <s v="Current"/>
    <s v="Сток Dr.Martens"/>
    <x v="4"/>
    <n v="44520"/>
    <s v="Реализация товаров и услуг УТ000016075 от 01.07.2021 17:19:34"/>
    <x v="19"/>
    <s v="01.07.2021 17:19:34"/>
    <x v="8"/>
    <s v="продажа, комиссия"/>
    <x v="20"/>
    <s v="№429/2020 от 22.06.2020"/>
    <m/>
    <m/>
    <m/>
    <m/>
    <s v="Positive"/>
    <n v="44520"/>
  </r>
  <r>
    <x v="4"/>
    <n v="95"/>
    <m/>
    <d v="2021-07-08T00:00:00"/>
    <d v="2021-10-11T13:49:28"/>
    <n v="-70.576018518520868"/>
    <x v="4"/>
    <s v="Current"/>
    <s v="Converse"/>
    <x v="0"/>
    <n v="162378"/>
    <s v="Реализация товаров и услуг УТ000016867 от 08.07.2021 13:49:28"/>
    <x v="12"/>
    <s v="08.07.2021 13:49:28"/>
    <x v="0"/>
    <s v="продажа, комиссия"/>
    <x v="17"/>
    <s v="№429/2020 от 22.06.2020"/>
    <m/>
    <m/>
    <m/>
    <m/>
    <s v="Positive"/>
    <n v="162378"/>
  </r>
  <r>
    <x v="4"/>
    <n v="65"/>
    <m/>
    <d v="2021-07-12T00:00:00"/>
    <d v="2021-09-15T13:42:08"/>
    <n v="-44.570925925923802"/>
    <x v="4"/>
    <s v="Current"/>
    <s v="Converse"/>
    <x v="0"/>
    <n v="181921.5"/>
    <s v="Реализация товаров и услуг УТ000017226 от 12.07.2021 13:42:08"/>
    <x v="32"/>
    <s v="12.07.2021 13:42:08"/>
    <x v="0"/>
    <s v="продажа, комиссия"/>
    <x v="33"/>
    <s v="№429/2020 от 22.06.2020"/>
    <m/>
    <m/>
    <m/>
    <m/>
    <s v="Positive"/>
    <n v="181921.5"/>
  </r>
  <r>
    <x v="4"/>
    <n v="65"/>
    <m/>
    <d v="2021-07-12T00:00:00"/>
    <d v="2021-09-15T14:29:53"/>
    <n v="-44.604085648148612"/>
    <x v="4"/>
    <s v="Current"/>
    <s v="Dr.Martens"/>
    <x v="4"/>
    <n v="19122"/>
    <s v="Реализация товаров и услуг УТ000017227 от 12.07.2021 14:29:53"/>
    <x v="32"/>
    <s v="12.07.2021 14:29:53"/>
    <x v="9"/>
    <s v="продажа, комиссия"/>
    <x v="33"/>
    <s v="№429/2020 от 22.06.2020"/>
    <m/>
    <m/>
    <m/>
    <m/>
    <s v="Positive"/>
    <n v="19122"/>
  </r>
  <r>
    <x v="4"/>
    <n v="65"/>
    <m/>
    <d v="2021-07-14T00:00:00"/>
    <d v="2021-09-17T13:18:35"/>
    <n v="-46.554571759261307"/>
    <x v="4"/>
    <s v="Current"/>
    <s v="Converse"/>
    <x v="0"/>
    <n v="1230840"/>
    <s v="Реализация товаров и услуг УТ000017483 от 14.07.2021 13:18:35"/>
    <x v="14"/>
    <s v="14.07.2021 13:18:35"/>
    <x v="0"/>
    <s v="продажа, комиссия"/>
    <x v="14"/>
    <s v="Договор №032/2012 от 01 марта 2012"/>
    <m/>
    <m/>
    <m/>
    <m/>
    <s v="Positive"/>
    <n v="1230840"/>
  </r>
  <r>
    <x v="4"/>
    <n v="95"/>
    <m/>
    <d v="2021-07-16T00:00:00"/>
    <d v="2021-10-19T10:37:31"/>
    <n v="-78.442719907405262"/>
    <x v="4"/>
    <s v="Current"/>
    <s v="Сток Converse"/>
    <x v="0"/>
    <n v="683958"/>
    <s v="Реализация товаров и услуг УТ000017795 от 16.07.2021 10:37:31"/>
    <x v="22"/>
    <s v="16.07.2021 10:37:31"/>
    <x v="1"/>
    <s v="продажа, комиссия"/>
    <x v="24"/>
    <s v="№429/2020 от 22.06.2020"/>
    <m/>
    <m/>
    <m/>
    <m/>
    <s v="Positive"/>
    <n v="683958"/>
  </r>
  <r>
    <x v="4"/>
    <n v="95"/>
    <m/>
    <d v="2021-07-16T00:00:00"/>
    <d v="2021-10-19T10:39:17"/>
    <n v="-78.443946759260143"/>
    <x v="4"/>
    <s v="Current"/>
    <s v="Converse"/>
    <x v="0"/>
    <n v="3441892"/>
    <s v="Реализация товаров и услуг УТ000017796 от 16.07.2021 10:39:17"/>
    <x v="22"/>
    <s v="16.07.2021 10:39:17"/>
    <x v="0"/>
    <s v="продажа, комиссия"/>
    <x v="24"/>
    <s v="№429/2020 от 22.06.2020"/>
    <m/>
    <m/>
    <m/>
    <m/>
    <s v="Positive"/>
    <n v="3441892"/>
  </r>
  <r>
    <x v="4"/>
    <n v="65"/>
    <m/>
    <d v="2021-07-19T00:00:00"/>
    <d v="2021-09-22T12:57:54"/>
    <n v="-51.540208333331975"/>
    <x v="4"/>
    <s v="Current"/>
    <s v="Dr.Martens"/>
    <x v="4"/>
    <n v="442260"/>
    <s v="Реализация товаров и услуг УТ000018148 от 19.07.2021 12:57:54"/>
    <x v="32"/>
    <s v="19.07.2021 12:57:54"/>
    <x v="9"/>
    <s v="продажа, комиссия"/>
    <x v="33"/>
    <s v="№429/2020 от 22.06.2020"/>
    <m/>
    <m/>
    <m/>
    <m/>
    <s v="Positive"/>
    <n v="442260"/>
  </r>
  <r>
    <x v="4"/>
    <n v="65"/>
    <m/>
    <d v="2021-07-19T00:00:00"/>
    <d v="2021-09-22T13:52:21"/>
    <n v="-51.578020833330811"/>
    <x v="4"/>
    <s v="Current"/>
    <s v="Сток Converse"/>
    <x v="0"/>
    <n v="60673.07"/>
    <s v="Реализация товаров и услуг УТ000018149 от 19.07.2021 13:52:21"/>
    <x v="32"/>
    <s v="19.07.2021 13:52:21"/>
    <x v="1"/>
    <s v="продажа, комиссия"/>
    <x v="33"/>
    <s v="№429/2020 от 22.06.2020"/>
    <m/>
    <m/>
    <m/>
    <m/>
    <s v="Positive"/>
    <n v="60673.07"/>
  </r>
  <r>
    <x v="4"/>
    <n v="65"/>
    <m/>
    <d v="2021-07-19T00:00:00"/>
    <d v="2021-09-22T16:45:35"/>
    <n v="-51.698321759256942"/>
    <x v="4"/>
    <s v="Current"/>
    <s v="Converse"/>
    <x v="0"/>
    <n v="2134890"/>
    <s v="Реализация товаров и услуг УТ000018162 от 19.07.2021 16:45:35"/>
    <x v="14"/>
    <s v="19.07.2021 16:45:35"/>
    <x v="0"/>
    <s v="продажа, комиссия"/>
    <x v="14"/>
    <s v="Договор №032/2012 от 01 марта 2012"/>
    <m/>
    <m/>
    <m/>
    <m/>
    <s v="Positive"/>
    <n v="2134890"/>
  </r>
  <r>
    <x v="4"/>
    <n v="35"/>
    <m/>
    <d v="2021-07-20T00:00:00"/>
    <d v="2021-08-24T10:05:05"/>
    <n v="-22.420196759259852"/>
    <x v="4"/>
    <s v="Current"/>
    <s v="Сток Converse"/>
    <x v="0"/>
    <n v="513660"/>
    <s v="Реализация товаров и услуг УТ000018307 от 20.07.2021 10:05:05"/>
    <x v="34"/>
    <s v="20.07.2021 10:05:05"/>
    <x v="1"/>
    <s v="продажа, комиссия"/>
    <x v="15"/>
    <s v="№ 283/2016 от 18.05.2016"/>
    <m/>
    <m/>
    <m/>
    <m/>
    <s v="Positive"/>
    <n v="513660"/>
  </r>
  <r>
    <x v="4"/>
    <n v="35"/>
    <m/>
    <d v="2021-07-20T00:00:00"/>
    <d v="2021-08-24T10:09:22"/>
    <n v="-22.423171296293731"/>
    <x v="4"/>
    <s v="Current"/>
    <s v="Сток Converse"/>
    <x v="0"/>
    <n v="120750"/>
    <s v="Реализация товаров и услуг УТ000018309 от 20.07.2021 10:09:22"/>
    <x v="34"/>
    <s v="20.07.2021 10:09:22"/>
    <x v="1"/>
    <s v="продажа, комиссия"/>
    <x v="15"/>
    <s v="Договор №032/2012 от 01 марта 2012"/>
    <m/>
    <m/>
    <m/>
    <m/>
    <s v="Positive"/>
    <n v="120750"/>
  </r>
  <r>
    <x v="4"/>
    <n v="35"/>
    <m/>
    <d v="2021-07-20T00:00:00"/>
    <d v="2021-08-24T12:26:40"/>
    <n v="-22.518518518518249"/>
    <x v="4"/>
    <s v="Current"/>
    <s v="Сток Converse"/>
    <x v="0"/>
    <n v="36400"/>
    <s v="Реализация товаров и услуг УТ000018313 от 20.07.2021 12:26:40"/>
    <x v="34"/>
    <s v="20.07.2021 12:26:40"/>
    <x v="1"/>
    <s v="продажа, комиссия"/>
    <x v="15"/>
    <s v="418/2020 от 10.02.20"/>
    <m/>
    <m/>
    <m/>
    <m/>
    <s v="Positive"/>
    <n v="36400"/>
  </r>
  <r>
    <x v="4"/>
    <n v="65"/>
    <m/>
    <d v="2021-07-21T00:00:00"/>
    <d v="2021-09-24T11:24:14"/>
    <n v="-53.47516203703708"/>
    <x v="4"/>
    <s v="Current"/>
    <s v="Сток Converse"/>
    <x v="0"/>
    <n v="199890"/>
    <s v="Реализация товаров и услуг УТ000018447 от 21.07.2021 11:24:14"/>
    <x v="32"/>
    <s v="21.07.2021 11:24:14"/>
    <x v="1"/>
    <s v="продажа, комиссия"/>
    <x v="33"/>
    <s v="418/2020 от 10.02.20"/>
    <m/>
    <m/>
    <m/>
    <m/>
    <s v="Positive"/>
    <n v="199890"/>
  </r>
  <r>
    <x v="4"/>
    <n v="0"/>
    <m/>
    <d v="2021-07-21T00:00:00"/>
    <d v="2021-07-21T11:42:32"/>
    <n v="11.512129629627452"/>
    <x v="1"/>
    <s v="Advance"/>
    <s v="Сток Converse"/>
    <x v="0"/>
    <n v="-398"/>
    <s v="Реализация товаров и услуг УТ000018448 от 21.07.2021 11:42:32"/>
    <x v="31"/>
    <s v="21.07.2021 11:42:32"/>
    <x v="1"/>
    <s v="продажа, комиссия"/>
    <x v="32"/>
    <s v="№ 385/2019 от 27.05.2019"/>
    <m/>
    <m/>
    <m/>
    <m/>
    <s v="Negative"/>
    <n v="-398"/>
  </r>
  <r>
    <x v="4"/>
    <n v="65"/>
    <m/>
    <d v="2021-07-21T00:00:00"/>
    <d v="2021-09-24T13:44:26"/>
    <n v="-53.572523148148321"/>
    <x v="4"/>
    <s v="Current"/>
    <s v="Converse"/>
    <x v="0"/>
    <n v="426645"/>
    <s v="Реализация товаров и услуг УТ000018446 от 21.07.2021 13:44:26"/>
    <x v="32"/>
    <s v="21.07.2021 13:44:26"/>
    <x v="0"/>
    <s v="продажа, комиссия"/>
    <x v="33"/>
    <s v="Договор №032/2012 от 01 марта 2012"/>
    <m/>
    <m/>
    <m/>
    <m/>
    <s v="Positive"/>
    <n v="426645"/>
  </r>
  <r>
    <x v="4"/>
    <n v="95"/>
    <m/>
    <d v="2021-07-22T00:00:00"/>
    <d v="2021-10-25T15:18:36"/>
    <n v="-84.63791666666657"/>
    <x v="4"/>
    <s v="Current"/>
    <s v="Сток Converse"/>
    <x v="0"/>
    <n v="4657005"/>
    <s v="Реализация товаров и услуг УТ000018645 от 22.07.2021 15:18:36"/>
    <x v="22"/>
    <s v="22.07.2021 15:18:36"/>
    <x v="1"/>
    <s v="продажа, комиссия"/>
    <x v="24"/>
    <s v="061/2012 от 15 июня 2012"/>
    <m/>
    <m/>
    <m/>
    <m/>
    <s v="Positive"/>
    <n v="4657005"/>
  </r>
  <r>
    <x v="2"/>
    <n v="0"/>
    <m/>
    <d v="2021-07-27T00:00:00"/>
    <d v="2021-07-27T17:00:00"/>
    <n v="5.2916666666642413"/>
    <x v="1"/>
    <s v="Advance"/>
    <s v="Dr.Martens"/>
    <x v="4"/>
    <n v="-416335.41"/>
    <s v="Платежное поручение входящее 00BF-005266 от 27.07.2021 17:00:00"/>
    <x v="35"/>
    <s v="27.07.2021 17:00:00"/>
    <x v="9"/>
    <s v="Оплата от покупателя"/>
    <x v="15"/>
    <s v="№ 236/2015 от 27.04.2015"/>
    <m/>
    <m/>
    <m/>
    <m/>
    <s v="Negative"/>
    <n v="-416335.41"/>
  </r>
  <r>
    <x v="2"/>
    <n v="0"/>
    <m/>
    <d v="2021-07-27T00:00:00"/>
    <d v="2021-07-27T17:00:00"/>
    <n v="5.2916666666642413"/>
    <x v="1"/>
    <s v="Advance"/>
    <s v="UGG"/>
    <x v="2"/>
    <n v="-65924.41"/>
    <s v="Платежное поручение входящее 00BF-005270 от 27.07.2021 17:00:00"/>
    <x v="36"/>
    <s v="27.07.2021 17:00:00"/>
    <x v="6"/>
    <s v="Оплата от покупателя"/>
    <x v="35"/>
    <s v="№ 236/2015 от 27.04.2015"/>
    <m/>
    <m/>
    <m/>
    <m/>
    <s v="Negative"/>
    <n v="-65924.41"/>
  </r>
  <r>
    <x v="2"/>
    <n v="0"/>
    <m/>
    <d v="2021-07-27T00:00:00"/>
    <d v="2021-07-27T23:50:01"/>
    <n v="5.0069328703684732"/>
    <x v="1"/>
    <s v="Advance"/>
    <s v="UGG"/>
    <x v="2"/>
    <n v="-78507.97"/>
    <s v="Платежное поручение входящее УТ000000183 от 27.07.2021 23:50:01"/>
    <x v="35"/>
    <s v="27.07.2021 23:50:01"/>
    <x v="6"/>
    <s v="Оплата от покупателя"/>
    <x v="15"/>
    <s v="№ 236/2015 от 27.04.2015"/>
    <m/>
    <m/>
    <m/>
    <m/>
    <s v="Negative"/>
    <n v="-78507.97"/>
  </r>
  <r>
    <x v="4"/>
    <n v="65"/>
    <m/>
    <d v="2021-07-28T00:00:00"/>
    <d v="2021-10-01T12:33:55"/>
    <n v="-60.523553240738693"/>
    <x v="4"/>
    <s v="Current"/>
    <s v="Dr.Martens"/>
    <x v="4"/>
    <n v="85050"/>
    <s v="Реализация товаров и услуг УТ000018782 от 28.07.2021 12:33:55"/>
    <x v="32"/>
    <s v="28.07.2021 12:33:55"/>
    <x v="9"/>
    <s v="продажа, комиссия"/>
    <x v="33"/>
    <s v="№149/2013 От 01.10.2013"/>
    <m/>
    <m/>
    <m/>
    <m/>
    <s v="Positive"/>
    <n v="85050"/>
  </r>
  <r>
    <x v="4"/>
    <n v="65"/>
    <m/>
    <d v="2021-07-28T00:00:00"/>
    <d v="2021-10-01T15:40:27"/>
    <n v="-60.653090277781303"/>
    <x v="4"/>
    <s v="Current"/>
    <s v="Converse"/>
    <x v="0"/>
    <n v="1149888.8"/>
    <s v="Реализация товаров и услуг УТ000018784 от 28.07.2021 15:40:27"/>
    <x v="14"/>
    <s v="28.07.2021 15:40:27"/>
    <x v="0"/>
    <s v="продажа, комиссия"/>
    <x v="14"/>
    <s v="ИР-П 215/15 от 21.04.2015"/>
    <m/>
    <m/>
    <m/>
    <m/>
    <s v="Positive"/>
    <n v="1149888.8"/>
  </r>
  <r>
    <x v="4"/>
    <n v="65"/>
    <m/>
    <d v="2021-07-28T00:00:00"/>
    <d v="2021-10-01T16:38:08"/>
    <n v="-60.693148148151522"/>
    <x v="4"/>
    <s v="Current"/>
    <s v="Dr.Martens"/>
    <x v="4"/>
    <n v="395685"/>
    <s v="Реализация товаров и услуг УТ000018783 от 28.07.2021 16:38:08"/>
    <x v="32"/>
    <s v="28.07.2021 16:38:08"/>
    <x v="9"/>
    <s v="продажа, комиссия"/>
    <x v="33"/>
    <s v="061/2012 от 15 июня 2012"/>
    <m/>
    <m/>
    <m/>
    <m/>
    <s v="Positive"/>
    <n v="395685"/>
  </r>
  <r>
    <x v="2"/>
    <n v="0"/>
    <m/>
    <d v="2021-07-28T00:00:00"/>
    <d v="2021-07-28T17:00:00"/>
    <n v="4.2916666666642413"/>
    <x v="1"/>
    <s v="Advance"/>
    <s v="Dr.Martens"/>
    <x v="4"/>
    <n v="-69939.960000000006"/>
    <s v="Платежное поручение входящее 00BF-005300 от 28.07.2021 17:00:00"/>
    <x v="20"/>
    <s v="28.07.2021 17:00:00"/>
    <x v="9"/>
    <s v="Оплата от покупателя"/>
    <x v="36"/>
    <s v="№452/2021 от 03.03.21"/>
    <m/>
    <m/>
    <m/>
    <m/>
    <s v="Negative"/>
    <n v="-69939.960000000006"/>
  </r>
  <r>
    <x v="4"/>
    <n v="95"/>
    <m/>
    <d v="2021-07-29T00:00:00"/>
    <d v="2021-11-01T14:02:12"/>
    <n v="-91.584861111114151"/>
    <x v="4"/>
    <s v="Current"/>
    <s v="Converse"/>
    <x v="0"/>
    <n v="16982721"/>
    <s v="Реализация товаров и услуг УТ000018788 от 29.07.2021 14:02:12"/>
    <x v="22"/>
    <s v="29.07.2021 14:02:12"/>
    <x v="0"/>
    <s v="продажа, комиссия"/>
    <x v="24"/>
    <s v="№ 342/2018 от 01.06.18"/>
    <m/>
    <m/>
    <m/>
    <m/>
    <s v="Positive"/>
    <n v="16982721"/>
  </r>
  <r>
    <x v="2"/>
    <n v="73"/>
    <m/>
    <d v="2021-07-29T00:00:00"/>
    <d v="2021-10-10T17:00:00"/>
    <n v="-69.708333333335759"/>
    <x v="1"/>
    <s v="Advance"/>
    <s v="Dr.Martens"/>
    <x v="4"/>
    <n v="-114383.17"/>
    <s v="Платежное поручение входящее 00BF-005325 от 29.07.2021 17:00:00"/>
    <x v="33"/>
    <s v="29.07.2021 17:00:00"/>
    <x v="9"/>
    <s v="Оплата от покупателя"/>
    <x v="34"/>
    <s v="№ К 130-04-20 от 7 мая 2020 г."/>
    <m/>
    <m/>
    <m/>
    <m/>
    <s v="Negative"/>
    <n v="-114383.17"/>
  </r>
  <r>
    <x v="4"/>
    <n v="65"/>
    <m/>
    <d v="2021-07-29T00:00:00"/>
    <d v="2021-10-02T17:02:08"/>
    <n v="-61.709814814814308"/>
    <x v="4"/>
    <s v="Current"/>
    <s v="Converse"/>
    <x v="0"/>
    <n v="210450"/>
    <s v="Реализация товаров и услуг УТ000018792 от 29.07.2021 17:02:08"/>
    <x v="23"/>
    <s v="29.07.2021 17:02:08"/>
    <x v="0"/>
    <s v="продажа, комиссия"/>
    <x v="25"/>
    <s v="№ К 130-04-20 от 7 мая 2020 г."/>
    <m/>
    <m/>
    <m/>
    <m/>
    <s v="Positive"/>
    <n v="210450"/>
  </r>
  <r>
    <x v="4"/>
    <n v="65"/>
    <m/>
    <d v="2021-07-29T00:00:00"/>
    <d v="2021-10-02T17:03:35"/>
    <n v="-61.710821759261307"/>
    <x v="4"/>
    <s v="Current"/>
    <s v="Converse"/>
    <x v="0"/>
    <n v="453302.4"/>
    <s v="Реализация товаров и услуг УТ000018791 от 29.07.2021 17:03:35"/>
    <x v="23"/>
    <s v="29.07.2021 17:03:35"/>
    <x v="0"/>
    <s v="продажа, комиссия"/>
    <x v="25"/>
    <s v="№ К 130-04-20 от 7 мая 2020 г."/>
    <m/>
    <m/>
    <m/>
    <m/>
    <s v="Positive"/>
    <n v="453302.4"/>
  </r>
  <r>
    <x v="4"/>
    <n v="65"/>
    <m/>
    <d v="2021-07-29T00:00:00"/>
    <d v="2021-10-02T17:07:48"/>
    <n v="-61.713750000002619"/>
    <x v="4"/>
    <s v="Current"/>
    <s v="Converse"/>
    <x v="0"/>
    <n v="657478"/>
    <s v="Реализация товаров и услуг УТ000018790 от 29.07.2021 17:07:48"/>
    <x v="23"/>
    <s v="29.07.2021 17:07:48"/>
    <x v="0"/>
    <s v="продажа, комиссия"/>
    <x v="25"/>
    <s v="№ К 130-04-20 от 7 мая 2020 г."/>
    <m/>
    <m/>
    <m/>
    <m/>
    <s v="Positive"/>
    <n v="657478"/>
  </r>
  <r>
    <x v="4"/>
    <n v="0"/>
    <m/>
    <d v="2021-07-30T00:00:00"/>
    <d v="2021-07-30T10:16:27"/>
    <n v="2.5719097222245182"/>
    <x v="6"/>
    <s v="Current"/>
    <s v="Сток Converse"/>
    <x v="0"/>
    <n v="9066650"/>
    <s v="Реализация товаров и услуг УТ000018639 от 30.07.2021 10:16:27"/>
    <x v="12"/>
    <s v="30.07.2021 10:16:27"/>
    <x v="1"/>
    <s v="продажа, комиссия"/>
    <x v="12"/>
    <s v="Оферта"/>
    <m/>
    <m/>
    <m/>
    <m/>
    <s v="Positive"/>
    <n v="9066650"/>
  </r>
  <r>
    <x v="4"/>
    <n v="0"/>
    <m/>
    <d v="2021-07-30T00:00:00"/>
    <d v="2021-07-30T15:00:13"/>
    <n v="2.3748495370382443"/>
    <x v="6"/>
    <s v="Current"/>
    <s v="Сток Dr.Martens"/>
    <x v="4"/>
    <n v="0.8"/>
    <s v="Реализация товаров и услуг УТ000018811 от 30.07.2021 15:00:13"/>
    <x v="37"/>
    <s v="30.07.2021 15:00:13"/>
    <x v="8"/>
    <s v="продажа, комиссия"/>
    <x v="37"/>
    <s v="Оферта"/>
    <m/>
    <m/>
    <m/>
    <m/>
    <s v="Positive"/>
    <n v="0.8"/>
  </r>
  <r>
    <x v="2"/>
    <n v="0"/>
    <m/>
    <d v="2021-07-30T00:00:00"/>
    <d v="2021-07-30T17:00:00"/>
    <n v="2.2916666666642413"/>
    <x v="1"/>
    <s v="Advance"/>
    <s v="Сток Converse"/>
    <x v="0"/>
    <n v="-313125"/>
    <s v="Платежное поручение входящее 00BF-005350 от 30.07.2021 17:00:00"/>
    <x v="27"/>
    <s v="30.07.2021 17:00:00"/>
    <x v="1"/>
    <s v="Оплата от покупателя"/>
    <x v="15"/>
    <s v="Оферта"/>
    <m/>
    <m/>
    <m/>
    <m/>
    <s v="Negative"/>
    <n v="-313125"/>
  </r>
  <r>
    <x v="0"/>
    <n v="45"/>
    <m/>
    <d v="2021-07-31T00:00:00"/>
    <d v="2021-09-14T16:27:49"/>
    <n v="-43.685983796298387"/>
    <x v="4"/>
    <s v="Current"/>
    <s v="Сток Converse"/>
    <x v="0"/>
    <n v="47143"/>
    <s v="Отчет комиссионера о продажах УТ000000340 от 31.07.2021 16:27:49"/>
    <x v="26"/>
    <s v="31.07.2021 16:27:49"/>
    <x v="1"/>
    <m/>
    <x v="28"/>
    <s v="Оферта"/>
    <m/>
    <m/>
    <m/>
    <m/>
    <s v="Positive"/>
    <n v="47143"/>
  </r>
  <r>
    <x v="0"/>
    <n v="45"/>
    <m/>
    <d v="2021-07-31T00:00:00"/>
    <d v="2021-09-14T16:29:01"/>
    <n v="-43.686817129630072"/>
    <x v="4"/>
    <s v="Current"/>
    <s v="Сток Dr.Martens"/>
    <x v="4"/>
    <n v="5317"/>
    <s v="Отчет комиссионера о продажах УТ000000341 от 31.07.2021 16:29:01"/>
    <x v="26"/>
    <s v="31.07.2021 16:29:01"/>
    <x v="8"/>
    <m/>
    <x v="28"/>
    <s v="№ 236/2015 от 27.04.2015"/>
    <m/>
    <m/>
    <m/>
    <m/>
    <s v="Positive"/>
    <n v="5317"/>
  </r>
  <r>
    <x v="0"/>
    <n v="45"/>
    <m/>
    <d v="2021-07-31T00:00:00"/>
    <d v="2021-09-14T16:30:07"/>
    <n v="-43.68758101851563"/>
    <x v="4"/>
    <s v="Current"/>
    <s v="Сток Saucony"/>
    <x v="3"/>
    <n v="348477.93"/>
    <s v="Отчет комиссионера о продажах УТ000000342 от 31.07.2021 16:30:07"/>
    <x v="26"/>
    <s v="31.07.2021 16:30:07"/>
    <x v="4"/>
    <m/>
    <x v="28"/>
    <s v="№ 236/2015 от 27.04.2015"/>
    <m/>
    <m/>
    <m/>
    <m/>
    <s v="Positive"/>
    <n v="348477.93"/>
  </r>
  <r>
    <x v="0"/>
    <n v="45"/>
    <m/>
    <d v="2021-07-31T00:00:00"/>
    <d v="2021-09-14T16:30:58"/>
    <n v="-43.688171296293149"/>
    <x v="4"/>
    <s v="Current"/>
    <s v="Сток UGG"/>
    <x v="2"/>
    <n v="332261"/>
    <s v="Отчет комиссионера о продажах УТ000000343 от 31.07.2021 16:30:58"/>
    <x v="26"/>
    <s v="31.07.2021 16:30:58"/>
    <x v="3"/>
    <m/>
    <x v="28"/>
    <s v="№429/2020 от 22.06.2020"/>
    <m/>
    <m/>
    <m/>
    <m/>
    <s v="Positive"/>
    <n v="332261"/>
  </r>
  <r>
    <x v="0"/>
    <n v="38"/>
    <m/>
    <d v="2021-07-31T00:00:00"/>
    <d v="2021-09-07T16:59:52"/>
    <n v="-36.708240740743349"/>
    <x v="4"/>
    <s v="Current"/>
    <s v="Hush Puppies"/>
    <x v="6"/>
    <n v="1406.5"/>
    <s v="Отчет комиссионера о продажах УТ000000347 от 31.07.2021 16:59:52"/>
    <x v="12"/>
    <s v="31.07.2021 16:59:52"/>
    <x v="12"/>
    <m/>
    <x v="21"/>
    <s v="№429/2020 от 22.06.2020"/>
    <m/>
    <m/>
    <m/>
    <m/>
    <s v="Positive"/>
    <n v="1406.5"/>
  </r>
  <r>
    <x v="0"/>
    <n v="38"/>
    <m/>
    <d v="2021-07-31T00:00:00"/>
    <d v="2021-09-07T17:02:06"/>
    <n v="-36.709791666668025"/>
    <x v="4"/>
    <s v="Current"/>
    <s v="Сток Converse"/>
    <x v="0"/>
    <n v="5360657.63"/>
    <s v="Отчет комиссионера о продажах УТ000000348 от 31.07.2021 17:02:06"/>
    <x v="12"/>
    <s v="31.07.2021 17:02:06"/>
    <x v="1"/>
    <m/>
    <x v="21"/>
    <s v="№429/2020 от 22.06.2020"/>
    <m/>
    <m/>
    <m/>
    <m/>
    <s v="Positive"/>
    <n v="5360657.63"/>
  </r>
  <r>
    <x v="0"/>
    <n v="38"/>
    <m/>
    <d v="2021-07-31T00:00:00"/>
    <d v="2021-09-07T17:04:41"/>
    <n v="-36.711585648146865"/>
    <x v="4"/>
    <s v="Current"/>
    <s v="Сток Havaianas"/>
    <x v="5"/>
    <n v="613213.57999999996"/>
    <s v="Отчет комиссионера о продажах УТ000000349 от 31.07.2021 17:04:41"/>
    <x v="12"/>
    <s v="31.07.2021 17:04:41"/>
    <x v="10"/>
    <m/>
    <x v="21"/>
    <s v="№429/2020 от 22.06.2020"/>
    <m/>
    <m/>
    <m/>
    <m/>
    <s v="Positive"/>
    <n v="613213.57999999996"/>
  </r>
  <r>
    <x v="0"/>
    <n v="38"/>
    <m/>
    <d v="2021-07-31T00:00:00"/>
    <d v="2021-09-07T17:07:10"/>
    <n v="-36.713310185186856"/>
    <x v="4"/>
    <s v="Current"/>
    <s v="Сток Saucony"/>
    <x v="3"/>
    <n v="1190912.96"/>
    <s v="Отчет комиссионера о продажах УТ000000350 от 31.07.2021 17:07:10"/>
    <x v="12"/>
    <s v="31.07.2021 17:07:10"/>
    <x v="4"/>
    <m/>
    <x v="21"/>
    <s v="Договор № 195/2014 от 01.08.2014"/>
    <m/>
    <m/>
    <m/>
    <m/>
    <s v="Positive"/>
    <n v="1190912.96"/>
  </r>
  <r>
    <x v="2"/>
    <n v="0"/>
    <m/>
    <d v="2021-08-02T00:00:00"/>
    <d v="2021-08-02T17:00:00"/>
    <n v="-0.70833333333575865"/>
    <x v="1"/>
    <s v="Advance"/>
    <s v="Сток Converse"/>
    <x v="0"/>
    <n v="-98500"/>
    <s v="Платежное поручение входящее 00BF-005415 от 02.08.2021 17:00:00"/>
    <x v="5"/>
    <s v="02.08.2021 17:00:00"/>
    <x v="1"/>
    <s v="Оплата от покупателя"/>
    <x v="5"/>
    <s v="№ 236/2015 от 27.04.2015"/>
    <m/>
    <m/>
    <m/>
    <m/>
    <s v="Negative"/>
    <n v="-98500"/>
  </r>
  <r>
    <x v="2"/>
    <n v="0"/>
    <m/>
    <d v="2021-08-02T00:00:00"/>
    <d v="2021-08-02T17:00:00"/>
    <n v="-0.70833333333575865"/>
    <x v="1"/>
    <s v="Advance"/>
    <s v="Сток Converse"/>
    <x v="0"/>
    <n v="-65440"/>
    <s v="Платежное поручение входящее 00BF-005417 от 02.08.2021 17:00:00"/>
    <x v="31"/>
    <s v="02.08.2021 17:00:00"/>
    <x v="1"/>
    <s v="Оплата от покупателя"/>
    <x v="32"/>
    <s v="№429/2020 от 22.06.2020"/>
    <m/>
    <m/>
    <m/>
    <m/>
    <s v="Negative"/>
    <n v="-65440"/>
  </r>
  <r>
    <x v="6"/>
    <n v="38"/>
    <m/>
    <d v="2021-08-02T00:00:00"/>
    <d v="2021-09-09T23:06:06"/>
    <n v="-38.962569444447581"/>
    <x v="4"/>
    <s v="Current"/>
    <s v="Hush Puppies"/>
    <x v="6"/>
    <n v="4852.5"/>
    <s v="Платежное поручение исходящее УТ000000008 от 02.08.2021 23:06:06"/>
    <x v="12"/>
    <s v="02.08.2021 23:06:06"/>
    <x v="12"/>
    <s v="Оплата поставщику"/>
    <x v="21"/>
    <s v="№429/2020 от 22.06.2020"/>
    <m/>
    <m/>
    <m/>
    <m/>
    <s v="Positive"/>
    <n v="4852.5"/>
  </r>
  <r>
    <x v="7"/>
    <n v="0"/>
    <m/>
    <d v="1899-12-30T00:00:00"/>
    <d v="1899-12-30T00:00:00"/>
    <n v="44410"/>
    <x v="1"/>
    <s v="Advance"/>
    <s v="Converse"/>
    <x v="0"/>
    <n v="-82070"/>
    <m/>
    <x v="38"/>
    <m/>
    <x v="13"/>
    <m/>
    <x v="38"/>
    <s v="№429/2020 от 22.06.2020"/>
    <m/>
    <m/>
    <m/>
    <m/>
    <s v="Negative"/>
    <n v="-82070"/>
  </r>
  <r>
    <x v="7"/>
    <n v="0"/>
    <m/>
    <d v="1899-12-30T00:00:00"/>
    <d v="1899-12-30T00:00:00"/>
    <n v="44410"/>
    <x v="1"/>
    <s v="Advance"/>
    <s v="Saucony"/>
    <x v="3"/>
    <n v="-169458.16"/>
    <m/>
    <x v="25"/>
    <m/>
    <x v="13"/>
    <m/>
    <x v="39"/>
    <s v="№429/2020 от 22.06.2020"/>
    <m/>
    <m/>
    <m/>
    <m/>
    <s v="Negative"/>
    <n v="-169458.16"/>
  </r>
  <r>
    <x v="7"/>
    <n v="0"/>
    <m/>
    <d v="1899-12-30T00:00:00"/>
    <d v="1899-12-30T00:00:00"/>
    <n v="44410"/>
    <x v="1"/>
    <s v="Advance"/>
    <s v="Converse"/>
    <x v="0"/>
    <n v="-95438.37"/>
    <m/>
    <x v="39"/>
    <m/>
    <x v="13"/>
    <m/>
    <x v="40"/>
    <s v="№429/2020 от 22.06.2020"/>
    <m/>
    <m/>
    <m/>
    <m/>
    <s v="Negative"/>
    <n v="-95438.37"/>
  </r>
  <r>
    <x v="7"/>
    <n v="0"/>
    <m/>
    <d v="1899-12-30T00:00:00"/>
    <d v="1899-12-30T00:00:00"/>
    <n v="44410"/>
    <x v="1"/>
    <s v="Advance"/>
    <s v="Converse"/>
    <x v="0"/>
    <n v="-81257.990000000005"/>
    <m/>
    <x v="40"/>
    <m/>
    <x v="13"/>
    <m/>
    <x v="41"/>
    <s v="№ 342/2018 от 01.06.18"/>
    <m/>
    <m/>
    <m/>
    <m/>
    <s v="Negative"/>
    <n v="-81257.990000000005"/>
  </r>
  <r>
    <x v="7"/>
    <n v="0"/>
    <m/>
    <d v="1899-12-30T00:00:00"/>
    <d v="1899-12-30T00:00:00"/>
    <n v="44410"/>
    <x v="1"/>
    <s v="Advance"/>
    <s v="Converse"/>
    <x v="0"/>
    <n v="-88876.18"/>
    <m/>
    <x v="40"/>
    <m/>
    <x v="13"/>
    <m/>
    <x v="42"/>
    <s v="№452/2021 от 03.03.21"/>
    <m/>
    <m/>
    <m/>
    <m/>
    <s v="Negative"/>
    <n v="-88876.18"/>
  </r>
  <r>
    <x v="7"/>
    <n v="0"/>
    <m/>
    <d v="1899-12-30T00:00:00"/>
    <d v="1899-12-30T00:00:00"/>
    <n v="44410"/>
    <x v="1"/>
    <s v="Advance"/>
    <s v="Converse"/>
    <x v="0"/>
    <n v="-182855.13"/>
    <m/>
    <x v="40"/>
    <m/>
    <x v="13"/>
    <m/>
    <x v="43"/>
    <s v="Основной договор"/>
    <m/>
    <m/>
    <m/>
    <m/>
    <s v="Negative"/>
    <n v="-182855.13"/>
  </r>
  <r>
    <x v="7"/>
    <n v="0"/>
    <m/>
    <d v="1899-12-30T00:00:00"/>
    <d v="1899-12-30T00:00:00"/>
    <n v="44410"/>
    <x v="1"/>
    <s v="Advance"/>
    <s v="Converse"/>
    <x v="0"/>
    <n v="-245363.62"/>
    <m/>
    <x v="40"/>
    <m/>
    <x v="13"/>
    <m/>
    <x v="40"/>
    <s v="№432/2020 от 12.08.2020"/>
    <m/>
    <m/>
    <m/>
    <m/>
    <s v="Negative"/>
    <n v="-245363.62"/>
  </r>
  <r>
    <x v="7"/>
    <n v="0"/>
    <m/>
    <d v="1899-12-30T00:00:00"/>
    <d v="1899-12-30T00:00:00"/>
    <n v="44410"/>
    <x v="1"/>
    <s v="Advance"/>
    <s v="Converse"/>
    <x v="0"/>
    <n v="-97248.78"/>
    <m/>
    <x v="40"/>
    <m/>
    <x v="13"/>
    <m/>
    <x v="44"/>
    <s v="061/2012 от 15 июня 2012"/>
    <m/>
    <m/>
    <m/>
    <m/>
    <s v="Negative"/>
    <n v="-97248.78"/>
  </r>
  <r>
    <x v="7"/>
    <n v="0"/>
    <m/>
    <d v="1899-12-30T00:00:00"/>
    <d v="1899-12-30T00:00:00"/>
    <n v="44410"/>
    <x v="1"/>
    <s v="Advance"/>
    <s v="Dr.Martens"/>
    <x v="4"/>
    <n v="-1117985"/>
    <m/>
    <x v="40"/>
    <m/>
    <x v="13"/>
    <m/>
    <x v="45"/>
    <s v="№432/2020 от 12.08.2020"/>
    <m/>
    <m/>
    <m/>
    <m/>
    <s v="Negative"/>
    <n v="-1117985"/>
  </r>
  <r>
    <x v="7"/>
    <n v="0"/>
    <m/>
    <d v="1899-12-30T00:00:00"/>
    <d v="1899-12-30T00:00:00"/>
    <n v="44410"/>
    <x v="1"/>
    <s v="Advance"/>
    <s v="Dr.Martens"/>
    <x v="4"/>
    <n v="-122865.14"/>
    <m/>
    <x v="40"/>
    <m/>
    <x v="13"/>
    <m/>
    <x v="46"/>
    <s v="Депозит CON FA21"/>
    <m/>
    <m/>
    <m/>
    <m/>
    <s v="Negative"/>
    <n v="-122865.14"/>
  </r>
  <r>
    <x v="7"/>
    <n v="0"/>
    <m/>
    <d v="1899-12-30T00:00:00"/>
    <d v="1899-12-30T00:00:00"/>
    <n v="44410"/>
    <x v="1"/>
    <s v="Advance"/>
    <s v="Dr.Martens"/>
    <x v="4"/>
    <n v="-375778.75"/>
    <m/>
    <x v="40"/>
    <m/>
    <x v="13"/>
    <m/>
    <x v="47"/>
    <s v="депозит SAU FW21"/>
    <m/>
    <m/>
    <m/>
    <m/>
    <s v="Negative"/>
    <n v="-375778.75"/>
  </r>
  <r>
    <x v="7"/>
    <n v="0"/>
    <m/>
    <d v="1899-12-30T00:00:00"/>
    <d v="1899-12-30T00:00:00"/>
    <n v="44410"/>
    <x v="1"/>
    <s v="Advance"/>
    <s v="Saucony"/>
    <x v="3"/>
    <n v="-448843.37"/>
    <m/>
    <x v="40"/>
    <m/>
    <x v="13"/>
    <m/>
    <x v="48"/>
    <s v="Депозит CON FA20"/>
    <m/>
    <m/>
    <m/>
    <m/>
    <s v="Negative"/>
    <n v="-448843.37"/>
  </r>
  <r>
    <x v="7"/>
    <n v="0"/>
    <m/>
    <d v="1899-12-30T00:00:00"/>
    <d v="1899-12-30T00:00:00"/>
    <n v="44410"/>
    <x v="1"/>
    <s v="Advance"/>
    <s v="Saucony"/>
    <x v="3"/>
    <n v="-440491.9"/>
    <m/>
    <x v="40"/>
    <m/>
    <x v="13"/>
    <m/>
    <x v="49"/>
    <s v="Депозит CON FW21"/>
    <m/>
    <m/>
    <m/>
    <m/>
    <s v="Negative"/>
    <n v="-440491.9"/>
  </r>
  <r>
    <x v="7"/>
    <n v="0"/>
    <m/>
    <d v="1899-12-30T00:00:00"/>
    <d v="1899-12-30T00:00:00"/>
    <n v="44410"/>
    <x v="1"/>
    <s v="Advance"/>
    <s v="Converse"/>
    <x v="0"/>
    <n v="-2306405.39"/>
    <m/>
    <x v="41"/>
    <m/>
    <x v="13"/>
    <m/>
    <x v="38"/>
    <s v="Депозит CON SP21"/>
    <m/>
    <m/>
    <m/>
    <m/>
    <s v="Negative"/>
    <n v="-2306405.39"/>
  </r>
  <r>
    <x v="7"/>
    <n v="0"/>
    <m/>
    <d v="1899-12-30T00:00:00"/>
    <d v="1899-12-30T00:00:00"/>
    <n v="44410"/>
    <x v="1"/>
    <s v="Advance"/>
    <s v="Converse"/>
    <x v="0"/>
    <n v="-6516518.8300000001"/>
    <m/>
    <x v="41"/>
    <m/>
    <x v="13"/>
    <m/>
    <x v="40"/>
    <s v="Депозит CON SU21"/>
    <m/>
    <m/>
    <m/>
    <m/>
    <s v="Negative"/>
    <n v="-6516518.8300000001"/>
  </r>
  <r>
    <x v="7"/>
    <n v="0"/>
    <m/>
    <d v="1899-12-30T00:00:00"/>
    <d v="1899-12-30T00:00:00"/>
    <n v="44410"/>
    <x v="1"/>
    <s v="Advance"/>
    <s v="Dr.Martens"/>
    <x v="4"/>
    <n v="-9349156.1199999992"/>
    <m/>
    <x v="41"/>
    <m/>
    <x v="13"/>
    <m/>
    <x v="45"/>
    <s v="депозит DRM AW21"/>
    <m/>
    <m/>
    <m/>
    <m/>
    <s v="Negative"/>
    <n v="-9349156.1199999992"/>
  </r>
  <r>
    <x v="7"/>
    <n v="0"/>
    <m/>
    <d v="1899-12-30T00:00:00"/>
    <d v="1899-12-30T00:00:00"/>
    <n v="44410"/>
    <x v="1"/>
    <s v="Advance"/>
    <s v="Dr.Martens"/>
    <x v="4"/>
    <n v="-658615.67000000004"/>
    <m/>
    <x v="41"/>
    <m/>
    <x v="13"/>
    <m/>
    <x v="47"/>
    <s v="Депозит DRM SS21"/>
    <m/>
    <m/>
    <m/>
    <m/>
    <s v="Negative"/>
    <n v="-658615.67000000004"/>
  </r>
  <r>
    <x v="7"/>
    <n v="0"/>
    <m/>
    <d v="1899-12-30T00:00:00"/>
    <d v="1899-12-30T00:00:00"/>
    <n v="44410"/>
    <x v="1"/>
    <s v="Advance"/>
    <s v="Saucony"/>
    <x v="3"/>
    <n v="-637085.55000000005"/>
    <m/>
    <x v="41"/>
    <m/>
    <x v="13"/>
    <m/>
    <x v="49"/>
    <s v="Депозит SAU AW21"/>
    <m/>
    <m/>
    <m/>
    <m/>
    <s v="Negative"/>
    <n v="-637085.55000000005"/>
  </r>
  <r>
    <x v="7"/>
    <n v="0"/>
    <m/>
    <d v="1899-12-30T00:00:00"/>
    <d v="1899-12-30T00:00:00"/>
    <n v="44410"/>
    <x v="1"/>
    <s v="Advance"/>
    <s v="Converse"/>
    <x v="0"/>
    <n v="-807310.42"/>
    <m/>
    <x v="23"/>
    <m/>
    <x v="13"/>
    <m/>
    <x v="38"/>
    <s v="Депозит SAU SS22"/>
    <m/>
    <m/>
    <m/>
    <m/>
    <s v="Negative"/>
    <n v="-807310.42"/>
  </r>
  <r>
    <x v="7"/>
    <n v="0"/>
    <m/>
    <d v="1899-12-30T00:00:00"/>
    <d v="1899-12-30T00:00:00"/>
    <n v="44410"/>
    <x v="1"/>
    <s v="Advance"/>
    <s v="Converse"/>
    <x v="0"/>
    <n v="-1678357.54"/>
    <m/>
    <x v="23"/>
    <m/>
    <x v="13"/>
    <m/>
    <x v="43"/>
    <s v="Депозит CON FA21"/>
    <m/>
    <m/>
    <m/>
    <m/>
    <s v="Negative"/>
    <n v="-1678357.54"/>
  </r>
  <r>
    <x v="7"/>
    <n v="0"/>
    <m/>
    <d v="1899-12-30T00:00:00"/>
    <d v="1899-12-30T00:00:00"/>
    <n v="44410"/>
    <x v="1"/>
    <s v="Advance"/>
    <s v="Dr.Martens"/>
    <x v="4"/>
    <n v="-752422.2"/>
    <m/>
    <x v="23"/>
    <m/>
    <x v="13"/>
    <m/>
    <x v="45"/>
    <s v="Депозит DRM AW21"/>
    <m/>
    <m/>
    <m/>
    <m/>
    <s v="Negative"/>
    <n v="-752422.2"/>
  </r>
  <r>
    <x v="7"/>
    <n v="0"/>
    <m/>
    <d v="1899-12-30T00:00:00"/>
    <d v="1899-12-30T00:00:00"/>
    <n v="44410"/>
    <x v="1"/>
    <s v="Advance"/>
    <s v="Dr.Martens"/>
    <x v="4"/>
    <n v="-777580.76"/>
    <m/>
    <x v="23"/>
    <m/>
    <x v="13"/>
    <m/>
    <x v="46"/>
    <s v="Депозит SAU SS22"/>
    <m/>
    <m/>
    <m/>
    <m/>
    <s v="Negative"/>
    <n v="-777580.76"/>
  </r>
  <r>
    <x v="7"/>
    <n v="0"/>
    <m/>
    <d v="1899-12-30T00:00:00"/>
    <d v="1899-12-30T00:00:00"/>
    <n v="44410"/>
    <x v="1"/>
    <s v="Advance"/>
    <s v="Havaianas"/>
    <x v="5"/>
    <n v="-281921"/>
    <m/>
    <x v="23"/>
    <m/>
    <x v="13"/>
    <m/>
    <x v="50"/>
    <s v="Депозит CON FA21"/>
    <m/>
    <m/>
    <m/>
    <m/>
    <s v="Negative"/>
    <n v="-281921"/>
  </r>
  <r>
    <x v="7"/>
    <n v="0"/>
    <m/>
    <d v="1899-12-30T00:00:00"/>
    <d v="1899-12-30T00:00:00"/>
    <n v="44410"/>
    <x v="1"/>
    <s v="Advance"/>
    <s v="Saucony"/>
    <x v="3"/>
    <n v="-94512"/>
    <m/>
    <x v="23"/>
    <m/>
    <x v="13"/>
    <m/>
    <x v="48"/>
    <s v="Депозит CON SP21"/>
    <m/>
    <m/>
    <m/>
    <m/>
    <s v="Negative"/>
    <n v="-94512"/>
  </r>
  <r>
    <x v="7"/>
    <n v="0"/>
    <m/>
    <d v="1899-12-30T00:00:00"/>
    <d v="1899-12-30T00:00:00"/>
    <n v="44410"/>
    <x v="1"/>
    <s v="Advance"/>
    <s v="Saucony"/>
    <x v="3"/>
    <n v="-356942.78"/>
    <m/>
    <x v="23"/>
    <m/>
    <x v="13"/>
    <m/>
    <x v="51"/>
    <s v="Депозит DRM AW21"/>
    <m/>
    <m/>
    <m/>
    <m/>
    <s v="Negative"/>
    <n v="-356942.78"/>
  </r>
  <r>
    <x v="7"/>
    <n v="0"/>
    <m/>
    <d v="1899-12-30T00:00:00"/>
    <d v="1899-12-30T00:00:00"/>
    <n v="44410"/>
    <x v="1"/>
    <s v="Advance"/>
    <s v="UGG"/>
    <x v="2"/>
    <n v="-4525122.43"/>
    <m/>
    <x v="23"/>
    <m/>
    <x v="13"/>
    <m/>
    <x v="52"/>
    <s v="Депозит DRM SS21"/>
    <m/>
    <m/>
    <m/>
    <m/>
    <s v="Negative"/>
    <n v="-4525122.43"/>
  </r>
  <r>
    <x v="7"/>
    <n v="0"/>
    <m/>
    <d v="1899-12-30T00:00:00"/>
    <d v="1899-12-30T00:00:00"/>
    <n v="44410"/>
    <x v="1"/>
    <s v="Advance"/>
    <s v="Converse"/>
    <x v="0"/>
    <n v="-95259.43"/>
    <m/>
    <x v="42"/>
    <m/>
    <x v="13"/>
    <m/>
    <x v="38"/>
    <s v="Депозит HAV SS21"/>
    <m/>
    <m/>
    <m/>
    <m/>
    <s v="Negative"/>
    <n v="-95259.43"/>
  </r>
  <r>
    <x v="7"/>
    <n v="0"/>
    <m/>
    <d v="1899-12-30T00:00:00"/>
    <d v="1899-12-30T00:00:00"/>
    <n v="44410"/>
    <x v="1"/>
    <s v="Advance"/>
    <s v="Converse"/>
    <x v="0"/>
    <n v="-74760.47"/>
    <m/>
    <x v="42"/>
    <m/>
    <x v="13"/>
    <m/>
    <x v="40"/>
    <s v="Депозит SAU AW21"/>
    <m/>
    <m/>
    <m/>
    <m/>
    <s v="Negative"/>
    <n v="-74760.47"/>
  </r>
  <r>
    <x v="7"/>
    <n v="0"/>
    <m/>
    <d v="1899-12-30T00:00:00"/>
    <d v="1899-12-30T00:00:00"/>
    <n v="44410"/>
    <x v="1"/>
    <s v="Advance"/>
    <s v="Dr.Martens"/>
    <x v="4"/>
    <n v="-216121.25"/>
    <m/>
    <x v="42"/>
    <m/>
    <x v="13"/>
    <m/>
    <x v="45"/>
    <s v="Депозит SAU SS21"/>
    <m/>
    <m/>
    <m/>
    <m/>
    <s v="Negative"/>
    <n v="-216121.25"/>
  </r>
  <r>
    <x v="7"/>
    <n v="0"/>
    <m/>
    <d v="1899-12-30T00:00:00"/>
    <d v="1899-12-30T00:00:00"/>
    <n v="44410"/>
    <x v="1"/>
    <s v="Advance"/>
    <s v="Dr.Martens"/>
    <x v="4"/>
    <n v="-4208.0200000000004"/>
    <m/>
    <x v="42"/>
    <m/>
    <x v="13"/>
    <m/>
    <x v="53"/>
    <s v="Депозит UGG FW21"/>
    <m/>
    <m/>
    <m/>
    <m/>
    <s v="Negative"/>
    <n v="-4208.0200000000004"/>
  </r>
  <r>
    <x v="7"/>
    <n v="0"/>
    <m/>
    <d v="1899-12-30T00:00:00"/>
    <d v="1899-12-30T00:00:00"/>
    <n v="44410"/>
    <x v="1"/>
    <s v="Advance"/>
    <s v="Dr.Martens"/>
    <x v="4"/>
    <n v="-86569.63"/>
    <m/>
    <x v="42"/>
    <m/>
    <x v="13"/>
    <m/>
    <x v="47"/>
    <s v="депозит CON FA21"/>
    <m/>
    <m/>
    <m/>
    <m/>
    <s v="Negative"/>
    <n v="-86569.63"/>
  </r>
  <r>
    <x v="7"/>
    <n v="0"/>
    <m/>
    <d v="1899-12-30T00:00:00"/>
    <d v="1899-12-30T00:00:00"/>
    <n v="44410"/>
    <x v="1"/>
    <s v="Advance"/>
    <s v="UGG"/>
    <x v="2"/>
    <n v="-377357.64"/>
    <m/>
    <x v="42"/>
    <m/>
    <x v="13"/>
    <m/>
    <x v="54"/>
    <s v="Депозит DRM AW21"/>
    <m/>
    <m/>
    <m/>
    <m/>
    <s v="Negative"/>
    <n v="-377357.64"/>
  </r>
  <r>
    <x v="7"/>
    <n v="0"/>
    <m/>
    <d v="1899-12-30T00:00:00"/>
    <d v="1899-12-30T00:00:00"/>
    <n v="44410"/>
    <x v="1"/>
    <s v="Advance"/>
    <s v="Converse"/>
    <x v="0"/>
    <n v="-47713"/>
    <m/>
    <x v="31"/>
    <m/>
    <x v="13"/>
    <m/>
    <x v="38"/>
    <s v="депозит DRM FH20"/>
    <m/>
    <m/>
    <m/>
    <m/>
    <s v="Negative"/>
    <n v="-47713"/>
  </r>
  <r>
    <x v="7"/>
    <n v="0"/>
    <m/>
    <d v="1899-12-30T00:00:00"/>
    <d v="1899-12-30T00:00:00"/>
    <n v="44410"/>
    <x v="1"/>
    <s v="Advance"/>
    <s v="Converse"/>
    <x v="0"/>
    <n v="-418785"/>
    <m/>
    <x v="31"/>
    <m/>
    <x v="13"/>
    <m/>
    <x v="40"/>
    <s v="Депозит UGG AW21"/>
    <m/>
    <m/>
    <m/>
    <m/>
    <s v="Negative"/>
    <n v="-418785"/>
  </r>
  <r>
    <x v="7"/>
    <n v="0"/>
    <m/>
    <d v="1899-12-30T00:00:00"/>
    <d v="1899-12-30T00:00:00"/>
    <n v="44410"/>
    <x v="1"/>
    <s v="Advance"/>
    <s v="Converse"/>
    <x v="0"/>
    <n v="-140484"/>
    <m/>
    <x v="31"/>
    <m/>
    <x v="13"/>
    <m/>
    <x v="44"/>
    <s v="Депозит CON FA21"/>
    <m/>
    <m/>
    <m/>
    <m/>
    <s v="Negative"/>
    <n v="-140484"/>
  </r>
  <r>
    <x v="7"/>
    <n v="0"/>
    <m/>
    <d v="1899-12-30T00:00:00"/>
    <d v="1899-12-30T00:00:00"/>
    <n v="44410"/>
    <x v="1"/>
    <s v="Advance"/>
    <s v="Dr.Martens"/>
    <x v="4"/>
    <n v="-49486"/>
    <m/>
    <x v="31"/>
    <m/>
    <x v="13"/>
    <m/>
    <x v="45"/>
    <s v="Депозит CON SU21"/>
    <m/>
    <m/>
    <m/>
    <m/>
    <s v="Negative"/>
    <n v="-49486"/>
  </r>
  <r>
    <x v="7"/>
    <n v="0"/>
    <m/>
    <d v="1899-12-30T00:00:00"/>
    <d v="1899-12-30T00:00:00"/>
    <n v="44410"/>
    <x v="1"/>
    <s v="Advance"/>
    <s v="Saucony"/>
    <x v="3"/>
    <n v="-11533.5"/>
    <m/>
    <x v="43"/>
    <m/>
    <x v="13"/>
    <m/>
    <x v="55"/>
    <s v="Депозит DRM AW21"/>
    <m/>
    <m/>
    <m/>
    <m/>
    <s v="Negative"/>
    <n v="-11533.5"/>
  </r>
  <r>
    <x v="7"/>
    <n v="0"/>
    <m/>
    <d v="1899-12-30T00:00:00"/>
    <d v="1899-12-30T00:00:00"/>
    <n v="44410"/>
    <x v="1"/>
    <s v="Advance"/>
    <s v="Dr.Martens"/>
    <x v="4"/>
    <n v="-256988"/>
    <m/>
    <x v="44"/>
    <m/>
    <x v="13"/>
    <m/>
    <x v="45"/>
    <s v="Депозит SAU SS19"/>
    <m/>
    <m/>
    <m/>
    <m/>
    <s v="Negative"/>
    <n v="-256988"/>
  </r>
  <r>
    <x v="7"/>
    <n v="0"/>
    <m/>
    <d v="1899-12-30T00:00:00"/>
    <d v="1899-12-30T00:00:00"/>
    <n v="44410"/>
    <x v="1"/>
    <s v="Advance"/>
    <s v="UGG"/>
    <x v="2"/>
    <n v="-437968"/>
    <m/>
    <x v="44"/>
    <m/>
    <x v="13"/>
    <m/>
    <x v="54"/>
    <s v="Депозит DRM AW21"/>
    <m/>
    <m/>
    <m/>
    <m/>
    <s v="Negative"/>
    <n v="-437968"/>
  </r>
  <r>
    <x v="7"/>
    <n v="0"/>
    <m/>
    <d v="1899-12-30T00:00:00"/>
    <d v="1899-12-30T00:00:00"/>
    <n v="44410"/>
    <x v="1"/>
    <s v="Advance"/>
    <s v="Converse"/>
    <x v="0"/>
    <n v="-120577.83"/>
    <m/>
    <x v="45"/>
    <m/>
    <x v="13"/>
    <m/>
    <x v="56"/>
    <s v="Депозит UGG AW21"/>
    <m/>
    <m/>
    <m/>
    <m/>
    <s v="Negative"/>
    <n v="-120577.83"/>
  </r>
  <r>
    <x v="7"/>
    <n v="0"/>
    <m/>
    <d v="1899-12-30T00:00:00"/>
    <d v="1899-12-30T00:00:00"/>
    <n v="44410"/>
    <x v="1"/>
    <s v="Advance"/>
    <s v="Converse"/>
    <x v="0"/>
    <n v="-46177.23"/>
    <m/>
    <x v="45"/>
    <m/>
    <x v="13"/>
    <m/>
    <x v="57"/>
    <s v="Депозит CON SP17"/>
    <m/>
    <m/>
    <m/>
    <m/>
    <s v="Negative"/>
    <n v="-46177.23"/>
  </r>
  <r>
    <x v="7"/>
    <n v="0"/>
    <m/>
    <d v="1899-12-30T00:00:00"/>
    <d v="1899-12-30T00:00:00"/>
    <n v="44410"/>
    <x v="1"/>
    <s v="Advance"/>
    <s v="Converse"/>
    <x v="0"/>
    <n v="-11259.9"/>
    <m/>
    <x v="46"/>
    <m/>
    <x v="13"/>
    <m/>
    <x v="43"/>
    <s v="Депозит CON SP20"/>
    <m/>
    <m/>
    <m/>
    <m/>
    <s v="Negative"/>
    <n v="-11259.9"/>
  </r>
  <r>
    <x v="7"/>
    <n v="0"/>
    <m/>
    <d v="1899-12-30T00:00:00"/>
    <d v="1899-12-30T00:00:00"/>
    <n v="44410"/>
    <x v="1"/>
    <s v="Advance"/>
    <s v="Converse"/>
    <x v="0"/>
    <n v="-25376"/>
    <m/>
    <x v="46"/>
    <m/>
    <x v="13"/>
    <m/>
    <x v="40"/>
    <s v="Депозит CON SP21"/>
    <m/>
    <m/>
    <m/>
    <m/>
    <s v="Negative"/>
    <n v="-25376"/>
  </r>
  <r>
    <x v="7"/>
    <n v="0"/>
    <m/>
    <d v="1899-12-30T00:00:00"/>
    <d v="1899-12-30T00:00:00"/>
    <n v="44410"/>
    <x v="1"/>
    <s v="Advance"/>
    <s v="Converse"/>
    <x v="0"/>
    <n v="-51614.61"/>
    <m/>
    <x v="18"/>
    <m/>
    <x v="13"/>
    <m/>
    <x v="40"/>
    <s v="депозит DRM AW21"/>
    <m/>
    <m/>
    <m/>
    <m/>
    <s v="Negative"/>
    <n v="-51614.61"/>
  </r>
  <r>
    <x v="7"/>
    <n v="0"/>
    <m/>
    <d v="1899-12-30T00:00:00"/>
    <d v="1899-12-30T00:00:00"/>
    <n v="44410"/>
    <x v="1"/>
    <s v="Advance"/>
    <s v="Dr.Martens"/>
    <x v="4"/>
    <n v="-100506.83"/>
    <m/>
    <x v="18"/>
    <m/>
    <x v="13"/>
    <m/>
    <x v="45"/>
    <s v="Депозит SAU SS22"/>
    <m/>
    <m/>
    <m/>
    <m/>
    <s v="Negative"/>
    <n v="-100506.83"/>
  </r>
  <r>
    <x v="7"/>
    <n v="0"/>
    <m/>
    <d v="1899-12-30T00:00:00"/>
    <d v="1899-12-30T00:00:00"/>
    <n v="44410"/>
    <x v="1"/>
    <s v="Advance"/>
    <s v="Saucony"/>
    <x v="3"/>
    <n v="-66778.42"/>
    <m/>
    <x v="18"/>
    <m/>
    <x v="13"/>
    <m/>
    <x v="49"/>
    <s v="Депозит DRM FH18"/>
    <m/>
    <m/>
    <m/>
    <m/>
    <s v="Negative"/>
    <n v="-66778.42"/>
  </r>
  <r>
    <x v="7"/>
    <n v="0"/>
    <m/>
    <d v="1899-12-30T00:00:00"/>
    <d v="1899-12-30T00:00:00"/>
    <n v="44410"/>
    <x v="1"/>
    <s v="Advance"/>
    <s v="Dr.Martens"/>
    <x v="4"/>
    <n v="-1759.12"/>
    <m/>
    <x v="47"/>
    <m/>
    <x v="13"/>
    <m/>
    <x v="58"/>
    <s v="Депозит SAU SS22"/>
    <m/>
    <m/>
    <m/>
    <m/>
    <s v="Negative"/>
    <n v="-1759.12"/>
  </r>
  <r>
    <x v="7"/>
    <n v="0"/>
    <m/>
    <d v="1899-12-30T00:00:00"/>
    <d v="1899-12-30T00:00:00"/>
    <n v="44410"/>
    <x v="1"/>
    <s v="Advance"/>
    <s v="Converse"/>
    <x v="0"/>
    <n v="-85906.98"/>
    <m/>
    <x v="48"/>
    <m/>
    <x v="13"/>
    <m/>
    <x v="40"/>
    <s v="Депозит UGG AW21"/>
    <m/>
    <m/>
    <m/>
    <m/>
    <s v="Negative"/>
    <n v="-85906.98"/>
  </r>
  <r>
    <x v="7"/>
    <n v="0"/>
    <m/>
    <d v="1899-12-30T00:00:00"/>
    <d v="1899-12-30T00:00:00"/>
    <n v="44410"/>
    <x v="1"/>
    <s v="Advance"/>
    <s v="Saucony"/>
    <x v="3"/>
    <n v="-220629.55"/>
    <m/>
    <x v="49"/>
    <m/>
    <x v="13"/>
    <m/>
    <x v="49"/>
    <s v="Депозит CON SP20"/>
    <m/>
    <m/>
    <m/>
    <m/>
    <s v="Negative"/>
    <n v="-220629.55"/>
  </r>
  <r>
    <x v="7"/>
    <n v="0"/>
    <m/>
    <d v="1899-12-30T00:00:00"/>
    <d v="1899-12-30T00:00:00"/>
    <n v="44410"/>
    <x v="1"/>
    <s v="Advance"/>
    <s v="UGG"/>
    <x v="2"/>
    <n v="-69037.63"/>
    <m/>
    <x v="50"/>
    <m/>
    <x v="13"/>
    <m/>
    <x v="54"/>
    <s v="Депозит CON FA21"/>
    <m/>
    <m/>
    <m/>
    <m/>
    <s v="Negative"/>
    <n v="-69037.63"/>
  </r>
  <r>
    <x v="7"/>
    <n v="0"/>
    <m/>
    <d v="1899-12-30T00:00:00"/>
    <d v="1899-12-30T00:00:00"/>
    <n v="44410"/>
    <x v="1"/>
    <s v="Advance"/>
    <s v="Converse"/>
    <x v="0"/>
    <n v="-50473"/>
    <m/>
    <x v="51"/>
    <m/>
    <x v="13"/>
    <m/>
    <x v="57"/>
    <s v="депозит DRM FH20"/>
    <m/>
    <m/>
    <m/>
    <m/>
    <s v="Negative"/>
    <n v="-50473"/>
  </r>
  <r>
    <x v="7"/>
    <n v="0"/>
    <m/>
    <d v="1899-12-30T00:00:00"/>
    <d v="1899-12-30T00:00:00"/>
    <n v="44410"/>
    <x v="1"/>
    <s v="Advance"/>
    <s v="Converse"/>
    <x v="0"/>
    <n v="-53892.24"/>
    <m/>
    <x v="52"/>
    <m/>
    <x v="13"/>
    <m/>
    <x v="38"/>
    <s v="Депозит SAU FW21"/>
    <m/>
    <m/>
    <m/>
    <m/>
    <s v="Negative"/>
    <n v="-53892.24"/>
  </r>
  <r>
    <x v="7"/>
    <n v="0"/>
    <m/>
    <d v="1899-12-30T00:00:00"/>
    <d v="1899-12-30T00:00:00"/>
    <n v="44410"/>
    <x v="1"/>
    <s v="Advance"/>
    <s v="Converse"/>
    <x v="0"/>
    <n v="-28361.759999999998"/>
    <m/>
    <x v="52"/>
    <m/>
    <x v="13"/>
    <m/>
    <x v="40"/>
    <s v="Депозит CON SU18"/>
    <m/>
    <m/>
    <m/>
    <m/>
    <s v="Negative"/>
    <n v="-28361.759999999998"/>
  </r>
  <r>
    <x v="7"/>
    <n v="0"/>
    <m/>
    <d v="1899-12-30T00:00:00"/>
    <d v="1899-12-30T00:00:00"/>
    <n v="44410"/>
    <x v="1"/>
    <s v="Advance"/>
    <s v="Dr.Martens"/>
    <x v="4"/>
    <n v="-56290.6"/>
    <m/>
    <x v="7"/>
    <m/>
    <x v="13"/>
    <m/>
    <x v="53"/>
    <s v="депозит DRM AW21"/>
    <m/>
    <m/>
    <m/>
    <m/>
    <s v="Negative"/>
    <n v="-56290.6"/>
  </r>
  <r>
    <x v="7"/>
    <n v="0"/>
    <m/>
    <d v="1899-12-30T00:00:00"/>
    <d v="1899-12-30T00:00:00"/>
    <n v="44410"/>
    <x v="1"/>
    <s v="Advance"/>
    <s v="Saucony"/>
    <x v="3"/>
    <n v="-78018.33"/>
    <m/>
    <x v="30"/>
    <m/>
    <x v="13"/>
    <m/>
    <x v="39"/>
    <s v="Депозит CON FA21"/>
    <m/>
    <m/>
    <m/>
    <m/>
    <s v="Negative"/>
    <n v="-78018.33"/>
  </r>
  <r>
    <x v="7"/>
    <n v="0"/>
    <m/>
    <d v="1899-12-30T00:00:00"/>
    <d v="1899-12-30T00:00:00"/>
    <n v="44410"/>
    <x v="1"/>
    <s v="Advance"/>
    <s v="Converse"/>
    <x v="0"/>
    <n v="-95860"/>
    <m/>
    <x v="53"/>
    <m/>
    <x v="13"/>
    <m/>
    <x v="40"/>
    <s v="депозит DRM FH20"/>
    <m/>
    <m/>
    <m/>
    <m/>
    <s v="Negative"/>
    <n v="-95860"/>
  </r>
  <r>
    <x v="7"/>
    <n v="0"/>
    <m/>
    <d v="1899-12-30T00:00:00"/>
    <d v="1899-12-30T00:00:00"/>
    <n v="44410"/>
    <x v="1"/>
    <s v="Advance"/>
    <s v="Converse"/>
    <x v="0"/>
    <n v="-7199.46"/>
    <m/>
    <x v="54"/>
    <m/>
    <x v="13"/>
    <m/>
    <x v="59"/>
    <s v="Депозит DRM AW21"/>
    <m/>
    <m/>
    <m/>
    <m/>
    <s v="Negative"/>
    <n v="-7199.46"/>
  </r>
  <r>
    <x v="7"/>
    <n v="0"/>
    <m/>
    <d v="1899-12-30T00:00:00"/>
    <d v="1899-12-30T00:00:00"/>
    <n v="44410"/>
    <x v="1"/>
    <s v="Advance"/>
    <s v="Dr.Martens"/>
    <x v="4"/>
    <n v="-103355.81"/>
    <m/>
    <x v="55"/>
    <m/>
    <x v="13"/>
    <m/>
    <x v="45"/>
    <s v="Депозит SAU AW21"/>
    <m/>
    <m/>
    <m/>
    <m/>
    <s v="Negative"/>
    <n v="-103355.81"/>
  </r>
  <r>
    <x v="7"/>
    <n v="0"/>
    <m/>
    <d v="1899-12-30T00:00:00"/>
    <d v="1899-12-30T00:00:00"/>
    <n v="44410"/>
    <x v="1"/>
    <s v="Advance"/>
    <s v="Converse"/>
    <x v="0"/>
    <n v="-89872.75"/>
    <m/>
    <x v="56"/>
    <m/>
    <x v="13"/>
    <m/>
    <x v="38"/>
    <s v="Депозит CON SP20"/>
    <m/>
    <m/>
    <m/>
    <m/>
    <s v="Negative"/>
    <n v="-89872.75"/>
  </r>
  <r>
    <x v="7"/>
    <n v="0"/>
    <m/>
    <d v="1899-12-30T00:00:00"/>
    <d v="1899-12-30T00:00:00"/>
    <n v="44410"/>
    <x v="1"/>
    <s v="Advance"/>
    <s v="Converse"/>
    <x v="0"/>
    <n v="-165347.43"/>
    <m/>
    <x v="56"/>
    <m/>
    <x v="13"/>
    <m/>
    <x v="40"/>
    <s v="Депозит SAU SS20"/>
    <m/>
    <m/>
    <m/>
    <m/>
    <s v="Negative"/>
    <n v="-165347.43"/>
  </r>
  <r>
    <x v="7"/>
    <n v="0"/>
    <m/>
    <d v="1899-12-30T00:00:00"/>
    <d v="1899-12-30T00:00:00"/>
    <n v="44410"/>
    <x v="1"/>
    <s v="Advance"/>
    <s v="Dr.Martens"/>
    <x v="4"/>
    <n v="-10188"/>
    <m/>
    <x v="24"/>
    <m/>
    <x v="13"/>
    <m/>
    <x v="53"/>
    <s v="депозит CON FA21"/>
    <m/>
    <m/>
    <m/>
    <m/>
    <s v="Negative"/>
    <n v="-10188"/>
  </r>
  <r>
    <x v="7"/>
    <n v="0"/>
    <m/>
    <d v="1899-12-30T00:00:00"/>
    <d v="1899-12-30T00:00:00"/>
    <n v="44410"/>
    <x v="1"/>
    <s v="Advance"/>
    <s v="Converse"/>
    <x v="0"/>
    <n v="-167760.57999999999"/>
    <m/>
    <x v="27"/>
    <m/>
    <x v="13"/>
    <m/>
    <x v="40"/>
    <s v="депозит SAU SS22"/>
    <m/>
    <m/>
    <m/>
    <m/>
    <s v="Negative"/>
    <n v="-167760.57999999999"/>
  </r>
  <r>
    <x v="7"/>
    <n v="0"/>
    <m/>
    <d v="1899-12-30T00:00:00"/>
    <d v="1899-12-30T00:00:00"/>
    <n v="44410"/>
    <x v="1"/>
    <s v="Advance"/>
    <s v="Dr.Martens"/>
    <x v="4"/>
    <n v="-465170"/>
    <m/>
    <x v="57"/>
    <m/>
    <x v="13"/>
    <m/>
    <x v="45"/>
    <s v="Депозит DRM AW21"/>
    <m/>
    <m/>
    <m/>
    <m/>
    <s v="Negative"/>
    <n v="-465170"/>
  </r>
  <r>
    <x v="7"/>
    <n v="0"/>
    <m/>
    <d v="1899-12-30T00:00:00"/>
    <d v="1899-12-30T00:00:00"/>
    <n v="44410"/>
    <x v="1"/>
    <s v="Advance"/>
    <s v="Saucony"/>
    <x v="3"/>
    <n v="-256000"/>
    <m/>
    <x v="57"/>
    <m/>
    <x v="13"/>
    <m/>
    <x v="48"/>
    <s v="Депозит DRM SS21"/>
    <m/>
    <m/>
    <m/>
    <m/>
    <s v="Negative"/>
    <n v="-256000"/>
  </r>
  <r>
    <x v="7"/>
    <n v="0"/>
    <m/>
    <d v="1899-12-30T00:00:00"/>
    <d v="1899-12-30T00:00:00"/>
    <n v="44410"/>
    <x v="1"/>
    <s v="Advance"/>
    <s v="Converse"/>
    <x v="0"/>
    <n v="-42972.72"/>
    <m/>
    <x v="58"/>
    <m/>
    <x v="13"/>
    <m/>
    <x v="57"/>
    <s v="Депозит CON SP21"/>
    <m/>
    <m/>
    <m/>
    <m/>
    <s v="Negative"/>
    <n v="-42972.72"/>
  </r>
  <r>
    <x v="7"/>
    <n v="0"/>
    <m/>
    <d v="1899-12-30T00:00:00"/>
    <d v="1899-12-30T00:00:00"/>
    <n v="44410"/>
    <x v="1"/>
    <s v="Advance"/>
    <s v="Converse"/>
    <x v="0"/>
    <n v="-91187.33"/>
    <m/>
    <x v="58"/>
    <m/>
    <x v="13"/>
    <m/>
    <x v="40"/>
    <s v="Депозит CON SU21"/>
    <m/>
    <m/>
    <m/>
    <m/>
    <s v="Negative"/>
    <n v="-91187.33"/>
  </r>
  <r>
    <x v="7"/>
    <n v="0"/>
    <m/>
    <d v="1899-12-30T00:00:00"/>
    <d v="1899-12-30T00:00:00"/>
    <n v="44410"/>
    <x v="1"/>
    <s v="Advance"/>
    <s v="Saucony"/>
    <x v="3"/>
    <n v="-625.94000000000005"/>
    <m/>
    <x v="59"/>
    <m/>
    <x v="13"/>
    <m/>
    <x v="60"/>
    <s v="депозит DRM AW21"/>
    <m/>
    <m/>
    <m/>
    <m/>
    <s v="Negative"/>
    <n v="-625.94000000000005"/>
  </r>
  <r>
    <x v="7"/>
    <n v="0"/>
    <m/>
    <d v="1899-12-30T00:00:00"/>
    <d v="1899-12-30T00:00:00"/>
    <n v="44410"/>
    <x v="1"/>
    <s v="Advance"/>
    <s v="Converse"/>
    <x v="0"/>
    <n v="-37995.68"/>
    <m/>
    <x v="60"/>
    <m/>
    <x v="13"/>
    <m/>
    <x v="38"/>
    <s v="Депозит SAU SS22"/>
    <m/>
    <m/>
    <m/>
    <m/>
    <s v="Negative"/>
    <n v="-37995.68"/>
  </r>
  <r>
    <x v="7"/>
    <n v="0"/>
    <m/>
    <d v="1899-12-30T00:00:00"/>
    <d v="1899-12-30T00:00:00"/>
    <n v="44410"/>
    <x v="1"/>
    <s v="Advance"/>
    <s v="Converse"/>
    <x v="0"/>
    <n v="-77401"/>
    <m/>
    <x v="60"/>
    <m/>
    <x v="13"/>
    <m/>
    <x v="40"/>
    <s v="Депозит UGG AW21"/>
    <m/>
    <m/>
    <m/>
    <m/>
    <s v="Negative"/>
    <n v="-77401"/>
  </r>
  <r>
    <x v="7"/>
    <n v="0"/>
    <m/>
    <d v="1899-12-30T00:00:00"/>
    <d v="1899-12-30T00:00:00"/>
    <n v="44410"/>
    <x v="1"/>
    <s v="Advance"/>
    <s v="Saucony"/>
    <x v="3"/>
    <n v="-89728.9"/>
    <m/>
    <x v="60"/>
    <m/>
    <x v="13"/>
    <m/>
    <x v="49"/>
    <s v="Депозит CON SP19"/>
    <m/>
    <m/>
    <m/>
    <m/>
    <s v="Negative"/>
    <n v="-89728.9"/>
  </r>
  <r>
    <x v="7"/>
    <n v="0"/>
    <m/>
    <d v="1899-12-30T00:00:00"/>
    <d v="1899-12-30T00:00:00"/>
    <n v="44410"/>
    <x v="1"/>
    <s v="Advance"/>
    <s v="Dr.Martens"/>
    <x v="4"/>
    <n v="-518277.27"/>
    <m/>
    <x v="17"/>
    <m/>
    <x v="13"/>
    <m/>
    <x v="45"/>
    <s v="Депозит CON SP21"/>
    <m/>
    <m/>
    <m/>
    <m/>
    <s v="Negative"/>
    <n v="-518277.27"/>
  </r>
  <r>
    <x v="7"/>
    <n v="0"/>
    <m/>
    <d v="1899-12-30T00:00:00"/>
    <d v="1899-12-30T00:00:00"/>
    <n v="44410"/>
    <x v="1"/>
    <s v="Advance"/>
    <s v="Dr.Martens"/>
    <x v="4"/>
    <n v="-196.26"/>
    <m/>
    <x v="17"/>
    <m/>
    <x v="13"/>
    <m/>
    <x v="46"/>
    <s v="Депозит SAU FA21"/>
    <m/>
    <m/>
    <m/>
    <m/>
    <s v="Negative"/>
    <n v="-196.26"/>
  </r>
  <r>
    <x v="7"/>
    <n v="0"/>
    <m/>
    <d v="1899-12-30T00:00:00"/>
    <d v="1899-12-30T00:00:00"/>
    <n v="44410"/>
    <x v="1"/>
    <s v="Advance"/>
    <s v="Converse"/>
    <x v="0"/>
    <n v="-42251.82"/>
    <m/>
    <x v="34"/>
    <m/>
    <x v="13"/>
    <m/>
    <x v="43"/>
    <s v="Депозит CON SU20"/>
    <m/>
    <m/>
    <m/>
    <m/>
    <s v="Negative"/>
    <n v="-42251.82"/>
  </r>
  <r>
    <x v="7"/>
    <n v="0"/>
    <m/>
    <d v="1899-12-30T00:00:00"/>
    <d v="1899-12-30T00:00:00"/>
    <n v="44410"/>
    <x v="1"/>
    <s v="Advance"/>
    <s v="Converse"/>
    <x v="0"/>
    <n v="-148633.63"/>
    <m/>
    <x v="34"/>
    <m/>
    <x v="13"/>
    <m/>
    <x v="44"/>
    <s v="Депозит CON SU21"/>
    <m/>
    <m/>
    <m/>
    <m/>
    <s v="Negative"/>
    <n v="-148633.63"/>
  </r>
  <r>
    <x v="7"/>
    <n v="0"/>
    <m/>
    <d v="1899-12-30T00:00:00"/>
    <d v="1899-12-30T00:00:00"/>
    <n v="44410"/>
    <x v="1"/>
    <s v="Advance"/>
    <s v="Dr.Martens"/>
    <x v="4"/>
    <n v="-146102.18"/>
    <m/>
    <x v="34"/>
    <m/>
    <x v="13"/>
    <m/>
    <x v="45"/>
    <s v="депозит CON FA21"/>
    <m/>
    <m/>
    <m/>
    <m/>
    <s v="Negative"/>
    <n v="-146102.18"/>
  </r>
  <r>
    <x v="7"/>
    <n v="0"/>
    <m/>
    <d v="1899-12-30T00:00:00"/>
    <d v="1899-12-30T00:00:00"/>
    <n v="44410"/>
    <x v="1"/>
    <s v="Advance"/>
    <s v="Converse"/>
    <x v="0"/>
    <n v="-84510"/>
    <m/>
    <x v="61"/>
    <m/>
    <x v="13"/>
    <m/>
    <x v="40"/>
    <s v="Депозит DRM FW21"/>
    <m/>
    <m/>
    <m/>
    <m/>
    <s v="Negative"/>
    <n v="-84510"/>
  </r>
  <r>
    <x v="7"/>
    <n v="0"/>
    <m/>
    <d v="1899-12-30T00:00:00"/>
    <d v="1899-12-30T00:00:00"/>
    <n v="44410"/>
    <x v="1"/>
    <s v="Advance"/>
    <s v="Saucony"/>
    <x v="3"/>
    <n v="-158009.37"/>
    <m/>
    <x v="61"/>
    <m/>
    <x v="13"/>
    <m/>
    <x v="49"/>
    <s v="Депозит DRM AW21"/>
    <m/>
    <m/>
    <m/>
    <m/>
    <s v="Negative"/>
    <n v="-158009.37"/>
  </r>
  <r>
    <x v="7"/>
    <n v="0"/>
    <m/>
    <d v="1899-12-30T00:00:00"/>
    <d v="1899-12-30T00:00:00"/>
    <n v="44410"/>
    <x v="1"/>
    <s v="Advance"/>
    <s v="UGG"/>
    <x v="2"/>
    <n v="-337883.74"/>
    <m/>
    <x v="61"/>
    <m/>
    <x v="13"/>
    <m/>
    <x v="54"/>
    <s v="депозит SAU SS22"/>
    <m/>
    <m/>
    <m/>
    <m/>
    <s v="Negative"/>
    <n v="-337883.74"/>
  </r>
  <r>
    <x v="7"/>
    <n v="0"/>
    <m/>
    <d v="1899-12-30T00:00:00"/>
    <d v="1899-12-30T00:00:00"/>
    <n v="44410"/>
    <x v="1"/>
    <s v="Advance"/>
    <s v="Converse"/>
    <x v="0"/>
    <n v="-413.01"/>
    <m/>
    <x v="62"/>
    <m/>
    <x v="13"/>
    <m/>
    <x v="61"/>
    <s v="Депозит CON FW21"/>
    <m/>
    <m/>
    <m/>
    <m/>
    <s v="Negative"/>
    <n v="-413.01"/>
  </r>
  <r>
    <x v="7"/>
    <n v="0"/>
    <m/>
    <d v="1899-12-30T00:00:00"/>
    <d v="1899-12-30T00:00:00"/>
    <n v="44410"/>
    <x v="1"/>
    <s v="Advance"/>
    <s v="Converse"/>
    <x v="0"/>
    <n v="-45220"/>
    <m/>
    <x v="63"/>
    <m/>
    <x v="13"/>
    <m/>
    <x v="43"/>
    <s v="Депозит DRM AW21"/>
    <m/>
    <m/>
    <m/>
    <m/>
    <s v="Negative"/>
    <n v="-45220"/>
  </r>
  <r>
    <x v="7"/>
    <n v="0"/>
    <m/>
    <d v="1899-12-30T00:00:00"/>
    <d v="1899-12-30T00:00:00"/>
    <n v="44410"/>
    <x v="1"/>
    <s v="Advance"/>
    <s v="Saucony"/>
    <x v="3"/>
    <n v="-118113"/>
    <m/>
    <x v="64"/>
    <m/>
    <x v="13"/>
    <m/>
    <x v="62"/>
    <s v="Депозит SAU SS22"/>
    <m/>
    <m/>
    <m/>
    <m/>
    <s v="Negative"/>
    <n v="-118113"/>
  </r>
  <r>
    <x v="7"/>
    <n v="0"/>
    <m/>
    <d v="1899-12-30T00:00:00"/>
    <d v="1899-12-30T00:00:00"/>
    <n v="44410"/>
    <x v="1"/>
    <s v="Advance"/>
    <s v="Converse"/>
    <x v="0"/>
    <n v="-78086.539999999994"/>
    <m/>
    <x v="65"/>
    <m/>
    <x v="13"/>
    <m/>
    <x v="40"/>
    <s v="Депозит UGG AW21"/>
    <m/>
    <m/>
    <m/>
    <m/>
    <s v="Negative"/>
    <n v="-78086.539999999994"/>
  </r>
  <r>
    <x v="7"/>
    <n v="0"/>
    <m/>
    <d v="1899-12-30T00:00:00"/>
    <d v="1899-12-30T00:00:00"/>
    <n v="44410"/>
    <x v="1"/>
    <s v="Advance"/>
    <s v="Converse"/>
    <x v="0"/>
    <n v="-53789.88"/>
    <m/>
    <x v="65"/>
    <m/>
    <x v="13"/>
    <m/>
    <x v="63"/>
    <s v="Депозит SAU SS22"/>
    <m/>
    <m/>
    <m/>
    <m/>
    <s v="Negative"/>
    <n v="-53789.88"/>
  </r>
  <r>
    <x v="7"/>
    <n v="0"/>
    <m/>
    <d v="1899-12-30T00:00:00"/>
    <d v="1899-12-30T00:00:00"/>
    <n v="44410"/>
    <x v="1"/>
    <s v="Advance"/>
    <s v="Converse"/>
    <x v="0"/>
    <n v="-46831.18"/>
    <m/>
    <x v="65"/>
    <m/>
    <x v="13"/>
    <m/>
    <x v="44"/>
    <s v="Депозит CON FA20"/>
    <m/>
    <m/>
    <m/>
    <m/>
    <s v="Negative"/>
    <n v="-46831.18"/>
  </r>
  <r>
    <x v="7"/>
    <n v="0"/>
    <m/>
    <d v="1899-12-30T00:00:00"/>
    <d v="1899-12-30T00:00:00"/>
    <n v="44410"/>
    <x v="1"/>
    <s v="Advance"/>
    <s v="Converse"/>
    <x v="0"/>
    <n v="-60350.7"/>
    <m/>
    <x v="66"/>
    <m/>
    <x v="13"/>
    <m/>
    <x v="38"/>
    <s v="Депозит UGG FW21"/>
    <m/>
    <m/>
    <m/>
    <m/>
    <s v="Negative"/>
    <n v="-60350.7"/>
  </r>
  <r>
    <x v="7"/>
    <n v="0"/>
    <m/>
    <d v="1899-12-30T00:00:00"/>
    <d v="1899-12-30T00:00:00"/>
    <n v="44410"/>
    <x v="1"/>
    <s v="Advance"/>
    <s v="Converse"/>
    <x v="0"/>
    <n v="-49980"/>
    <m/>
    <x v="66"/>
    <m/>
    <x v="13"/>
    <m/>
    <x v="40"/>
    <s v="Депозит CON FA21"/>
    <m/>
    <m/>
    <m/>
    <m/>
    <s v="Negative"/>
    <n v="-49980"/>
  </r>
  <r>
    <x v="7"/>
    <n v="0"/>
    <m/>
    <d v="1899-12-30T00:00:00"/>
    <d v="1899-12-30T00:00:00"/>
    <n v="44410"/>
    <x v="1"/>
    <s v="Advance"/>
    <s v="Dr.Martens"/>
    <x v="4"/>
    <n v="-79689.259999999995"/>
    <m/>
    <x v="67"/>
    <m/>
    <x v="13"/>
    <m/>
    <x v="64"/>
    <s v="Депозит CON SP21"/>
    <m/>
    <m/>
    <m/>
    <m/>
    <s v="Negative"/>
    <n v="-79689.259999999995"/>
  </r>
  <r>
    <x v="7"/>
    <n v="0"/>
    <m/>
    <d v="1899-12-30T00:00:00"/>
    <d v="1899-12-30T00:00:00"/>
    <n v="44410"/>
    <x v="1"/>
    <s v="Advance"/>
    <s v="Converse"/>
    <x v="0"/>
    <n v="-34154"/>
    <m/>
    <x v="13"/>
    <m/>
    <x v="13"/>
    <m/>
    <x v="40"/>
    <s v="Депозит DRM FH21"/>
    <m/>
    <m/>
    <m/>
    <m/>
    <s v="Negative"/>
    <n v="-34154"/>
  </r>
  <r>
    <x v="7"/>
    <n v="0"/>
    <m/>
    <d v="1899-12-30T00:00:00"/>
    <d v="1899-12-30T00:00:00"/>
    <n v="44410"/>
    <x v="1"/>
    <s v="Advance"/>
    <s v="Dr.Martens"/>
    <x v="4"/>
    <n v="-301128.5"/>
    <m/>
    <x v="68"/>
    <m/>
    <x v="13"/>
    <m/>
    <x v="45"/>
    <s v="Депозит SAU SS21"/>
    <m/>
    <m/>
    <m/>
    <m/>
    <s v="Negative"/>
    <n v="-301128.5"/>
  </r>
  <r>
    <x v="7"/>
    <n v="0"/>
    <m/>
    <d v="1899-12-30T00:00:00"/>
    <d v="1899-12-30T00:00:00"/>
    <n v="44410"/>
    <x v="1"/>
    <s v="Advance"/>
    <s v="Converse"/>
    <x v="0"/>
    <n v="-57267"/>
    <m/>
    <x v="69"/>
    <m/>
    <x v="13"/>
    <m/>
    <x v="40"/>
    <s v="Депозит UGG FW21"/>
    <m/>
    <m/>
    <m/>
    <m/>
    <s v="Negative"/>
    <n v="-57267"/>
  </r>
  <r>
    <x v="7"/>
    <n v="0"/>
    <m/>
    <d v="1899-12-30T00:00:00"/>
    <d v="1899-12-30T00:00:00"/>
    <n v="44410"/>
    <x v="1"/>
    <s v="Advance"/>
    <s v="Saucony"/>
    <x v="3"/>
    <n v="-66196.14"/>
    <m/>
    <x v="70"/>
    <m/>
    <x v="13"/>
    <m/>
    <x v="49"/>
    <s v="Депозит SAU AW21"/>
    <m/>
    <m/>
    <m/>
    <m/>
    <s v="Negative"/>
    <n v="-66196.14"/>
  </r>
  <r>
    <x v="7"/>
    <n v="0"/>
    <m/>
    <d v="1899-12-30T00:00:00"/>
    <d v="1899-12-30T00:00:00"/>
    <n v="44410"/>
    <x v="1"/>
    <s v="Advance"/>
    <s v="Converse"/>
    <x v="0"/>
    <n v="-104806.62"/>
    <m/>
    <x v="36"/>
    <m/>
    <x v="13"/>
    <m/>
    <x v="42"/>
    <s v="Депозит SAU SS21"/>
    <m/>
    <m/>
    <m/>
    <m/>
    <s v="Negative"/>
    <n v="-104806.62"/>
  </r>
  <r>
    <x v="7"/>
    <n v="0"/>
    <m/>
    <d v="1899-12-30T00:00:00"/>
    <d v="1899-12-30T00:00:00"/>
    <n v="44410"/>
    <x v="1"/>
    <s v="Advance"/>
    <s v="Dr.Martens"/>
    <x v="4"/>
    <n v="-307587.96000000002"/>
    <m/>
    <x v="36"/>
    <m/>
    <x v="13"/>
    <m/>
    <x v="45"/>
    <s v="депозит DRM FH20"/>
    <m/>
    <m/>
    <m/>
    <m/>
    <s v="Negative"/>
    <n v="-307587.96000000002"/>
  </r>
  <r>
    <x v="7"/>
    <n v="0"/>
    <m/>
    <d v="1899-12-30T00:00:00"/>
    <d v="1899-12-30T00:00:00"/>
    <n v="44410"/>
    <x v="1"/>
    <s v="Advance"/>
    <s v="Dr.Martens"/>
    <x v="4"/>
    <n v="-215902.57"/>
    <m/>
    <x v="36"/>
    <m/>
    <x v="13"/>
    <m/>
    <x v="47"/>
    <s v="депозит DRM FW21"/>
    <m/>
    <m/>
    <m/>
    <m/>
    <s v="Negative"/>
    <n v="-215902.57"/>
  </r>
  <r>
    <x v="7"/>
    <n v="0"/>
    <m/>
    <d v="1899-12-30T00:00:00"/>
    <d v="1899-12-30T00:00:00"/>
    <n v="44410"/>
    <x v="1"/>
    <s v="Advance"/>
    <s v="Saucony"/>
    <x v="3"/>
    <n v="-156171.37"/>
    <m/>
    <x v="36"/>
    <m/>
    <x v="13"/>
    <m/>
    <x v="49"/>
    <s v="Депозит CON FA21"/>
    <m/>
    <m/>
    <m/>
    <m/>
    <s v="Negative"/>
    <n v="-156171.37"/>
  </r>
  <r>
    <x v="7"/>
    <n v="0"/>
    <m/>
    <d v="1899-12-30T00:00:00"/>
    <d v="1899-12-30T00:00:00"/>
    <n v="44410"/>
    <x v="1"/>
    <s v="Advance"/>
    <s v="UGG"/>
    <x v="2"/>
    <n v="-72821.78"/>
    <m/>
    <x v="36"/>
    <m/>
    <x v="13"/>
    <m/>
    <x v="54"/>
    <s v="Депозит CON SP21"/>
    <m/>
    <m/>
    <m/>
    <m/>
    <s v="Negative"/>
    <n v="-72821.78"/>
  </r>
  <r>
    <x v="7"/>
    <n v="0"/>
    <m/>
    <d v="1899-12-30T00:00:00"/>
    <d v="1899-12-30T00:00:00"/>
    <n v="44410"/>
    <x v="1"/>
    <s v="Advance"/>
    <s v="UGG"/>
    <x v="2"/>
    <n v="-65924.41"/>
    <m/>
    <x v="36"/>
    <m/>
    <x v="13"/>
    <m/>
    <x v="35"/>
    <s v="депозит DRM FW21"/>
    <m/>
    <m/>
    <m/>
    <m/>
    <s v="Negative"/>
    <n v="-65924.41"/>
  </r>
  <r>
    <x v="7"/>
    <n v="0"/>
    <m/>
    <d v="1899-12-30T00:00:00"/>
    <d v="1899-12-30T00:00:00"/>
    <n v="44410"/>
    <x v="1"/>
    <s v="Advance"/>
    <s v="Converse"/>
    <x v="0"/>
    <n v="-42374"/>
    <m/>
    <x v="71"/>
    <m/>
    <x v="13"/>
    <m/>
    <x v="40"/>
    <s v="депозит UGG FW21"/>
    <m/>
    <m/>
    <m/>
    <m/>
    <s v="Negative"/>
    <n v="-42374"/>
  </r>
  <r>
    <x v="7"/>
    <n v="0"/>
    <m/>
    <d v="1899-12-30T00:00:00"/>
    <d v="1899-12-30T00:00:00"/>
    <n v="44410"/>
    <x v="1"/>
    <s v="Advance"/>
    <s v="Saucony"/>
    <x v="3"/>
    <n v="-75139.429999999993"/>
    <m/>
    <x v="71"/>
    <m/>
    <x v="13"/>
    <m/>
    <x v="49"/>
    <s v="Депозит DRM FH19"/>
    <m/>
    <m/>
    <m/>
    <m/>
    <s v="Negative"/>
    <n v="-75139.429999999993"/>
  </r>
  <r>
    <x v="7"/>
    <n v="0"/>
    <m/>
    <d v="1899-12-30T00:00:00"/>
    <d v="1899-12-30T00:00:00"/>
    <n v="44410"/>
    <x v="1"/>
    <s v="Advance"/>
    <s v="Converse"/>
    <x v="0"/>
    <n v="-18087.14"/>
    <m/>
    <x v="72"/>
    <m/>
    <x v="13"/>
    <m/>
    <x v="41"/>
    <s v="Депозит DRM AW21"/>
    <m/>
    <m/>
    <m/>
    <m/>
    <s v="Negative"/>
    <n v="-18087.14"/>
  </r>
  <r>
    <x v="7"/>
    <n v="0"/>
    <m/>
    <d v="1899-12-30T00:00:00"/>
    <d v="1899-12-30T00:00:00"/>
    <n v="44410"/>
    <x v="1"/>
    <s v="Advance"/>
    <s v="Converse"/>
    <x v="0"/>
    <n v="-116070.62"/>
    <m/>
    <x v="37"/>
    <m/>
    <x v="13"/>
    <m/>
    <x v="40"/>
    <s v="депозит SAU AW21"/>
    <m/>
    <m/>
    <m/>
    <m/>
    <s v="Negative"/>
    <n v="-116070.62"/>
  </r>
  <r>
    <x v="7"/>
    <n v="0"/>
    <m/>
    <d v="1899-12-30T00:00:00"/>
    <d v="1899-12-30T00:00:00"/>
    <n v="44410"/>
    <x v="1"/>
    <s v="Advance"/>
    <s v="Dr.Martens"/>
    <x v="4"/>
    <n v="-165179.38"/>
    <m/>
    <x v="37"/>
    <m/>
    <x v="13"/>
    <m/>
    <x v="47"/>
    <s v="Депозит SAU SS21"/>
    <m/>
    <m/>
    <m/>
    <m/>
    <s v="Negative"/>
    <n v="-165179.38"/>
  </r>
  <r>
    <x v="7"/>
    <n v="0"/>
    <m/>
    <d v="1899-12-30T00:00:00"/>
    <d v="1899-12-30T00:00:00"/>
    <n v="44410"/>
    <x v="1"/>
    <s v="Advance"/>
    <s v="UGG"/>
    <x v="2"/>
    <n v="-278680.69"/>
    <m/>
    <x v="73"/>
    <m/>
    <x v="13"/>
    <m/>
    <x v="52"/>
    <s v="Депозит DRM AW21"/>
    <m/>
    <m/>
    <m/>
    <m/>
    <s v="Negative"/>
    <n v="-278680.69"/>
  </r>
  <r>
    <x v="7"/>
    <n v="0"/>
    <m/>
    <d v="1899-12-30T00:00:00"/>
    <d v="1899-12-30T00:00:00"/>
    <n v="44410"/>
    <x v="1"/>
    <s v="Advance"/>
    <s v="Converse"/>
    <x v="0"/>
    <n v="-1968875.54"/>
    <m/>
    <x v="14"/>
    <m/>
    <x v="13"/>
    <m/>
    <x v="38"/>
    <s v="Депозит CON SP20"/>
    <m/>
    <m/>
    <m/>
    <m/>
    <s v="Negative"/>
    <n v="-1968875.54"/>
  </r>
  <r>
    <x v="7"/>
    <n v="0"/>
    <m/>
    <d v="1899-12-30T00:00:00"/>
    <d v="1899-12-30T00:00:00"/>
    <n v="44410"/>
    <x v="1"/>
    <s v="Advance"/>
    <s v="Converse"/>
    <x v="0"/>
    <n v="-3619500.24"/>
    <m/>
    <x v="14"/>
    <m/>
    <x v="13"/>
    <m/>
    <x v="43"/>
    <s v="депозит DRM AW21"/>
    <m/>
    <m/>
    <m/>
    <m/>
    <s v="Negative"/>
    <n v="-3619500.24"/>
  </r>
  <r>
    <x v="7"/>
    <n v="0"/>
    <m/>
    <d v="1899-12-30T00:00:00"/>
    <d v="1899-12-30T00:00:00"/>
    <n v="44410"/>
    <x v="1"/>
    <s v="Advance"/>
    <s v="Dr.Martens"/>
    <x v="4"/>
    <n v="-12451513.58"/>
    <m/>
    <x v="14"/>
    <m/>
    <x v="13"/>
    <m/>
    <x v="65"/>
    <s v="Депозит UGG AW21"/>
    <m/>
    <m/>
    <m/>
    <m/>
    <s v="Negative"/>
    <n v="-12451513.58"/>
  </r>
  <r>
    <x v="7"/>
    <n v="0"/>
    <m/>
    <d v="1899-12-30T00:00:00"/>
    <d v="1899-12-30T00:00:00"/>
    <n v="44410"/>
    <x v="1"/>
    <s v="Advance"/>
    <s v="Saucony"/>
    <x v="3"/>
    <n v="-567716.37"/>
    <m/>
    <x v="14"/>
    <m/>
    <x v="13"/>
    <m/>
    <x v="51"/>
    <s v="Депозит DRM FW21"/>
    <m/>
    <m/>
    <m/>
    <m/>
    <s v="Negative"/>
    <n v="-567716.37"/>
  </r>
  <r>
    <x v="7"/>
    <n v="0"/>
    <m/>
    <d v="1899-12-30T00:00:00"/>
    <d v="1899-12-30T00:00:00"/>
    <n v="44410"/>
    <x v="1"/>
    <s v="Advance"/>
    <s v="UGG"/>
    <x v="2"/>
    <n v="-11164001.109999999"/>
    <m/>
    <x v="14"/>
    <m/>
    <x v="13"/>
    <m/>
    <x v="52"/>
    <s v="Депозит UGG FW 21"/>
    <m/>
    <m/>
    <m/>
    <m/>
    <s v="Negative"/>
    <n v="-11164001.109999999"/>
  </r>
  <r>
    <x v="7"/>
    <n v="0"/>
    <m/>
    <d v="1899-12-30T00:00:00"/>
    <d v="1899-12-30T00:00:00"/>
    <n v="44410"/>
    <x v="1"/>
    <s v="Advance"/>
    <s v="Saucony"/>
    <x v="3"/>
    <n v="-30000"/>
    <m/>
    <x v="74"/>
    <m/>
    <x v="13"/>
    <m/>
    <x v="48"/>
    <s v="депозит DRM AW21"/>
    <m/>
    <m/>
    <m/>
    <m/>
    <s v="Negative"/>
    <n v="-30000"/>
  </r>
  <r>
    <x v="7"/>
    <n v="0"/>
    <m/>
    <d v="1899-12-30T00:00:00"/>
    <d v="1899-12-30T00:00:00"/>
    <n v="44410"/>
    <x v="1"/>
    <s v="Advance"/>
    <s v="Saucony"/>
    <x v="3"/>
    <n v="-84999.4"/>
    <m/>
    <x v="74"/>
    <m/>
    <x v="13"/>
    <m/>
    <x v="51"/>
    <s v="депозит SAU AW21"/>
    <m/>
    <m/>
    <m/>
    <m/>
    <s v="Negative"/>
    <n v="-84999.4"/>
  </r>
  <r>
    <x v="7"/>
    <n v="0"/>
    <m/>
    <d v="1899-12-30T00:00:00"/>
    <d v="1899-12-30T00:00:00"/>
    <n v="44410"/>
    <x v="1"/>
    <s v="Advance"/>
    <s v="Dr.Martens"/>
    <x v="4"/>
    <n v="-3825.89"/>
    <m/>
    <x v="75"/>
    <m/>
    <x v="13"/>
    <m/>
    <x v="53"/>
    <s v="депозит UGG FH21"/>
    <m/>
    <m/>
    <m/>
    <m/>
    <s v="Negative"/>
    <n v="-3825.89"/>
  </r>
  <r>
    <x v="7"/>
    <n v="0"/>
    <m/>
    <d v="1899-12-30T00:00:00"/>
    <d v="1899-12-30T00:00:00"/>
    <n v="44410"/>
    <x v="1"/>
    <s v="Advance"/>
    <s v="Dr.Martens"/>
    <x v="4"/>
    <n v="-315791.78999999998"/>
    <m/>
    <x v="75"/>
    <m/>
    <x v="13"/>
    <m/>
    <x v="64"/>
    <s v="Депозит CON FA21"/>
    <m/>
    <m/>
    <m/>
    <m/>
    <s v="Negative"/>
    <n v="-315791.78999999998"/>
  </r>
  <r>
    <x v="7"/>
    <n v="0"/>
    <m/>
    <d v="1899-12-30T00:00:00"/>
    <d v="1899-12-30T00:00:00"/>
    <n v="44410"/>
    <x v="1"/>
    <s v="Advance"/>
    <s v="Converse"/>
    <x v="0"/>
    <n v="-186571"/>
    <m/>
    <x v="20"/>
    <m/>
    <x v="13"/>
    <m/>
    <x v="38"/>
    <s v="Депозит CON SU21"/>
    <m/>
    <m/>
    <m/>
    <m/>
    <s v="Negative"/>
    <n v="-186571"/>
  </r>
  <r>
    <x v="7"/>
    <n v="0"/>
    <m/>
    <d v="1899-12-30T00:00:00"/>
    <d v="1899-12-30T00:00:00"/>
    <n v="44410"/>
    <x v="1"/>
    <s v="Advance"/>
    <s v="Converse"/>
    <x v="0"/>
    <n v="-4628"/>
    <m/>
    <x v="20"/>
    <m/>
    <x v="13"/>
    <m/>
    <x v="43"/>
    <s v="Депозит DRM AW21"/>
    <m/>
    <m/>
    <m/>
    <m/>
    <s v="Negative"/>
    <n v="-4628"/>
  </r>
  <r>
    <x v="7"/>
    <n v="0"/>
    <m/>
    <d v="1899-12-30T00:00:00"/>
    <d v="1899-12-30T00:00:00"/>
    <n v="44410"/>
    <x v="1"/>
    <s v="Advance"/>
    <s v="Converse"/>
    <x v="0"/>
    <n v="-98114"/>
    <m/>
    <x v="20"/>
    <m/>
    <x v="13"/>
    <m/>
    <x v="66"/>
    <s v="Депозит DRM SS21"/>
    <m/>
    <m/>
    <m/>
    <m/>
    <s v="Negative"/>
    <n v="-98114"/>
  </r>
  <r>
    <x v="7"/>
    <n v="0"/>
    <m/>
    <d v="1899-12-30T00:00:00"/>
    <d v="1899-12-30T00:00:00"/>
    <n v="44410"/>
    <x v="1"/>
    <s v="Advance"/>
    <s v="Dr.Martens"/>
    <x v="4"/>
    <n v="-229158.34"/>
    <m/>
    <x v="20"/>
    <m/>
    <x v="13"/>
    <m/>
    <x v="64"/>
    <s v="Депозит UGG AW21"/>
    <m/>
    <m/>
    <m/>
    <m/>
    <s v="Negative"/>
    <n v="-229158.34"/>
  </r>
  <r>
    <x v="7"/>
    <n v="0"/>
    <m/>
    <d v="1899-12-30T00:00:00"/>
    <d v="1899-12-30T00:00:00"/>
    <n v="44410"/>
    <x v="1"/>
    <s v="Advance"/>
    <s v="Saucony"/>
    <x v="3"/>
    <n v="-66120"/>
    <m/>
    <x v="20"/>
    <m/>
    <x v="13"/>
    <m/>
    <x v="49"/>
    <s v="депозит CON FA21"/>
    <m/>
    <m/>
    <m/>
    <m/>
    <s v="Negative"/>
    <n v="-66120"/>
  </r>
  <r>
    <x v="7"/>
    <n v="0"/>
    <m/>
    <d v="1899-12-30T00:00:00"/>
    <d v="1899-12-30T00:00:00"/>
    <n v="44410"/>
    <x v="1"/>
    <s v="Advance"/>
    <s v="UGG"/>
    <x v="2"/>
    <n v="-228478.75"/>
    <m/>
    <x v="20"/>
    <m/>
    <x v="13"/>
    <m/>
    <x v="52"/>
    <s v="Депозит CON SP21"/>
    <m/>
    <m/>
    <m/>
    <m/>
    <s v="Negative"/>
    <n v="-228478.75"/>
  </r>
  <r>
    <x v="7"/>
    <n v="0"/>
    <m/>
    <d v="1899-12-30T00:00:00"/>
    <d v="1899-12-30T00:00:00"/>
    <n v="44410"/>
    <x v="1"/>
    <s v="Advance"/>
    <s v="Dr.Martens"/>
    <x v="4"/>
    <n v="-47278.38"/>
    <m/>
    <x v="76"/>
    <m/>
    <x v="13"/>
    <m/>
    <x v="67"/>
    <s v="депозит CON FA 21"/>
    <m/>
    <m/>
    <m/>
    <m/>
    <s v="Negative"/>
    <n v="-47278.38"/>
  </r>
  <r>
    <x v="7"/>
    <n v="0"/>
    <m/>
    <d v="1899-12-30T00:00:00"/>
    <d v="1899-12-30T00:00:00"/>
    <n v="44410"/>
    <x v="1"/>
    <s v="Advance"/>
    <s v="Dr.Martens"/>
    <x v="4"/>
    <n v="-52335.03"/>
    <m/>
    <x v="77"/>
    <m/>
    <x v="13"/>
    <m/>
    <x v="45"/>
    <s v="Депозит DRM AW21"/>
    <m/>
    <m/>
    <m/>
    <m/>
    <s v="Negative"/>
    <n v="-52335.03"/>
  </r>
  <r>
    <x v="7"/>
    <n v="0"/>
    <m/>
    <d v="1899-12-30T00:00:00"/>
    <d v="1899-12-30T00:00:00"/>
    <n v="44410"/>
    <x v="1"/>
    <s v="Advance"/>
    <s v="Saucony"/>
    <x v="3"/>
    <n v="-27902.720000000001"/>
    <m/>
    <x v="77"/>
    <m/>
    <x v="13"/>
    <m/>
    <x v="48"/>
    <s v="Депозит CON FA21"/>
    <m/>
    <m/>
    <m/>
    <m/>
    <s v="Negative"/>
    <n v="-27902.720000000001"/>
  </r>
  <r>
    <x v="7"/>
    <n v="0"/>
    <m/>
    <d v="1899-12-30T00:00:00"/>
    <d v="1899-12-30T00:00:00"/>
    <n v="44410"/>
    <x v="1"/>
    <s v="Advance"/>
    <s v="Saucony"/>
    <x v="3"/>
    <n v="-18868"/>
    <m/>
    <x v="77"/>
    <m/>
    <x v="13"/>
    <m/>
    <x v="51"/>
    <s v="Депозит CON SP21"/>
    <m/>
    <m/>
    <m/>
    <m/>
    <s v="Negative"/>
    <n v="-18868"/>
  </r>
  <r>
    <x v="7"/>
    <n v="0"/>
    <m/>
    <d v="1899-12-30T00:00:00"/>
    <d v="1899-12-30T00:00:00"/>
    <n v="44410"/>
    <x v="1"/>
    <s v="Advance"/>
    <s v="Saucony"/>
    <x v="3"/>
    <n v="-50000"/>
    <m/>
    <x v="77"/>
    <m/>
    <x v="13"/>
    <m/>
    <x v="49"/>
    <s v="Депозит DRM AW21"/>
    <m/>
    <m/>
    <m/>
    <m/>
    <s v="Negative"/>
    <n v="-50000"/>
  </r>
  <r>
    <x v="7"/>
    <n v="0"/>
    <m/>
    <d v="1899-12-30T00:00:00"/>
    <d v="1899-12-30T00:00:00"/>
    <n v="44410"/>
    <x v="1"/>
    <s v="Advance"/>
    <s v="Converse"/>
    <x v="0"/>
    <n v="-387610"/>
    <m/>
    <x v="78"/>
    <m/>
    <x v="13"/>
    <m/>
    <x v="40"/>
    <s v="Депозит DRM AW21 PEAK"/>
    <m/>
    <m/>
    <m/>
    <m/>
    <s v="Negative"/>
    <n v="-387610"/>
  </r>
  <r>
    <x v="7"/>
    <n v="0"/>
    <m/>
    <d v="1899-12-30T00:00:00"/>
    <d v="1899-12-30T00:00:00"/>
    <n v="44410"/>
    <x v="1"/>
    <s v="Advance"/>
    <s v="Dr.Martens"/>
    <x v="4"/>
    <n v="-366645.59"/>
    <m/>
    <x v="78"/>
    <m/>
    <x v="13"/>
    <m/>
    <x v="64"/>
    <s v="депозит DRM FW20"/>
    <m/>
    <m/>
    <m/>
    <m/>
    <s v="Negative"/>
    <n v="-366645.59"/>
  </r>
  <r>
    <x v="7"/>
    <n v="0"/>
    <m/>
    <d v="1899-12-30T00:00:00"/>
    <d v="1899-12-30T00:00:00"/>
    <n v="44410"/>
    <x v="1"/>
    <s v="Advance"/>
    <s v="UGG"/>
    <x v="2"/>
    <n v="-190406.81"/>
    <m/>
    <x v="78"/>
    <m/>
    <x v="13"/>
    <m/>
    <x v="52"/>
    <s v="Депозит DRM FW21"/>
    <m/>
    <m/>
    <m/>
    <m/>
    <s v="Negative"/>
    <n v="-190406.81"/>
  </r>
  <r>
    <x v="7"/>
    <n v="0"/>
    <m/>
    <d v="1899-12-30T00:00:00"/>
    <d v="1899-12-30T00:00:00"/>
    <n v="44410"/>
    <x v="1"/>
    <s v="Advance"/>
    <s v="Converse"/>
    <x v="0"/>
    <n v="-46500"/>
    <m/>
    <x v="79"/>
    <m/>
    <x v="13"/>
    <m/>
    <x v="57"/>
    <s v="депозит SAU FH21"/>
    <m/>
    <m/>
    <m/>
    <m/>
    <s v="Negative"/>
    <n v="-46500"/>
  </r>
  <r>
    <x v="7"/>
    <n v="0"/>
    <m/>
    <d v="1899-12-30T00:00:00"/>
    <d v="1899-12-30T00:00:00"/>
    <n v="44410"/>
    <x v="1"/>
    <s v="Advance"/>
    <s v="Dr.Martens"/>
    <x v="4"/>
    <n v="-232483.92"/>
    <m/>
    <x v="80"/>
    <m/>
    <x v="13"/>
    <m/>
    <x v="45"/>
    <s v="Депозит UGG AW21"/>
    <m/>
    <m/>
    <m/>
    <m/>
    <s v="Negative"/>
    <n v="-232483.92"/>
  </r>
  <r>
    <x v="7"/>
    <n v="0"/>
    <m/>
    <d v="1899-12-30T00:00:00"/>
    <d v="1899-12-30T00:00:00"/>
    <n v="44410"/>
    <x v="1"/>
    <s v="Advance"/>
    <s v="Dr.Martens"/>
    <x v="4"/>
    <n v="-96417.26"/>
    <m/>
    <x v="80"/>
    <m/>
    <x v="13"/>
    <m/>
    <x v="47"/>
    <s v="Депозит CON SP21"/>
    <m/>
    <m/>
    <m/>
    <m/>
    <s v="Negative"/>
    <n v="-96417.26"/>
  </r>
  <r>
    <x v="7"/>
    <n v="0"/>
    <m/>
    <d v="1899-12-30T00:00:00"/>
    <d v="1899-12-30T00:00:00"/>
    <n v="44410"/>
    <x v="1"/>
    <s v="Advance"/>
    <s v="UGG"/>
    <x v="2"/>
    <n v="-71128.600000000006"/>
    <m/>
    <x v="80"/>
    <m/>
    <x v="13"/>
    <m/>
    <x v="54"/>
    <s v="Депозит CON SU21"/>
    <m/>
    <m/>
    <m/>
    <m/>
    <s v="Negative"/>
    <n v="-71128.600000000006"/>
  </r>
  <r>
    <x v="7"/>
    <n v="0"/>
    <m/>
    <d v="1899-12-30T00:00:00"/>
    <d v="1899-12-30T00:00:00"/>
    <n v="44410"/>
    <x v="1"/>
    <s v="Advance"/>
    <s v="Dr.Martens"/>
    <x v="4"/>
    <n v="-840088.11"/>
    <m/>
    <x v="35"/>
    <m/>
    <x v="13"/>
    <m/>
    <x v="64"/>
    <m/>
    <m/>
    <m/>
    <m/>
    <m/>
    <s v="Negative"/>
    <n v="-840088.11"/>
  </r>
  <r>
    <x v="7"/>
    <n v="0"/>
    <m/>
    <d v="1899-12-30T00:00:00"/>
    <d v="1899-12-30T00:00:00"/>
    <n v="44410"/>
    <x v="1"/>
    <s v="Advance"/>
    <s v="UGG"/>
    <x v="2"/>
    <n v="-297741.08"/>
    <m/>
    <x v="35"/>
    <m/>
    <x v="13"/>
    <m/>
    <x v="68"/>
    <m/>
    <m/>
    <m/>
    <m/>
    <m/>
    <s v="Negative"/>
    <n v="-297741.08"/>
  </r>
  <r>
    <x v="7"/>
    <n v="0"/>
    <m/>
    <d v="1899-12-30T00:00:00"/>
    <d v="1899-12-30T00:00:00"/>
    <n v="44410"/>
    <x v="1"/>
    <s v="Advance"/>
    <s v="Converse"/>
    <x v="0"/>
    <n v="-3319968.6"/>
    <m/>
    <x v="29"/>
    <m/>
    <x v="13"/>
    <m/>
    <x v="38"/>
    <m/>
    <m/>
    <m/>
    <m/>
    <m/>
    <s v="Negative"/>
    <n v="-3319968.6"/>
  </r>
  <r>
    <x v="7"/>
    <n v="0"/>
    <m/>
    <d v="1899-12-30T00:00:00"/>
    <d v="1899-12-30T00:00:00"/>
    <n v="44410"/>
    <x v="1"/>
    <s v="Advance"/>
    <s v="Dr.Martens"/>
    <x v="4"/>
    <n v="-15757218"/>
    <m/>
    <x v="29"/>
    <m/>
    <x v="13"/>
    <m/>
    <x v="45"/>
    <m/>
    <m/>
    <m/>
    <m/>
    <m/>
    <s v="Negative"/>
    <n v="-15757218"/>
  </r>
  <r>
    <x v="7"/>
    <n v="0"/>
    <m/>
    <d v="1899-12-30T00:00:00"/>
    <d v="1899-12-30T00:00:00"/>
    <n v="44410"/>
    <x v="1"/>
    <s v="Advance"/>
    <s v="Saucony"/>
    <x v="3"/>
    <n v="-510003.36"/>
    <m/>
    <x v="29"/>
    <m/>
    <x v="13"/>
    <m/>
    <x v="48"/>
    <m/>
    <m/>
    <m/>
    <m/>
    <m/>
    <s v="Negative"/>
    <n v="-510003.36"/>
  </r>
  <r>
    <x v="7"/>
    <n v="0"/>
    <m/>
    <d v="1899-12-30T00:00:00"/>
    <d v="1899-12-30T00:00:00"/>
    <n v="44410"/>
    <x v="1"/>
    <s v="Advance"/>
    <s v="Saucony"/>
    <x v="3"/>
    <n v="-2186977.5"/>
    <m/>
    <x v="29"/>
    <m/>
    <x v="13"/>
    <m/>
    <x v="49"/>
    <m/>
    <m/>
    <m/>
    <m/>
    <m/>
    <s v="Negative"/>
    <n v="-2186977.5"/>
  </r>
  <r>
    <x v="7"/>
    <n v="0"/>
    <m/>
    <d v="1899-12-30T00:00:00"/>
    <d v="1899-12-30T00:00:00"/>
    <n v="44410"/>
    <x v="1"/>
    <s v="Advance"/>
    <s v="UGG"/>
    <x v="2"/>
    <n v="-10456902.640000001"/>
    <m/>
    <x v="29"/>
    <m/>
    <x v="13"/>
    <m/>
    <x v="52"/>
    <m/>
    <m/>
    <m/>
    <m/>
    <m/>
    <s v="Negative"/>
    <n v="-10456902.640000001"/>
  </r>
  <r>
    <x v="7"/>
    <n v="0"/>
    <m/>
    <d v="1899-12-30T00:00:00"/>
    <d v="1899-12-30T00:00:00"/>
    <n v="44410"/>
    <x v="1"/>
    <s v="Advance"/>
    <s v="Converse"/>
    <x v="0"/>
    <n v="-3278285.78"/>
    <m/>
    <x v="22"/>
    <m/>
    <x v="13"/>
    <m/>
    <x v="38"/>
    <m/>
    <m/>
    <m/>
    <m/>
    <m/>
    <s v="Negative"/>
    <n v="-3278285.78"/>
  </r>
  <r>
    <x v="8"/>
    <m/>
    <m/>
    <m/>
    <m/>
    <m/>
    <x v="7"/>
    <m/>
    <m/>
    <x v="7"/>
    <m/>
    <m/>
    <x v="22"/>
    <m/>
    <x v="13"/>
    <m/>
    <x v="40"/>
    <m/>
    <m/>
    <m/>
    <m/>
    <m/>
    <s v="Negative"/>
    <n v="-9711000.9900000002"/>
  </r>
  <r>
    <x v="8"/>
    <m/>
    <m/>
    <m/>
    <m/>
    <m/>
    <x v="7"/>
    <m/>
    <m/>
    <x v="7"/>
    <m/>
    <m/>
    <x v="22"/>
    <m/>
    <x v="13"/>
    <m/>
    <x v="44"/>
    <m/>
    <m/>
    <m/>
    <m/>
    <m/>
    <s v="Negative"/>
    <n v="-3192908.84"/>
  </r>
  <r>
    <x v="8"/>
    <m/>
    <m/>
    <m/>
    <m/>
    <m/>
    <x v="7"/>
    <m/>
    <m/>
    <x v="7"/>
    <m/>
    <m/>
    <x v="22"/>
    <m/>
    <x v="13"/>
    <m/>
    <x v="45"/>
    <m/>
    <m/>
    <m/>
    <m/>
    <m/>
    <s v="Negative"/>
    <n v="-2839095.67"/>
  </r>
  <r>
    <x v="8"/>
    <m/>
    <m/>
    <m/>
    <m/>
    <m/>
    <x v="7"/>
    <m/>
    <m/>
    <x v="7"/>
    <m/>
    <m/>
    <x v="22"/>
    <m/>
    <x v="13"/>
    <m/>
    <x v="46"/>
    <m/>
    <m/>
    <m/>
    <m/>
    <m/>
    <s v="Negative"/>
    <n v="-481955.29"/>
  </r>
  <r>
    <x v="8"/>
    <m/>
    <m/>
    <m/>
    <m/>
    <m/>
    <x v="7"/>
    <m/>
    <m/>
    <x v="7"/>
    <m/>
    <m/>
    <x v="22"/>
    <m/>
    <x v="13"/>
    <m/>
    <x v="47"/>
    <m/>
    <m/>
    <m/>
    <m/>
    <m/>
    <s v="Negative"/>
    <n v="-334570.84999999998"/>
  </r>
  <r>
    <x v="8"/>
    <m/>
    <m/>
    <m/>
    <m/>
    <m/>
    <x v="7"/>
    <m/>
    <m/>
    <x v="7"/>
    <m/>
    <m/>
    <x v="22"/>
    <m/>
    <x v="13"/>
    <m/>
    <x v="54"/>
    <m/>
    <m/>
    <m/>
    <m/>
    <m/>
    <s v="Negative"/>
    <n v="-828931.38"/>
  </r>
  <r>
    <x v="8"/>
    <m/>
    <m/>
    <m/>
    <m/>
    <m/>
    <x v="7"/>
    <m/>
    <m/>
    <x v="7"/>
    <m/>
    <m/>
    <x v="32"/>
    <m/>
    <x v="13"/>
    <m/>
    <x v="38"/>
    <m/>
    <m/>
    <m/>
    <m/>
    <m/>
    <s v="Negative"/>
    <n v="-384334.6"/>
  </r>
  <r>
    <x v="8"/>
    <m/>
    <m/>
    <m/>
    <m/>
    <m/>
    <x v="7"/>
    <m/>
    <m/>
    <x v="7"/>
    <m/>
    <m/>
    <x v="32"/>
    <m/>
    <x v="13"/>
    <m/>
    <x v="43"/>
    <m/>
    <m/>
    <m/>
    <m/>
    <m/>
    <s v="Negative"/>
    <n v="-552658.24"/>
  </r>
  <r>
    <x v="8"/>
    <m/>
    <m/>
    <m/>
    <m/>
    <m/>
    <x v="7"/>
    <m/>
    <m/>
    <x v="7"/>
    <m/>
    <m/>
    <x v="81"/>
    <m/>
    <x v="13"/>
    <m/>
    <x v="69"/>
    <m/>
    <m/>
    <m/>
    <m/>
    <m/>
    <s v="Negative"/>
    <n v="-33289.65"/>
  </r>
  <r>
    <x v="8"/>
    <m/>
    <m/>
    <m/>
    <m/>
    <m/>
    <x v="7"/>
    <m/>
    <m/>
    <x v="7"/>
    <m/>
    <m/>
    <x v="81"/>
    <m/>
    <x v="13"/>
    <m/>
    <x v="45"/>
    <m/>
    <m/>
    <m/>
    <m/>
    <m/>
    <s v="Negative"/>
    <n v="-384036.65"/>
  </r>
  <r>
    <x v="8"/>
    <m/>
    <m/>
    <m/>
    <m/>
    <m/>
    <x v="7"/>
    <m/>
    <m/>
    <x v="7"/>
    <m/>
    <m/>
    <x v="82"/>
    <m/>
    <x v="13"/>
    <m/>
    <x v="38"/>
    <m/>
    <m/>
    <m/>
    <m/>
    <m/>
    <s v="Negative"/>
    <n v="-294350.56"/>
  </r>
  <r>
    <x v="8"/>
    <m/>
    <m/>
    <m/>
    <m/>
    <m/>
    <x v="7"/>
    <m/>
    <m/>
    <x v="7"/>
    <m/>
    <m/>
    <x v="82"/>
    <m/>
    <x v="13"/>
    <m/>
    <x v="43"/>
    <m/>
    <m/>
    <m/>
    <m/>
    <m/>
    <s v="Negative"/>
    <n v="-0.12"/>
  </r>
  <r>
    <x v="8"/>
    <m/>
    <m/>
    <m/>
    <m/>
    <m/>
    <x v="7"/>
    <m/>
    <m/>
    <x v="7"/>
    <m/>
    <m/>
    <x v="82"/>
    <m/>
    <x v="13"/>
    <m/>
    <x v="40"/>
    <m/>
    <m/>
    <m/>
    <m/>
    <m/>
    <s v="Negative"/>
    <n v="-241890.85"/>
  </r>
  <r>
    <x v="8"/>
    <m/>
    <m/>
    <m/>
    <m/>
    <m/>
    <x v="7"/>
    <m/>
    <m/>
    <x v="7"/>
    <m/>
    <m/>
    <x v="82"/>
    <m/>
    <x v="13"/>
    <m/>
    <x v="45"/>
    <m/>
    <m/>
    <m/>
    <m/>
    <m/>
    <s v="Negative"/>
    <n v="-287183.90999999997"/>
  </r>
  <r>
    <x v="8"/>
    <m/>
    <m/>
    <m/>
    <m/>
    <m/>
    <x v="7"/>
    <m/>
    <m/>
    <x v="7"/>
    <m/>
    <m/>
    <x v="82"/>
    <m/>
    <x v="13"/>
    <m/>
    <x v="70"/>
    <m/>
    <m/>
    <m/>
    <m/>
    <m/>
    <s v="Negative"/>
    <n v="-251493.6"/>
  </r>
  <r>
    <x v="8"/>
    <m/>
    <m/>
    <m/>
    <m/>
    <m/>
    <x v="7"/>
    <m/>
    <m/>
    <x v="7"/>
    <m/>
    <m/>
    <x v="33"/>
    <m/>
    <x v="13"/>
    <m/>
    <x v="64"/>
    <m/>
    <m/>
    <m/>
    <m/>
    <m/>
    <s v="Negative"/>
    <n v="-189464.85"/>
  </r>
  <r>
    <x v="8"/>
    <m/>
    <m/>
    <m/>
    <m/>
    <m/>
    <x v="7"/>
    <m/>
    <m/>
    <x v="7"/>
    <m/>
    <m/>
    <x v="33"/>
    <m/>
    <x v="13"/>
    <m/>
    <x v="71"/>
    <m/>
    <m/>
    <m/>
    <m/>
    <m/>
    <s v="Negative"/>
    <n v="-25023.45"/>
  </r>
  <r>
    <x v="8"/>
    <m/>
    <m/>
    <m/>
    <m/>
    <m/>
    <x v="7"/>
    <m/>
    <m/>
    <x v="7"/>
    <m/>
    <m/>
    <x v="83"/>
    <m/>
    <x v="13"/>
    <m/>
    <x v="54"/>
    <m/>
    <m/>
    <m/>
    <m/>
    <m/>
    <s v="Negative"/>
    <n v="-85944.35"/>
  </r>
  <r>
    <x v="8"/>
    <m/>
    <m/>
    <m/>
    <m/>
    <m/>
    <x v="7"/>
    <m/>
    <m/>
    <x v="7"/>
    <m/>
    <m/>
    <x v="28"/>
    <m/>
    <x v="13"/>
    <m/>
    <x v="43"/>
    <m/>
    <m/>
    <m/>
    <m/>
    <m/>
    <s v="Negative"/>
    <n v="-2256"/>
  </r>
  <r>
    <x v="8"/>
    <m/>
    <m/>
    <m/>
    <m/>
    <m/>
    <x v="7"/>
    <m/>
    <m/>
    <x v="7"/>
    <m/>
    <m/>
    <x v="28"/>
    <m/>
    <x v="13"/>
    <m/>
    <x v="44"/>
    <m/>
    <m/>
    <m/>
    <m/>
    <m/>
    <s v="Negative"/>
    <n v="-50000"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  <r>
    <x v="8"/>
    <m/>
    <m/>
    <m/>
    <m/>
    <m/>
    <x v="7"/>
    <m/>
    <m/>
    <x v="7"/>
    <m/>
    <m/>
    <x v="84"/>
    <m/>
    <x v="13"/>
    <m/>
    <x v="72"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19">
  <r>
    <s v="Платежное поручение входящее"/>
    <n v="0"/>
    <m/>
    <d v="2018-05-07T00:00:00"/>
    <d v="2018-05-07T23:59:59"/>
    <n v="1225.0000115740768"/>
    <s v="Advance"/>
    <s v="Advance"/>
    <s v="Сток"/>
    <s v="Multibrand"/>
    <n v="-7495"/>
    <s v="Платежное поручение входящее БПБП0002007 от 07.05.2018 23:59:59"/>
    <x v="0"/>
    <s v="07.05.2018 23:59:59"/>
    <s v="ОПТ Сток"/>
    <s v="Оплата от покупателя"/>
    <s v="№ 321/2017 от 01.11.2017"/>
    <s v="№ 096/2013"/>
    <m/>
    <m/>
    <m/>
    <m/>
    <x v="0"/>
    <n v="-7495"/>
  </r>
  <r>
    <s v="Платежное поручение входящее"/>
    <n v="0"/>
    <m/>
    <d v="2018-09-18T00:00:00"/>
    <d v="2018-09-18T23:59:59"/>
    <n v="1091.0000115740768"/>
    <s v="Advance"/>
    <s v="Advance"/>
    <s v="Сток Converse"/>
    <s v="Converse"/>
    <n v="-118621.49"/>
    <s v="Платежное поручение входящее БПБП0004770 от 18.09.2018 23:59:59"/>
    <x v="1"/>
    <s v="18.09.2018 23:59:59"/>
    <s v="ОПТ Сток Converse"/>
    <s v="Оплата от покупателя"/>
    <s v="№ 346/2018 от 13.06.18"/>
    <s v="№ 096/2013"/>
    <m/>
    <m/>
    <m/>
    <m/>
    <x v="0"/>
    <n v="-118621.49"/>
  </r>
  <r>
    <s v="Возврат товаров от покупателя"/>
    <n v="0"/>
    <m/>
    <d v="2018-12-03T00:00:00"/>
    <d v="2018-12-03T13:35:35"/>
    <n v="1015.4336226851883"/>
    <s v="Advance"/>
    <s v="Advance"/>
    <s v="Сток UGG"/>
    <s v="UGG"/>
    <n v="-9548"/>
    <s v="Возврат товаров от покупателя УТ000000466 от 03.12.2018 13:35:35"/>
    <x v="2"/>
    <s v="03.12.2018 13:35:35"/>
    <s v="ОПТ Сток UGG"/>
    <m/>
    <s v="№ 365/2018 от 30.10.2018"/>
    <s v="№ 096/2013"/>
    <m/>
    <m/>
    <m/>
    <m/>
    <x v="0"/>
    <n v="-9548"/>
  </r>
  <r>
    <s v="Платежное поручение входящее"/>
    <n v="0"/>
    <m/>
    <d v="2019-04-05T00:00:00"/>
    <d v="2019-04-05T23:55:59"/>
    <n v="892.00278935184906"/>
    <s v="Advance"/>
    <s v="Advance"/>
    <s v="Сток Saucony"/>
    <s v="Saucony"/>
    <n v="-34032"/>
    <s v="Платежное поручение входящее БПБП0002194 от 05.04.2019 23:55:59"/>
    <x v="3"/>
    <s v="05.04.2019 23:55:59"/>
    <s v="ОПТ Сток Saucony"/>
    <s v="Оплата от покупателя"/>
    <s v="№ 381/2019 от 26.03.2019"/>
    <s v="№ 096/2013"/>
    <m/>
    <m/>
    <m/>
    <m/>
    <x v="0"/>
    <n v="-34032"/>
  </r>
  <r>
    <s v="Платежное поручение входящее"/>
    <n v="0"/>
    <m/>
    <d v="2019-10-28T00:00:00"/>
    <d v="2019-10-28T23:59:59"/>
    <n v="686.00001157407678"/>
    <s v="Advance"/>
    <s v="Advance"/>
    <s v="Сток Converse"/>
    <s v="Converse"/>
    <n v="-1000"/>
    <s v="Платежное поручение входящее БПБП0006749 от 28.10.2019 23:59:59"/>
    <x v="4"/>
    <s v="28.10.2019 23:59:59"/>
    <s v="ОПТ Сток Converse"/>
    <s v="Оплата от покупателя"/>
    <s v="№ 403/2019 от 01.10.2019"/>
    <s v="№ 096/2013"/>
    <m/>
    <m/>
    <m/>
    <m/>
    <x v="0"/>
    <n v="-1000"/>
  </r>
  <r>
    <s v="Платежное поручение входящее"/>
    <n v="0"/>
    <m/>
    <d v="2019-11-18T00:00:00"/>
    <d v="2019-11-18T23:59:59"/>
    <n v="665.00001157407678"/>
    <s v="Advance"/>
    <s v="Advance"/>
    <s v="Дисконт"/>
    <s v="Multibrand"/>
    <n v="-700"/>
    <s v="Платежное поручение входящее БПБП0007225 от 18.11.2019 23:59:59"/>
    <x v="5"/>
    <s v="18.11.2019 23:59:59"/>
    <s v="ОПТ Дисконт"/>
    <s v="Оплата от покупателя"/>
    <s v="Счет-договор №360/2019 от 15.11.19"/>
    <s v="№ 096/2013"/>
    <m/>
    <m/>
    <m/>
    <m/>
    <x v="0"/>
    <n v="-700"/>
  </r>
  <r>
    <s v="Платежное поручение входящее"/>
    <n v="0"/>
    <m/>
    <d v="2020-01-29T00:00:00"/>
    <d v="2020-01-29T23:59:59"/>
    <n v="593.00001157407678"/>
    <s v="Advance"/>
    <s v="Advance"/>
    <s v="UGG"/>
    <s v="UGG"/>
    <n v="-30000.3"/>
    <s v="Платежное поручение входящее УТ000000015 от 29.01.2020 23:59:59"/>
    <x v="6"/>
    <s v="29.01.2020 23:59:59"/>
    <s v="ОПТ UGG"/>
    <s v="Оплата от покупателя"/>
    <s v="№ 316/2017 от 01.06.2017"/>
    <s v="№ 096/2013"/>
    <m/>
    <m/>
    <m/>
    <m/>
    <x v="0"/>
    <n v="-30000.3"/>
  </r>
  <r>
    <s v="Платежное поручение входящее"/>
    <n v="65"/>
    <m/>
    <d v="2020-02-11T00:00:00"/>
    <d v="2020-04-16T02:35:59"/>
    <n v="515.89167824073957"/>
    <s v="Advance"/>
    <s v="Advance"/>
    <s v="Сток UGG"/>
    <s v="UGG"/>
    <n v="-0.01"/>
    <s v="Платежное поручение входящее БПБП0000906 от 11.02.2020 2:35:59"/>
    <x v="7"/>
    <s v="11.02.2020 2:35:59"/>
    <s v="ОПТ Сток UGG"/>
    <s v="Оплата от покупателя"/>
    <s v="0067/ДП00039381 от 06.04.2016"/>
    <s v="№ 096/2013"/>
    <m/>
    <m/>
    <m/>
    <m/>
    <x v="0"/>
    <n v="-0.01"/>
  </r>
  <r>
    <s v="Реализация товаров и услуг"/>
    <n v="103"/>
    <m/>
    <d v="2020-02-17T00:00:00"/>
    <d v="2020-05-30T11:38:25"/>
    <n v="471.51498842592264"/>
    <s v="180+ days"/>
    <s v="&gt;12 months"/>
    <s v="Сток Converse"/>
    <s v="Converse"/>
    <n v="85942.5"/>
    <s v="Реализация товаров и услуг УТ000002322 от 17.02.2020 11:38:25"/>
    <x v="8"/>
    <s v="17.02.2020 11:38:25"/>
    <s v="ОПТ Сток Converse"/>
    <s v="продажа, комиссия"/>
    <s v="№ 416/2020 от 4 февраля 2020 года"/>
    <s v="№ 096/2013"/>
    <m/>
    <m/>
    <m/>
    <m/>
    <x v="1"/>
    <n v="85942.5"/>
  </r>
  <r>
    <s v="Платежное поручение входящее"/>
    <n v="0"/>
    <m/>
    <d v="2020-09-22T00:00:00"/>
    <d v="2020-09-22T23:03:50"/>
    <n v="356.03900462963065"/>
    <s v="Advance"/>
    <s v="Advance"/>
    <s v="Converse"/>
    <s v="Converse"/>
    <n v="-1199.95"/>
    <s v="Платежное поручение входящее 00BF-001664 от 22.09.2020 23:03:50"/>
    <x v="9"/>
    <s v="22.09.2020 23:03:50"/>
    <s v="ОПТ Converse"/>
    <s v="Оплата от покупателя"/>
    <s v="№ 173Б/2014 от 01.06.2014"/>
    <s v="№ 096/2013"/>
    <m/>
    <m/>
    <m/>
    <m/>
    <x v="0"/>
    <n v="-1199.95"/>
  </r>
  <r>
    <s v="Реализация товаров и услуг"/>
    <n v="65"/>
    <m/>
    <d v="2020-10-27T00:00:00"/>
    <d v="2020-12-31T18:42:25"/>
    <n v="256.22054398147884"/>
    <s v="180+ days"/>
    <s v="6 - 9 months"/>
    <s v="UGG"/>
    <s v="UGG"/>
    <n v="5358"/>
    <s v="Реализация товаров и услуг УТ000030440 от 27.10.2020 18:42:25"/>
    <x v="7"/>
    <s v="27.10.2020 18:42:25"/>
    <s v="ОПТ UGG"/>
    <s v="продажа, комиссия"/>
    <s v="0067/ДП00039381 от 06.04.2016"/>
    <s v="№ 096/2013"/>
    <m/>
    <m/>
    <m/>
    <m/>
    <x v="1"/>
    <n v="5358"/>
  </r>
  <r>
    <s v="Платежное поручение входящее"/>
    <n v="0"/>
    <m/>
    <d v="2020-10-30T00:00:00"/>
    <d v="2020-10-30T17:00:00"/>
    <n v="318.29166666666424"/>
    <s v="Advance"/>
    <s v="Advance"/>
    <s v="Converse"/>
    <s v="Converse"/>
    <n v="-12.07"/>
    <s v="Платежное поручение входящее 00BF-002672 от 30.10.2020 17:00:00"/>
    <x v="6"/>
    <s v="30.10.2020 17:00:00"/>
    <s v="ОПТ Converse"/>
    <s v="Оплата от покупателя"/>
    <s v="№ 316/2017 от 01.06.2017"/>
    <s v="№ 096/2013"/>
    <m/>
    <m/>
    <m/>
    <m/>
    <x v="0"/>
    <n v="-12.07"/>
  </r>
  <r>
    <s v="Реализация товаров и услуг"/>
    <n v="65"/>
    <m/>
    <d v="2020-11-30T00:00:00"/>
    <d v="2021-02-03T16:52:35"/>
    <n v="222.29681712963065"/>
    <s v="Advance"/>
    <s v="Advance"/>
    <s v="Saucony"/>
    <s v="Saucony"/>
    <n v="-17802"/>
    <s v="Реализация товаров и услуг УТ000032158 от 30.11.2020 16:52:35"/>
    <x v="10"/>
    <s v="30.11.2020 16:52:35"/>
    <s v="ОПТ Saucony"/>
    <s v="продажа, комиссия"/>
    <s v="Договор №032/2012 от 01 марта 2012"/>
    <s v="№ 321/2017 от 01.11.2017"/>
    <m/>
    <m/>
    <m/>
    <m/>
    <x v="0"/>
    <n v="-17802"/>
  </r>
  <r>
    <s v="Реализация товаров и услуг"/>
    <n v="65"/>
    <m/>
    <d v="2020-11-30T00:00:00"/>
    <d v="2021-02-03T16:54:56"/>
    <n v="222.29518518518307"/>
    <s v="Advance"/>
    <s v="Advance"/>
    <s v="Сток Dr.Martens"/>
    <s v="Dr.Martens"/>
    <n v="-0.1"/>
    <s v="Реализация товаров и услуг УТ000032160 от 30.11.2020 16:54:56"/>
    <x v="10"/>
    <s v="30.11.2020 16:54:56"/>
    <s v="ОПТ Сток Dr.Martens"/>
    <s v="продажа, комиссия"/>
    <s v="Договор №032/2012 от 01 марта 2012"/>
    <s v="048/2012 от 10 марта 2012"/>
    <m/>
    <m/>
    <m/>
    <m/>
    <x v="0"/>
    <n v="-0.1"/>
  </r>
  <r>
    <s v="Реализация товаров и услуг"/>
    <n v="65"/>
    <m/>
    <d v="2020-11-30T00:00:00"/>
    <d v="2021-02-03T16:55:25"/>
    <n v="222.2948495370365"/>
    <s v="Advance"/>
    <s v="Advance"/>
    <s v="Saucony"/>
    <s v="Saucony"/>
    <n v="-271093"/>
    <s v="Реализация товаров и услуг УТ000032161 от 30.11.2020 16:55:25"/>
    <x v="10"/>
    <s v="30.11.2020 16:55:25"/>
    <s v="ОПТ Saucony"/>
    <s v="продажа, комиссия"/>
    <s v="Договор №032/2012 от 01 марта 2012"/>
    <s v="№ 346/2018 от 13.06.18"/>
    <m/>
    <m/>
    <m/>
    <m/>
    <x v="0"/>
    <n v="-271093"/>
  </r>
  <r>
    <s v="Платежное поручение входящее"/>
    <n v="0"/>
    <m/>
    <d v="2020-12-08T00:00:00"/>
    <d v="2020-12-08T17:00:00"/>
    <n v="279.29166666666424"/>
    <s v="Advance"/>
    <s v="Advance"/>
    <s v="Сток Saucony"/>
    <s v="Saucony"/>
    <n v="-3775.8"/>
    <s v="Платежное поручение входящее 00BF-003765 от 08.12.2020 17:00:00"/>
    <x v="11"/>
    <s v="08.12.2020 17:00:00"/>
    <s v="ОПТ Сток Saucony"/>
    <s v="Оплата от покупателя"/>
    <s v="Основной договор"/>
    <s v="№ 365/2018 от 30.10.2018"/>
    <m/>
    <m/>
    <m/>
    <m/>
    <x v="0"/>
    <n v="-3775.8"/>
  </r>
  <r>
    <s v="Реализация товаров и услуг"/>
    <n v="35"/>
    <m/>
    <d v="2020-12-10T00:00:00"/>
    <d v="2021-01-14T14:53:39"/>
    <n v="242.37940972221986"/>
    <s v="180+ days"/>
    <s v="6 - 9 months"/>
    <s v="Сток UGG"/>
    <s v="UGG"/>
    <n v="0.01"/>
    <s v="Реализация товаров и услуг УТ000032946 от 10.12.2020 14:53:39"/>
    <x v="12"/>
    <s v="10.12.2020 14:53:39"/>
    <s v="ОПТ Сток UGG"/>
    <s v="продажа, комиссия"/>
    <s v="№ 221/2015"/>
    <s v="№ 381/2019 от 26.03.2019"/>
    <m/>
    <m/>
    <m/>
    <m/>
    <x v="1"/>
    <n v="0.01"/>
  </r>
  <r>
    <s v="Платежное поручение входящее"/>
    <n v="65"/>
    <m/>
    <d v="2021-01-15T00:00:00"/>
    <d v="2021-03-21T17:00:00"/>
    <n v="176.29166666666424"/>
    <s v="Advance"/>
    <s v="Advance"/>
    <s v="Converse"/>
    <s v="Converse"/>
    <n v="-170975"/>
    <s v="Платежное поручение входящее 00BF-000343 от 15.01.2021 17:00:00"/>
    <x v="10"/>
    <s v="15.01.2021 17:00:00"/>
    <s v="ОПТ Converse"/>
    <s v="Оплата от покупателя"/>
    <s v="Договор №032/2012 от 01 марта 2012"/>
    <s v="251/2015 от 23.07.2015"/>
    <m/>
    <m/>
    <m/>
    <m/>
    <x v="0"/>
    <n v="-170975"/>
  </r>
  <r>
    <s v="Реализация товаров и услуг"/>
    <n v="95"/>
    <m/>
    <d v="2021-02-05T00:00:00"/>
    <d v="2021-05-11T14:34:05"/>
    <n v="125.39299768518686"/>
    <s v="91-180 days"/>
    <s v="3 - 6 months"/>
    <s v="Converse"/>
    <s v="Converse"/>
    <n v="865831.72"/>
    <s v="Реализация товаров и услуг УТ000002390 от 05.02.2021 14:34:05"/>
    <x v="13"/>
    <s v="05.02.2021 14:34:05"/>
    <s v="ОПТ Converse"/>
    <s v="продажа, комиссия"/>
    <s v="Договор 212/2014 от 01.10.2014"/>
    <s v="251/2015 от 23.07.2015"/>
    <m/>
    <m/>
    <m/>
    <m/>
    <x v="1"/>
    <n v="865831.72"/>
  </r>
  <r>
    <s v="Реализация товаров и услуг"/>
    <n v="95"/>
    <m/>
    <d v="2021-02-05T00:00:00"/>
    <d v="2021-05-11T14:38:34"/>
    <n v="125.38988425926073"/>
    <s v="91-180 days"/>
    <s v="3 - 6 months"/>
    <s v="Converse"/>
    <s v="Converse"/>
    <n v="1549821"/>
    <s v="Реализация товаров и услуг УТ000002392 от 05.02.2021 14:38:34"/>
    <x v="13"/>
    <s v="05.02.2021 14:38:34"/>
    <s v="ОПТ Converse"/>
    <s v="продажа, комиссия"/>
    <s v="Договор 212/2014 от 01.10.2014"/>
    <s v="№ 379/2019 от 25.02.2019"/>
    <m/>
    <m/>
    <m/>
    <m/>
    <x v="1"/>
    <n v="1549821"/>
  </r>
  <r>
    <s v="Реализация товаров и услуг"/>
    <n v="65"/>
    <m/>
    <d v="2021-02-12T00:00:00"/>
    <d v="2021-04-18T11:35:17"/>
    <n v="148.51716435185517"/>
    <s v="Advance"/>
    <s v="Advance"/>
    <s v="Converse"/>
    <s v="Converse"/>
    <n v="-139392.09"/>
    <s v="Реализация товаров и услуг УТ000002438 от 12.02.2021 11:35:17"/>
    <x v="10"/>
    <s v="12.02.2021 11:35:17"/>
    <s v="ОПТ Converse"/>
    <s v="продажа, комиссия"/>
    <s v="Договор №032/2012 от 01 марта 2012"/>
    <s v="№ 403/2019 от 01.10.2019"/>
    <m/>
    <m/>
    <m/>
    <m/>
    <x v="0"/>
    <n v="-139392.09"/>
  </r>
  <r>
    <s v="Платежное поручение входящее"/>
    <n v="65"/>
    <m/>
    <d v="2021-02-12T00:00:00"/>
    <d v="2021-04-18T17:00:00"/>
    <n v="148.29166666666424"/>
    <s v="Advance"/>
    <s v="Advance"/>
    <s v="Converse"/>
    <s v="Converse"/>
    <n v="-263025"/>
    <s v="Платежное поручение входящее 00BF-001044 от 12.02.2021 17:00:00"/>
    <x v="10"/>
    <s v="12.02.2021 17:00:00"/>
    <s v="ОПТ Converse"/>
    <s v="Оплата от покупателя"/>
    <s v="Договор №032/2012 от 01 марта 2012"/>
    <s v="Счет-договор №360/2019 от 15.11.19"/>
    <m/>
    <m/>
    <m/>
    <m/>
    <x v="0"/>
    <n v="-263025"/>
  </r>
  <r>
    <s v="Реализация товаров и услуг"/>
    <n v="95"/>
    <m/>
    <d v="2021-02-15T00:00:00"/>
    <d v="2021-05-21T12:18:01"/>
    <n v="115.48748842592613"/>
    <s v="91-180 days"/>
    <s v="3 - 6 months"/>
    <s v="Converse"/>
    <s v="Converse"/>
    <n v="1005382"/>
    <s v="Реализация товаров и услуг УТ000002459 от 15.02.2021 12:18:01"/>
    <x v="13"/>
    <s v="15.02.2021 12:18:01"/>
    <s v="ОПТ Converse"/>
    <s v="продажа, комиссия"/>
    <s v="Договор 212/2014 от 01.10.2014"/>
    <s v="№ 316/2017 от 01.06.2017"/>
    <m/>
    <m/>
    <m/>
    <m/>
    <x v="1"/>
    <n v="1005382"/>
  </r>
  <r>
    <s v="Реализация товаров и услуг"/>
    <n v="95"/>
    <m/>
    <d v="2021-02-18T00:00:00"/>
    <d v="2021-05-24T10:47:27"/>
    <n v="112.55038194444205"/>
    <s v="91-180 days"/>
    <s v="3 - 6 months"/>
    <s v="Converse"/>
    <s v="Converse"/>
    <n v="643035.6"/>
    <s v="Реализация товаров и услуг УТ000002485 от 18.02.2021 10:47:27"/>
    <x v="13"/>
    <s v="18.02.2021 10:47:27"/>
    <s v="ОПТ Converse"/>
    <s v="продажа, комиссия"/>
    <s v="Договор 212/2014 от 01.10.2014"/>
    <s v="0067/ДП00039381 от 06.04.2016"/>
    <m/>
    <m/>
    <m/>
    <m/>
    <x v="1"/>
    <n v="643035.6"/>
  </r>
  <r>
    <s v="Реализация товаров и услуг"/>
    <n v="65"/>
    <m/>
    <d v="2021-02-18T00:00:00"/>
    <d v="2021-04-24T12:28:03"/>
    <n v="142.48052083333459"/>
    <s v="Advance"/>
    <s v="Advance"/>
    <s v="Dr.Martens"/>
    <s v="Dr.Martens"/>
    <n v="-7605"/>
    <s v="Реализация товаров и услуг УТ000002487 от 18.02.2021 12:28:03"/>
    <x v="10"/>
    <s v="18.02.2021 12:28:03"/>
    <s v="ОПТ Dr.Martens"/>
    <s v="продажа, комиссия"/>
    <s v="Договор №032/2012 от 01 марта 2012"/>
    <s v="№ 416/2020 от 4 февраля 2020 года"/>
    <m/>
    <m/>
    <m/>
    <m/>
    <x v="0"/>
    <n v="-7605"/>
  </r>
  <r>
    <s v="Реализация товаров и услуг"/>
    <n v="95"/>
    <m/>
    <d v="2021-02-26T00:00:00"/>
    <d v="2021-06-01T14:20:48"/>
    <n v="104.40222222221928"/>
    <s v="91-180 days"/>
    <s v="3 - 6 months"/>
    <s v="Converse"/>
    <s v="Converse"/>
    <n v="163888"/>
    <s v="Реализация товаров и услуг УТ000004012 от 26.02.2021 14:20:48"/>
    <x v="13"/>
    <s v="26.02.2021 14:20:48"/>
    <s v="ОПТ Converse"/>
    <s v="продажа, комиссия"/>
    <s v="Договор 212/2014 от 01.10.2014"/>
    <s v="№ 07/11 от 07.11.2016"/>
    <m/>
    <m/>
    <m/>
    <m/>
    <x v="1"/>
    <n v="163888"/>
  </r>
  <r>
    <s v="Реализация товаров и услуг"/>
    <n v="65"/>
    <m/>
    <d v="2021-03-10T00:00:00"/>
    <d v="2021-05-14T12:07:54"/>
    <n v="122.49451388888701"/>
    <s v="Advance"/>
    <s v="Advance"/>
    <s v="UGG"/>
    <s v="UGG"/>
    <n v="-767000.13"/>
    <s v="Реализация товаров и услуг УТ000004873 от 10.03.2021 12:07:54"/>
    <x v="10"/>
    <s v="10.03.2021 12:07:54"/>
    <s v="ОПТ UGG"/>
    <s v="продажа, комиссия"/>
    <s v="Договор №032/2012 от 01 марта 2012"/>
    <s v="№ 173Б/2014 от 01.06.2014"/>
    <m/>
    <m/>
    <m/>
    <m/>
    <x v="0"/>
    <n v="-767000.13"/>
  </r>
  <r>
    <s v="Реализация товаров и услуг"/>
    <n v="95"/>
    <m/>
    <d v="2021-03-12T00:00:00"/>
    <d v="2021-06-15T13:22:44"/>
    <n v="90.442546296297223"/>
    <s v="91-180 days"/>
    <s v="3 - 6 months"/>
    <s v="Converse"/>
    <s v="Converse"/>
    <n v="19433"/>
    <s v="Реализация товаров и услуг УТ000005003 от 12.03.2021 13:22:44"/>
    <x v="13"/>
    <s v="12.03.2021 13:22:44"/>
    <s v="ОПТ Converse"/>
    <s v="продажа, комиссия"/>
    <s v="Договор 212/2014 от 01.10.2014"/>
    <s v="0067/ДП00039381 от 06.04.2016"/>
    <m/>
    <m/>
    <m/>
    <m/>
    <x v="1"/>
    <n v="19433"/>
  </r>
  <r>
    <s v="Реализация товаров и услуг"/>
    <n v="95"/>
    <m/>
    <d v="2021-03-18T00:00:00"/>
    <d v="2021-06-21T11:02:50"/>
    <n v="84.539699074077362"/>
    <s v="46-90 days"/>
    <s v="Current"/>
    <s v="Converse"/>
    <s v="Converse"/>
    <n v="4185"/>
    <s v="Реализация товаров и услуг УТ000005429 от 18.03.2021 11:02:50"/>
    <x v="13"/>
    <s v="18.03.2021 11:02:50"/>
    <s v="ОПТ Converse"/>
    <s v="продажа, комиссия"/>
    <s v="Договор 212/2014 от 01.10.2014"/>
    <s v="№ 316/2017 от 01.06.2017"/>
    <m/>
    <m/>
    <m/>
    <m/>
    <x v="1"/>
    <n v="4185"/>
  </r>
  <r>
    <s v="Реализация товаров и услуг"/>
    <n v="95"/>
    <m/>
    <d v="2021-03-19T00:00:00"/>
    <d v="2021-06-22T11:02:30"/>
    <n v="83.539930555554747"/>
    <s v="46-90 days"/>
    <s v="Current"/>
    <s v="Converse"/>
    <s v="Converse"/>
    <n v="8281"/>
    <s v="Реализация товаров и услуг УТ000005486 от 19.03.2021 11:02:30"/>
    <x v="13"/>
    <s v="19.03.2021 11:02:30"/>
    <s v="ОПТ Converse"/>
    <s v="продажа, комиссия"/>
    <s v="Договор 212/2014 от 01.10.2014"/>
    <s v="№ 07/11 от 07.11.2016"/>
    <m/>
    <m/>
    <m/>
    <m/>
    <x v="1"/>
    <n v="8281"/>
  </r>
  <r>
    <s v="Платежное поручение входящее"/>
    <n v="0"/>
    <m/>
    <d v="2021-03-23T00:00:00"/>
    <d v="2021-03-23T17:00:00"/>
    <n v="174.29166666666424"/>
    <s v="Advance"/>
    <s v="Advance"/>
    <s v="Converse"/>
    <s v="Converse"/>
    <n v="-10200"/>
    <s v="Платежное поручение входящее 00BF-002076 от 23.03.2021 17:00:00"/>
    <x v="14"/>
    <s v="23.03.2021 17:00:00"/>
    <s v="ОПТ Converse"/>
    <s v="Оплата от покупателя"/>
    <s v="№ 350/2018 от 21.06.18"/>
    <s v="Договор №032/2012 от 01 марта 2012"/>
    <m/>
    <m/>
    <m/>
    <m/>
    <x v="0"/>
    <n v="-10200"/>
  </r>
  <r>
    <s v="Реализация товаров и услуг"/>
    <n v="65"/>
    <m/>
    <d v="2021-03-24T00:00:00"/>
    <d v="2021-05-28T17:03:10"/>
    <n v="108.2894675925927"/>
    <s v="Advance"/>
    <s v="Advance"/>
    <s v="Converse"/>
    <s v="Converse"/>
    <n v="-3128"/>
    <s v="Реализация товаров и услуг УТ000005867 от 24.03.2021 17:03:10"/>
    <x v="15"/>
    <s v="24.03.2021 17:03:10"/>
    <s v="ОПТ Converse"/>
    <s v="продажа, комиссия"/>
    <s v="ИР-П 215/15 от 21.04.2015"/>
    <s v="Договор №032/2012 от 01 марта 2012"/>
    <m/>
    <m/>
    <m/>
    <m/>
    <x v="0"/>
    <n v="-3128"/>
  </r>
  <r>
    <s v="Реализация товаров и услуг"/>
    <n v="65"/>
    <m/>
    <d v="2021-03-26T00:00:00"/>
    <d v="2021-05-30T16:22:25"/>
    <n v="106.3177662037051"/>
    <s v="Advance"/>
    <s v="Advance"/>
    <s v="Converse"/>
    <s v="Converse"/>
    <n v="-18400"/>
    <s v="Реализация товаров и услуг УТ000005988 от 26.03.2021 16:22:25"/>
    <x v="15"/>
    <s v="26.03.2021 16:22:25"/>
    <s v="ОПТ Converse"/>
    <s v="продажа, комиссия"/>
    <s v="ИР-П 215/15 от 21.04.2015"/>
    <s v="Основной договор"/>
    <m/>
    <m/>
    <m/>
    <m/>
    <x v="0"/>
    <n v="-18400"/>
  </r>
  <r>
    <s v="Реализация товаров и услуг"/>
    <n v="65"/>
    <m/>
    <d v="2021-03-26T00:00:00"/>
    <d v="2021-05-30T16:25:27"/>
    <n v="106.3156597222187"/>
    <s v="91-180 days"/>
    <s v="3 - 6 months"/>
    <s v="Converse"/>
    <s v="Converse"/>
    <n v="170200"/>
    <s v="Реализация товаров и услуг УТ000005990 от 26.03.2021 16:25:27"/>
    <x v="15"/>
    <s v="26.03.2021 16:25:27"/>
    <s v="ОПТ Converse"/>
    <s v="продажа, комиссия"/>
    <s v="ИР-П 215/15 от 21.04.2015"/>
    <s v="№ 221/2015"/>
    <m/>
    <m/>
    <m/>
    <m/>
    <x v="1"/>
    <n v="170200"/>
  </r>
  <r>
    <s v="Платежное поручение входящее"/>
    <n v="0"/>
    <m/>
    <d v="2021-04-12T00:00:00"/>
    <d v="2021-04-12T17:00:00"/>
    <n v="154.29166666666424"/>
    <s v="Advance"/>
    <s v="Advance"/>
    <s v="Converse"/>
    <s v="Converse"/>
    <n v="-4628"/>
    <s v="Платежное поручение входящее 00BF-002577 от 12.04.2021 17:00:00"/>
    <x v="16"/>
    <s v="12.04.2021 17:00:00"/>
    <s v="ОПТ Converse"/>
    <s v="Оплата от покупателя"/>
    <s v="Основной договор 306/2017"/>
    <s v="Договор №032/2012 от 01 марта 2012"/>
    <m/>
    <m/>
    <m/>
    <m/>
    <x v="0"/>
    <n v="-4628"/>
  </r>
  <r>
    <s v="Платежное поручение входящее"/>
    <n v="0"/>
    <m/>
    <d v="2021-04-13T00:00:00"/>
    <d v="2021-04-13T23:41:08"/>
    <n v="153.01310185185139"/>
    <s v="Advance"/>
    <s v="Advance"/>
    <s v="Сток Converse"/>
    <s v="Converse"/>
    <n v="-1194"/>
    <s v="Платежное поручение входящее УТ000000082 от 13.04.2021 23:41:08"/>
    <x v="17"/>
    <s v="13.04.2021 23:41:08"/>
    <s v="ОПТ Сток Converse"/>
    <s v="Оплата от покупателя"/>
    <s v="№ 018/2012 от 19 марта 2012"/>
    <s v="Договор 212/2014 от 01.10.2014"/>
    <m/>
    <m/>
    <m/>
    <m/>
    <x v="0"/>
    <n v="-1194"/>
  </r>
  <r>
    <s v="Реализация товаров и услуг"/>
    <n v="95"/>
    <m/>
    <d v="2021-04-15T00:00:00"/>
    <d v="2021-07-19T11:24:29"/>
    <n v="56.524664351854881"/>
    <s v="Advance"/>
    <s v="Advance"/>
    <s v="Converse"/>
    <s v="Converse"/>
    <n v="-5087340"/>
    <s v="Реализация товаров и услуг УТ000007810 от 15.04.2021 11:24:29"/>
    <x v="18"/>
    <s v="15.04.2021 11:24:29"/>
    <s v="ОПТ Converse"/>
    <s v="продажа, комиссия"/>
    <s v="Договор № 195/2014 от 01.08.2014"/>
    <s v="Договор 212/2014 от 01.10.2014"/>
    <m/>
    <m/>
    <m/>
    <m/>
    <x v="0"/>
    <n v="-5087340"/>
  </r>
  <r>
    <s v="Реализация товаров и услуг"/>
    <n v="65"/>
    <m/>
    <d v="2021-04-15T00:00:00"/>
    <d v="2021-06-19T18:42:45"/>
    <n v="86.220312500001455"/>
    <s v="Advance"/>
    <s v="Advance"/>
    <s v="Converse"/>
    <s v="Converse"/>
    <n v="-18400"/>
    <s v="Реализация товаров и услуг УТ000007835 от 15.04.2021 18:42:45"/>
    <x v="15"/>
    <s v="15.04.2021 18:42:45"/>
    <s v="ОПТ Converse"/>
    <s v="продажа, комиссия"/>
    <s v="ИР-П 215/15 от 21.04.2015"/>
    <s v="Договор №032/2012 от 01 марта 2012"/>
    <m/>
    <m/>
    <m/>
    <m/>
    <x v="0"/>
    <n v="-18400"/>
  </r>
  <r>
    <s v="Реализация товаров и услуг"/>
    <n v="95"/>
    <m/>
    <d v="2021-04-21T00:00:00"/>
    <d v="2021-07-25T18:33:34"/>
    <n v="50.226689814815472"/>
    <s v="Advance"/>
    <s v="Advance"/>
    <s v="Converse"/>
    <s v="Converse"/>
    <n v="-689792.59"/>
    <s v="Реализация товаров и услуг УТ000008560 от 21.04.2021 18:33:34"/>
    <x v="18"/>
    <s v="21.04.2021 18:33:34"/>
    <s v="ОПТ Converse"/>
    <s v="продажа, комиссия"/>
    <s v="Договор № 195/2014 от 01.08.2014"/>
    <s v="Договор №032/2012 от 01 марта 2012"/>
    <m/>
    <m/>
    <m/>
    <m/>
    <x v="0"/>
    <n v="-689792.59"/>
  </r>
  <r>
    <s v="Платежное поручение входящее"/>
    <n v="0"/>
    <m/>
    <d v="2021-04-22T00:00:00"/>
    <d v="2021-04-22T17:00:00"/>
    <n v="144.29166666666424"/>
    <s v="Advance"/>
    <s v="Advance"/>
    <s v="Сток Converse"/>
    <s v="Converse"/>
    <n v="-10"/>
    <s v="Платежное поручение входящее 00BF-002869 от 22.04.2021 17:00:00"/>
    <x v="19"/>
    <s v="22.04.2021 17:00:00"/>
    <s v="ОПТ Сток Converse"/>
    <s v="Оплата от покупателя"/>
    <s v="258/2015 от 21.08.2015"/>
    <s v="Договор 212/2014 от 01.10.2014"/>
    <m/>
    <m/>
    <m/>
    <m/>
    <x v="0"/>
    <n v="-10"/>
  </r>
  <r>
    <s v="Платежное поручение входящее"/>
    <n v="65"/>
    <m/>
    <d v="2021-04-23T00:00:00"/>
    <d v="2021-06-27T23:50:07"/>
    <n v="78.006863425922347"/>
    <s v="Advance"/>
    <s v="Advance"/>
    <s v="Сток Dr.Martens"/>
    <s v="Dr.Martens"/>
    <n v="-1006499.9"/>
    <s v="Платежное поручение входящее УТ000000107 от 23.04.2021 23:50:07"/>
    <x v="10"/>
    <s v="23.04.2021 23:50:07"/>
    <s v="ОПТ Сток Dr.Martens"/>
    <s v="Оплата от покупателя"/>
    <s v="Договор №032/2012 от 01 марта 2012"/>
    <s v="Договор 212/2014 от 01.10.2014"/>
    <m/>
    <m/>
    <m/>
    <m/>
    <x v="0"/>
    <n v="-1006499.9"/>
  </r>
  <r>
    <s v="Реализация товаров и услуг"/>
    <n v="95"/>
    <m/>
    <d v="2021-04-27T00:00:00"/>
    <d v="2021-07-31T10:41:26"/>
    <n v="44.554560185184528"/>
    <s v="31-45 days"/>
    <s v="Current"/>
    <s v="Converse"/>
    <s v="Converse"/>
    <n v="323466.67"/>
    <s v="Реализация товаров и услуг УТ000009134 от 27.04.2021 10:41:26"/>
    <x v="20"/>
    <s v="27.04.2021 10:41:26"/>
    <s v="ОПТ Converse"/>
    <s v="продажа, комиссия"/>
    <s v="№ 435/2020 от 16.09.2020"/>
    <s v="Договор №032/2012 от 01 марта 2012"/>
    <m/>
    <m/>
    <m/>
    <m/>
    <x v="1"/>
    <n v="323466.67"/>
  </r>
  <r>
    <s v="Реализация товаров и услуг"/>
    <n v="95"/>
    <m/>
    <d v="2021-04-27T00:00:00"/>
    <d v="2021-07-31T10:41:36"/>
    <n v="44.554444444445835"/>
    <s v="31-45 days"/>
    <s v="Current"/>
    <s v="Converse"/>
    <s v="Converse"/>
    <n v="97500"/>
    <s v="Реализация товаров и услуг УТ000009135 от 27.04.2021 10:41:36"/>
    <x v="20"/>
    <s v="27.04.2021 10:41:36"/>
    <s v="ОПТ Converse"/>
    <s v="продажа, комиссия"/>
    <s v="№ 435/2020 от 16.09.2020"/>
    <s v="Договор 212/2014 от 01.10.2014"/>
    <m/>
    <m/>
    <m/>
    <m/>
    <x v="1"/>
    <n v="97500"/>
  </r>
  <r>
    <s v="Реализация товаров и услуг"/>
    <n v="65"/>
    <m/>
    <d v="2021-04-28T00:00:00"/>
    <d v="2021-07-02T16:07:29"/>
    <n v="73.32813657407678"/>
    <s v="Advance"/>
    <s v="Advance"/>
    <s v="Converse"/>
    <s v="Converse"/>
    <n v="-3358"/>
    <s v="Реализация товаров и услуг УТ000009264 от 28.04.2021 16:07:29"/>
    <x v="15"/>
    <s v="28.04.2021 16:07:29"/>
    <s v="ОПТ Converse"/>
    <s v="продажа, комиссия"/>
    <s v="ИР-П 215/15 от 21.04.2015"/>
    <s v="Договор №032/2012 от 01 марта 2012"/>
    <m/>
    <m/>
    <m/>
    <m/>
    <x v="0"/>
    <n v="-3358"/>
  </r>
  <r>
    <s v="Реализация товаров и услуг"/>
    <n v="95"/>
    <n v="43"/>
    <d v="2021-04-29T00:00:00"/>
    <d v="2021-09-14T09:56:15"/>
    <n v="-0.4140625"/>
    <s v="Current"/>
    <s v="Current"/>
    <s v="Dr.Martens"/>
    <s v="Dr.Martens"/>
    <n v="15703.5"/>
    <s v="Реализация товаров и услуг УТ000009357 от 29.04.2021 9:56:15"/>
    <x v="21"/>
    <s v="29.04.2021 9:56:15"/>
    <s v="ОПТ Dr.Martens"/>
    <s v="продажа, комиссия"/>
    <s v="№429/2020 от 22.06.2020"/>
    <s v="Договор №032/2012 от 01 марта 2012"/>
    <m/>
    <m/>
    <m/>
    <m/>
    <x v="1"/>
    <n v="15703.5"/>
  </r>
  <r>
    <s v="Реализация товаров и услуг"/>
    <n v="95"/>
    <n v="43"/>
    <d v="2021-04-29T00:00:00"/>
    <d v="2021-09-14T09:57:11"/>
    <n v="-0.41471064814686542"/>
    <s v="Current"/>
    <s v="Current"/>
    <s v="Сток Converse"/>
    <s v="Converse"/>
    <n v="111870"/>
    <s v="Реализация товаров и услуг УТ000009358 от 29.04.2021 9:57:11"/>
    <x v="21"/>
    <s v="29.04.2021 9:57:11"/>
    <s v="ОПТ Сток Converse"/>
    <s v="продажа, комиссия"/>
    <s v="№429/2020 от 22.06.2020"/>
    <s v="Договор №032/2012 от 01 марта 2012"/>
    <m/>
    <m/>
    <m/>
    <m/>
    <x v="1"/>
    <n v="111870"/>
  </r>
  <r>
    <s v="Реализация товаров и услуг"/>
    <n v="95"/>
    <n v="43"/>
    <d v="2021-04-29T00:00:00"/>
    <d v="2021-09-14T09:58:08"/>
    <n v="-0.4153703703705105"/>
    <s v="Current"/>
    <s v="Current"/>
    <s v="Сток Converse"/>
    <s v="Converse"/>
    <n v="9847.4"/>
    <s v="Реализация товаров и услуг УТ000009359 от 29.04.2021 9:58:08"/>
    <x v="21"/>
    <s v="29.04.2021 9:58:08"/>
    <s v="ОПТ Сток Converse"/>
    <s v="продажа, комиссия"/>
    <s v="№429/2020 от 22.06.2020"/>
    <s v="Договор 212/2014 от 01.10.2014"/>
    <m/>
    <m/>
    <m/>
    <m/>
    <x v="1"/>
    <n v="9847.4"/>
  </r>
  <r>
    <s v="Реализация товаров и услуг"/>
    <n v="95"/>
    <n v="43"/>
    <d v="2021-04-29T00:00:00"/>
    <d v="2021-09-14T09:59:16"/>
    <n v="-0.41615740740962792"/>
    <s v="Current"/>
    <s v="Current"/>
    <s v="Сток Converse"/>
    <s v="Converse"/>
    <n v="255870"/>
    <s v="Реализация товаров и услуг УТ000009360 от 29.04.2021 9:59:16"/>
    <x v="21"/>
    <s v="29.04.2021 9:59:16"/>
    <s v="ОПТ Сток Converse"/>
    <s v="продажа, комиссия"/>
    <s v="№429/2020 от 22.06.2020"/>
    <s v="Договор 212/2014 от 01.10.2014"/>
    <m/>
    <m/>
    <m/>
    <m/>
    <x v="1"/>
    <n v="255870"/>
  </r>
  <r>
    <s v="Реализация товаров и услуг"/>
    <n v="95"/>
    <m/>
    <d v="2021-04-29T00:00:00"/>
    <d v="2021-08-02T23:21:13"/>
    <n v="42.026932870372548"/>
    <s v="31-45 days"/>
    <s v="Current"/>
    <s v="Converse"/>
    <s v="Converse"/>
    <n v="47675.5"/>
    <s v="Реализация товаров и услуг УТ000009414 от 29.04.2021 23:21:13"/>
    <x v="13"/>
    <s v="29.04.2021 23:21:13"/>
    <s v="ОПТ Converse"/>
    <s v="продажа, комиссия"/>
    <s v="Договор 212/2014 от 01.10.2014"/>
    <s v="Договор 212/2014 от 01.10.2014"/>
    <m/>
    <m/>
    <m/>
    <m/>
    <x v="1"/>
    <n v="47675.5"/>
  </r>
  <r>
    <s v="Отчет комиссионера о продажах"/>
    <n v="45"/>
    <m/>
    <d v="2021-04-30T00:00:00"/>
    <d v="2021-06-14T17:23:13"/>
    <n v="91.275543981479132"/>
    <s v="91-180 days"/>
    <s v="3 - 6 months"/>
    <s v="Сток Dr.Martens"/>
    <s v="Dr.Martens"/>
    <n v="2819.91"/>
    <s v="Отчет комиссионера о продажах УТ000000233 от 30.04.2021 17:23:13"/>
    <x v="22"/>
    <s v="30.04.2021 17:23:13"/>
    <s v="ОПТ Сток Dr.Martens"/>
    <m/>
    <s v="№ К 130-04-20 от 7 мая 2020 г."/>
    <s v="№ 404/2019 от 08.10.2019"/>
    <m/>
    <m/>
    <m/>
    <m/>
    <x v="1"/>
    <n v="2819.91"/>
  </r>
  <r>
    <s v="Реализация товаров и услуг"/>
    <n v="95"/>
    <m/>
    <d v="2021-05-11T00:00:00"/>
    <d v="2021-08-14T14:38:55"/>
    <n v="30.38964120370656"/>
    <s v="31-45 days"/>
    <s v="Current"/>
    <s v="Converse"/>
    <s v="Converse"/>
    <n v="3255"/>
    <s v="Реализация товаров и услуг УТ000010295 от 11.05.2021 14:38:55"/>
    <x v="13"/>
    <s v="11.05.2021 14:38:55"/>
    <s v="ОПТ Converse"/>
    <s v="продажа, комиссия"/>
    <s v="Договор 212/2014 от 01.10.2014"/>
    <s v="№ 350/2018 от 21.06.18"/>
    <m/>
    <m/>
    <m/>
    <m/>
    <x v="1"/>
    <n v="3255"/>
  </r>
  <r>
    <s v="Реализация товаров и услуг"/>
    <n v="95"/>
    <m/>
    <d v="2021-05-17T00:00:00"/>
    <d v="2021-08-20T17:40:52"/>
    <n v="24.263287037036207"/>
    <s v="Advance"/>
    <s v="Advance"/>
    <s v="Сток Converse"/>
    <s v="Converse"/>
    <n v="-613559"/>
    <s v="Реализация товаров и услуг УТ000010902 от 17.05.2021 17:40:52"/>
    <x v="18"/>
    <s v="17.05.2021 17:40:52"/>
    <s v="ОПТ Сток Converse"/>
    <s v="продажа, комиссия"/>
    <s v="Договор № 195/2014 от 01.08.2014"/>
    <s v="№429/2020 от 22.06.2020"/>
    <m/>
    <m/>
    <m/>
    <m/>
    <x v="0"/>
    <n v="-613559"/>
  </r>
  <r>
    <s v="Реализация товаров и услуг"/>
    <n v="95"/>
    <m/>
    <d v="2021-05-19T00:00:00"/>
    <d v="2021-08-22T13:34:36"/>
    <n v="22.43430555555824"/>
    <s v="15-30 days"/>
    <s v="Current"/>
    <s v="Converse"/>
    <s v="Converse"/>
    <n v="560150"/>
    <s v="Реализация товаров и услуг УТ000011179 от 19.05.2021 13:34:36"/>
    <x v="20"/>
    <s v="19.05.2021 13:34:36"/>
    <s v="ОПТ Converse"/>
    <s v="продажа, комиссия"/>
    <s v="№ 435/2020 от 16.09.2020"/>
    <s v="№429/2020 от 22.06.2020"/>
    <m/>
    <m/>
    <m/>
    <m/>
    <x v="1"/>
    <n v="560150"/>
  </r>
  <r>
    <s v="Реализация товаров и услуг"/>
    <n v="95"/>
    <m/>
    <d v="2021-05-20T00:00:00"/>
    <d v="2021-08-23T12:10:50"/>
    <n v="21.492476851854008"/>
    <s v="15-30 days"/>
    <s v="Current"/>
    <s v="Converse"/>
    <s v="Converse"/>
    <n v="6860"/>
    <s v="Реализация товаров и услуг УТ000011308 от 20.05.2021 12:10:50"/>
    <x v="13"/>
    <s v="20.05.2021 12:10:50"/>
    <s v="ОПТ Converse"/>
    <s v="продажа, комиссия"/>
    <s v="Договор 212/2014 от 01.10.2014"/>
    <s v="№429/2020 от 22.06.2020"/>
    <m/>
    <m/>
    <m/>
    <m/>
    <x v="1"/>
    <n v="6860"/>
  </r>
  <r>
    <s v="Реализация товаров и услуг"/>
    <n v="65"/>
    <m/>
    <d v="2021-05-20T00:00:00"/>
    <d v="2021-07-24T16:20:39"/>
    <n v="51.31899305555271"/>
    <s v="Advance"/>
    <s v="Advance"/>
    <s v="Converse"/>
    <s v="Converse"/>
    <n v="-622500"/>
    <s v="Реализация товаров и услуг УТ000011317 от 20.05.2021 16:20:39"/>
    <x v="10"/>
    <s v="20.05.2021 16:20:39"/>
    <s v="ОПТ Converse"/>
    <s v="продажа, комиссия"/>
    <s v="Договор №032/2012 от 01 марта 2012"/>
    <s v="Оферта"/>
    <m/>
    <m/>
    <m/>
    <m/>
    <x v="0"/>
    <n v="-622500"/>
  </r>
  <r>
    <s v="Реализация товаров и услуг"/>
    <n v="95"/>
    <n v="16"/>
    <d v="2021-05-26T00:00:00"/>
    <d v="2021-09-14T12:49:04"/>
    <n v="-0.53407407407212304"/>
    <s v="Current"/>
    <s v="Current"/>
    <s v="UGG"/>
    <s v="UGG"/>
    <n v="21525"/>
    <s v="Реализация товаров и услуг УТ000011948 от 26.05.2021 12:49:04"/>
    <x v="21"/>
    <s v="26.05.2021 12:49:04"/>
    <s v="ОПТ UGG"/>
    <s v="продажа, комиссия"/>
    <s v="№429/2020 от 22.06.2020"/>
    <s v="Оферта"/>
    <m/>
    <m/>
    <m/>
    <m/>
    <x v="1"/>
    <n v="21525"/>
  </r>
  <r>
    <s v="Реализация товаров и услуг"/>
    <n v="95"/>
    <n v="16"/>
    <d v="2021-05-26T00:00:00"/>
    <d v="2021-09-14T12:51:56"/>
    <n v="-0.53606481481256196"/>
    <s v="Current"/>
    <s v="Current"/>
    <s v="UGG"/>
    <s v="UGG"/>
    <n v="35850"/>
    <s v="Реализация товаров и услуг УТ000011949 от 26.05.2021 12:51:56"/>
    <x v="21"/>
    <s v="26.05.2021 12:51:56"/>
    <s v="ОПТ UGG"/>
    <s v="продажа, комиссия"/>
    <s v="№429/2020 от 22.06.2020"/>
    <s v="Оферта"/>
    <m/>
    <m/>
    <m/>
    <m/>
    <x v="1"/>
    <n v="35850"/>
  </r>
  <r>
    <s v="Реализация товаров и услуг"/>
    <n v="95"/>
    <n v="16"/>
    <d v="2021-05-26T00:00:00"/>
    <d v="2021-09-14T12:54:58"/>
    <n v="-0.53817129629896954"/>
    <s v="Current"/>
    <s v="Current"/>
    <s v="Saucony"/>
    <s v="Saucony"/>
    <n v="66120"/>
    <s v="Реализация товаров и услуг УТ000011950 от 26.05.2021 12:54:58"/>
    <x v="21"/>
    <s v="26.05.2021 12:54:58"/>
    <s v="ОПТ Saucony"/>
    <s v="продажа, комиссия"/>
    <s v="№429/2020 от 22.06.2020"/>
    <s v="№429/2020 от 22.06.2020"/>
    <m/>
    <m/>
    <m/>
    <m/>
    <x v="1"/>
    <n v="66120"/>
  </r>
  <r>
    <s v="Реализация товаров и услуг"/>
    <n v="95"/>
    <n v="16"/>
    <d v="2021-05-26T00:00:00"/>
    <d v="2021-09-14T13:07:48"/>
    <n v="-0.54708333333110204"/>
    <s v="Current"/>
    <s v="Current"/>
    <s v="Saucony"/>
    <s v="Saucony"/>
    <n v="61800"/>
    <s v="Реализация товаров и услуг УТ000011951 от 26.05.2021 13:07:48"/>
    <x v="21"/>
    <s v="26.05.2021 13:07:48"/>
    <s v="ОПТ Saucony"/>
    <s v="продажа, комиссия"/>
    <s v="№429/2020 от 22.06.2020"/>
    <s v="№429/2020 от 22.06.2020"/>
    <m/>
    <m/>
    <m/>
    <m/>
    <x v="1"/>
    <n v="61800"/>
  </r>
  <r>
    <s v="Реализация товаров и услуг"/>
    <n v="95"/>
    <n v="16"/>
    <d v="2021-05-26T00:00:00"/>
    <d v="2021-09-14T13:08:01"/>
    <n v="-0.54723379629285773"/>
    <s v="Current"/>
    <s v="Current"/>
    <s v="Dr.Martens"/>
    <s v="Dr.Martens"/>
    <n v="30960"/>
    <s v="Реализация товаров и услуг УТ000011953 от 26.05.2021 13:08:01"/>
    <x v="21"/>
    <s v="26.05.2021 13:08:01"/>
    <s v="ОПТ Dr.Martens"/>
    <s v="продажа, комиссия"/>
    <s v="№429/2020 от 22.06.2020"/>
    <s v="№429/2020 от 22.06.2020"/>
    <m/>
    <m/>
    <m/>
    <m/>
    <x v="1"/>
    <n v="30960"/>
  </r>
  <r>
    <s v="Реализация товаров и услуг"/>
    <n v="95"/>
    <n v="16"/>
    <d v="2021-05-26T00:00:00"/>
    <d v="2021-09-14T13:12:23"/>
    <n v="-0.55026620370335877"/>
    <s v="Current"/>
    <s v="Current"/>
    <s v="Сток Converse"/>
    <s v="Converse"/>
    <n v="203895"/>
    <s v="Реализация товаров и услуг УТ000011954 от 26.05.2021 13:12:23"/>
    <x v="21"/>
    <s v="26.05.2021 13:12:23"/>
    <s v="ОПТ Сток Converse"/>
    <s v="продажа, комиссия"/>
    <s v="№429/2020 от 22.06.2020"/>
    <s v="№429/2020 от 22.06.2020"/>
    <m/>
    <m/>
    <m/>
    <m/>
    <x v="1"/>
    <n v="203895"/>
  </r>
  <r>
    <s v="Реализация товаров и услуг"/>
    <n v="95"/>
    <n v="16"/>
    <d v="2021-05-26T00:00:00"/>
    <d v="2021-09-14T14:59:23"/>
    <n v="-0.62457175926101627"/>
    <s v="Current"/>
    <s v="Current"/>
    <s v="Сток Converse"/>
    <s v="Converse"/>
    <n v="394875"/>
    <s v="Реализация товаров и услуг УТ000011952 от 26.05.2021 14:59:23"/>
    <x v="21"/>
    <s v="26.05.2021 14:59:23"/>
    <s v="ОПТ Сток Converse"/>
    <s v="продажа, комиссия"/>
    <s v="№429/2020 от 22.06.2020"/>
    <s v="Договор №032/2012 от 01 марта 2012"/>
    <m/>
    <m/>
    <m/>
    <m/>
    <x v="1"/>
    <n v="394875"/>
  </r>
  <r>
    <s v="Отчет комиссионера о продажах"/>
    <n v="45"/>
    <m/>
    <d v="2021-05-31T00:00:00"/>
    <d v="2021-07-15T12:57:59"/>
    <n v="60.459733796298678"/>
    <s v="46-90 days"/>
    <s v="Current"/>
    <s v="Сток Converse"/>
    <s v="Converse"/>
    <n v="60074.57"/>
    <s v="Отчет комиссионера о продажах УТ000000271 от 31.05.2021 12:57:59"/>
    <x v="22"/>
    <s v="31.05.2021 12:57:59"/>
    <s v="ОПТ Сток Converse"/>
    <m/>
    <s v="№ К 130-04-20 от 7 мая 2020 г."/>
    <s v="№429/2020 от 22.06.2020"/>
    <m/>
    <m/>
    <m/>
    <m/>
    <x v="1"/>
    <n v="60074.57"/>
  </r>
  <r>
    <s v="Отчет комиссионера о продажах"/>
    <n v="45"/>
    <m/>
    <d v="2021-05-31T00:00:00"/>
    <d v="2021-07-15T12:59:11"/>
    <n v="60.458900462959718"/>
    <s v="46-90 days"/>
    <s v="Current"/>
    <s v="Сток Dr.Martens"/>
    <s v="Dr.Martens"/>
    <n v="30948"/>
    <s v="Отчет комиссионера о продажах УТ000000272 от 31.05.2021 12:59:11"/>
    <x v="22"/>
    <s v="31.05.2021 12:59:11"/>
    <s v="ОПТ Сток Dr.Martens"/>
    <m/>
    <s v="№ К 130-04-20 от 7 мая 2020 г."/>
    <s v="№429/2020 от 22.06.2020"/>
    <m/>
    <m/>
    <m/>
    <m/>
    <x v="1"/>
    <n v="30948"/>
  </r>
  <r>
    <s v="Отчет комиссионера о продажах"/>
    <n v="45"/>
    <m/>
    <d v="2021-05-31T00:00:00"/>
    <d v="2021-07-15T13:00:28"/>
    <n v="60.458009259258688"/>
    <s v="46-90 days"/>
    <s v="Current"/>
    <s v="Сток UGG"/>
    <s v="UGG"/>
    <n v="23169.07"/>
    <s v="Отчет комиссионера о продажах УТ000000273 от 31.05.2021 13:00:28"/>
    <x v="22"/>
    <s v="31.05.2021 13:00:28"/>
    <s v="ОПТ Сток UGG"/>
    <m/>
    <s v="№ К 130-04-20 от 7 мая 2020 г."/>
    <s v="№429/2020 от 22.06.2020"/>
    <m/>
    <m/>
    <m/>
    <m/>
    <x v="1"/>
    <n v="23169.07"/>
  </r>
  <r>
    <s v="Отчет комиссионера о продажах"/>
    <n v="45"/>
    <m/>
    <d v="2021-05-31T00:00:00"/>
    <d v="2021-07-15T13:02:17"/>
    <n v="60.45674768518802"/>
    <s v="46-90 days"/>
    <s v="Current"/>
    <s v="Сток Saucony"/>
    <s v="Saucony"/>
    <n v="53748.32"/>
    <s v="Отчет комиссионера о продажах УТ000000274 от 31.05.2021 13:02:17"/>
    <x v="22"/>
    <s v="31.05.2021 13:02:17"/>
    <s v="ОПТ Сток Saucony"/>
    <m/>
    <s v="№ К 130-04-20 от 7 мая 2020 г."/>
    <s v="Договор №032/2012 от 01 марта 2012"/>
    <m/>
    <m/>
    <m/>
    <m/>
    <x v="1"/>
    <n v="53748.32"/>
  </r>
  <r>
    <s v="Платежное поручение входящее"/>
    <n v="95"/>
    <m/>
    <d v="2021-06-08T00:00:00"/>
    <d v="2021-09-11T17:00:00"/>
    <n v="2.2916666666642413"/>
    <s v="Advance"/>
    <s v="Advance"/>
    <s v="Converse"/>
    <s v="Converse"/>
    <n v="-1245466"/>
    <s v="Платежное поручение входящее 00BF-004046 от 08.06.2021 17:00:00"/>
    <x v="18"/>
    <s v="08.06.2021 17:00:00"/>
    <s v="ОПТ Converse"/>
    <s v="Оплата от покупателя"/>
    <s v="Договор № 195/2014 от 01.08.2014"/>
    <s v="Договор №032/2012 от 01 марта 2012"/>
    <m/>
    <m/>
    <m/>
    <m/>
    <x v="0"/>
    <n v="-1245466"/>
  </r>
  <r>
    <s v="Платежное поручение входящее"/>
    <n v="0"/>
    <m/>
    <d v="2021-06-08T00:00:00"/>
    <d v="2021-06-08T17:00:00"/>
    <n v="97.291666666664241"/>
    <s v="Advance"/>
    <s v="Advance"/>
    <s v="Сток Converse"/>
    <s v="Converse"/>
    <n v="-0.76"/>
    <s v="Платежное поручение входящее 00BF-004050 от 08.06.2021 17:00:00"/>
    <x v="23"/>
    <s v="08.06.2021 17:00:00"/>
    <s v="ОПТ Сток Converse"/>
    <s v="Оплата от покупателя"/>
    <s v="№242/2015 от 18.06.2015"/>
    <s v="Основной договор 306/2017"/>
    <m/>
    <m/>
    <m/>
    <m/>
    <x v="0"/>
    <n v="-0.76"/>
  </r>
  <r>
    <s v="Реализация товаров и услуг"/>
    <n v="95"/>
    <n v="1"/>
    <d v="2021-06-10T00:00:00"/>
    <d v="2021-09-14T10:46:49"/>
    <n v="-0.44917824074218515"/>
    <s v="Current"/>
    <s v="Current"/>
    <s v="Saucony"/>
    <s v="Saucony"/>
    <n v="139840"/>
    <s v="Реализация товаров и услуг УТ000013449 от 10.06.2021 10:46:49"/>
    <x v="21"/>
    <s v="10.06.2021 10:46:49"/>
    <s v="ОПТ Saucony"/>
    <s v="продажа, комиссия"/>
    <s v="№429/2020 от 22.06.2020"/>
    <s v="№ 018/2012 от 19 марта 2012"/>
    <m/>
    <m/>
    <m/>
    <m/>
    <x v="1"/>
    <n v="139840"/>
  </r>
  <r>
    <s v="Реализация товаров и услуг"/>
    <n v="95"/>
    <n v="1"/>
    <d v="2021-06-10T00:00:00"/>
    <d v="2021-09-14T10:52:56"/>
    <n v="-0.45342592592351139"/>
    <s v="Current"/>
    <s v="Current"/>
    <s v="Dr.Martens"/>
    <s v="Dr.Martens"/>
    <n v="141480"/>
    <s v="Реализация товаров и услуг УТ000013453 от 10.06.2021 10:52:56"/>
    <x v="21"/>
    <s v="10.06.2021 10:52:56"/>
    <s v="ОПТ Dr.Martens"/>
    <s v="продажа, комиссия"/>
    <s v="№429/2020 от 22.06.2020"/>
    <s v="ИР-П 215/15 от 21.04.2015"/>
    <m/>
    <m/>
    <m/>
    <m/>
    <x v="1"/>
    <n v="141480"/>
  </r>
  <r>
    <s v="Реализация товаров и услуг"/>
    <n v="95"/>
    <n v="1"/>
    <d v="2021-06-10T00:00:00"/>
    <d v="2021-09-14T13:34:25"/>
    <n v="-0.56556712962628808"/>
    <s v="Current"/>
    <s v="Current"/>
    <s v="Сток Dr.Martens"/>
    <s v="Dr.Martens"/>
    <n v="95400"/>
    <s v="Реализация товаров и услуг УТ000013452 от 10.06.2021 13:34:25"/>
    <x v="21"/>
    <s v="10.06.2021 13:34:25"/>
    <s v="ОПТ Сток Dr.Martens"/>
    <s v="продажа, комиссия"/>
    <s v="№429/2020 от 22.06.2020"/>
    <s v="№429/2020 от 22.06.2020"/>
    <m/>
    <m/>
    <m/>
    <m/>
    <x v="1"/>
    <n v="95400"/>
  </r>
  <r>
    <s v="Реализация товаров и услуг"/>
    <n v="95"/>
    <n v="1"/>
    <d v="2021-06-10T00:00:00"/>
    <d v="2021-09-14T13:35:04"/>
    <n v="-0.56601851851883112"/>
    <s v="Current"/>
    <s v="Current"/>
    <s v="Сток Dr.Martens"/>
    <s v="Dr.Martens"/>
    <n v="95400"/>
    <s v="Реализация товаров и услуг УТ000013448 от 10.06.2021 13:35:04"/>
    <x v="21"/>
    <s v="10.06.2021 13:35:04"/>
    <s v="ОПТ Сток Dr.Martens"/>
    <s v="продажа, комиссия"/>
    <s v="№429/2020 от 22.06.2020"/>
    <s v="№429/2020 от 22.06.2020"/>
    <m/>
    <m/>
    <m/>
    <m/>
    <x v="1"/>
    <n v="95400"/>
  </r>
  <r>
    <s v="Реализация товаров и услуг"/>
    <n v="95"/>
    <n v="1"/>
    <d v="2021-06-10T00:00:00"/>
    <d v="2021-09-14T14:08:05"/>
    <n v="-0.58894675925694173"/>
    <s v="Current"/>
    <s v="Current"/>
    <s v="Сток Saucony"/>
    <s v="Saucony"/>
    <n v="92468"/>
    <s v="Реализация товаров и услуг УТ000013454 от 10.06.2021 14:08:05"/>
    <x v="21"/>
    <s v="10.06.2021 14:08:05"/>
    <s v="ОПТ Сток Saucony"/>
    <s v="продажа, комиссия"/>
    <s v="№429/2020 от 22.06.2020"/>
    <s v="№429/2020 от 22.06.2020"/>
    <m/>
    <m/>
    <m/>
    <m/>
    <x v="1"/>
    <n v="92468"/>
  </r>
  <r>
    <s v="Реализация товаров и услуг"/>
    <n v="95"/>
    <n v="1"/>
    <d v="2021-06-10T00:00:00"/>
    <d v="2021-09-14T15:20:44"/>
    <n v="-0.63939814814511919"/>
    <s v="Current"/>
    <s v="Current"/>
    <s v="Saucony"/>
    <s v="Saucony"/>
    <n v="214600"/>
    <s v="Реализация товаров и услуг УТ000013472 от 10.06.2021 15:20:44"/>
    <x v="21"/>
    <s v="10.06.2021 15:20:44"/>
    <s v="ОПТ Saucony"/>
    <s v="продажа, комиссия"/>
    <s v="№429/2020 от 22.06.2020"/>
    <s v="№429/2020 от 22.06.2020"/>
    <m/>
    <m/>
    <m/>
    <m/>
    <x v="1"/>
    <n v="214600"/>
  </r>
  <r>
    <s v="Реализация товаров и услуг"/>
    <n v="95"/>
    <m/>
    <d v="2021-06-11T00:00:00"/>
    <d v="2021-09-14T12:40:27"/>
    <n v="-0.52809027778130258"/>
    <s v="Current"/>
    <s v="Current"/>
    <s v="Сток Converse"/>
    <s v="Converse"/>
    <n v="32025"/>
    <s v="Реализация товаров и услуг УТ000013589 от 11.06.2021 12:40:27"/>
    <x v="21"/>
    <s v="11.06.2021 12:40:27"/>
    <s v="ОПТ Сток Converse"/>
    <s v="продажа, комиссия"/>
    <s v="№429/2020 от 22.06.2020"/>
    <s v="№429/2020 от 22.06.2020"/>
    <m/>
    <m/>
    <m/>
    <m/>
    <x v="1"/>
    <n v="32025"/>
  </r>
  <r>
    <s v="Реализация товаров и услуг"/>
    <n v="95"/>
    <m/>
    <d v="2021-06-11T00:00:00"/>
    <d v="2021-09-14T12:43:25"/>
    <n v="-0.53015046296059154"/>
    <s v="Current"/>
    <s v="Current"/>
    <s v="Сток Converse"/>
    <s v="Converse"/>
    <n v="263214.65999999997"/>
    <s v="Реализация товаров и услуг УТ000013590 от 11.06.2021 12:43:25"/>
    <x v="21"/>
    <s v="11.06.2021 12:43:25"/>
    <s v="ОПТ Сток Converse"/>
    <s v="продажа, комиссия"/>
    <s v="№429/2020 от 22.06.2020"/>
    <s v="№429/2020 от 22.06.2020"/>
    <m/>
    <m/>
    <m/>
    <m/>
    <x v="1"/>
    <n v="263214.65999999997"/>
  </r>
  <r>
    <s v="Реализация товаров и услуг"/>
    <n v="95"/>
    <m/>
    <d v="2021-06-11T00:00:00"/>
    <d v="2021-09-14T14:50:07"/>
    <n v="-0.61813657407765277"/>
    <s v="Current"/>
    <s v="Current"/>
    <s v="Сток Converse"/>
    <s v="Converse"/>
    <n v="199930.5"/>
    <s v="Реализация товаров и услуг УТ000013588 от 11.06.2021 14:50:07"/>
    <x v="21"/>
    <s v="11.06.2021 14:50:07"/>
    <s v="ОПТ Сток Converse"/>
    <s v="продажа, комиссия"/>
    <s v="№429/2020 от 22.06.2020"/>
    <s v="№429/2020 от 22.06.2020"/>
    <m/>
    <m/>
    <m/>
    <m/>
    <x v="1"/>
    <n v="199930.5"/>
  </r>
  <r>
    <s v="Реализация товаров и услуг"/>
    <n v="95"/>
    <m/>
    <d v="2021-06-11T00:00:00"/>
    <d v="2021-09-14T15:49:46"/>
    <n v="-0.65956018518772908"/>
    <s v="Current"/>
    <s v="Current"/>
    <s v="Сток Converse"/>
    <s v="Converse"/>
    <n v="21241.5"/>
    <s v="Реализация товаров и услуг УТ000013595 от 11.06.2021 15:49:46"/>
    <x v="21"/>
    <s v="11.06.2021 15:49:46"/>
    <s v="ОПТ Сток Converse"/>
    <s v="продажа, комиссия"/>
    <s v="№429/2020 от 22.06.2020"/>
    <s v="№429/2020 от 22.06.2020"/>
    <m/>
    <m/>
    <m/>
    <m/>
    <x v="1"/>
    <n v="21241.5"/>
  </r>
  <r>
    <s v="Платежное поручение входящее"/>
    <n v="65"/>
    <m/>
    <d v="2021-06-11T00:00:00"/>
    <d v="2021-08-15T17:00:00"/>
    <n v="29.291666666664241"/>
    <s v="Advance"/>
    <s v="Advance"/>
    <s v="Converse"/>
    <s v="Converse"/>
    <n v="-200607.93"/>
    <s v="Платежное поручение входящее 00BF-004129 от 11.06.2021 17:00:00"/>
    <x v="10"/>
    <s v="11.06.2021 17:00:00"/>
    <s v="ОПТ Converse"/>
    <s v="Оплата от покупателя"/>
    <s v="Договор №032/2012 от 01 марта 2012"/>
    <s v="Договор № 195/2014 от 01.08.2014"/>
    <m/>
    <m/>
    <m/>
    <m/>
    <x v="0"/>
    <n v="-200607.93"/>
  </r>
  <r>
    <s v="Реализация товаров и услуг"/>
    <n v="65"/>
    <m/>
    <d v="2021-06-21T00:00:00"/>
    <d v="2021-08-25T20:51:10"/>
    <n v="19.131134259259852"/>
    <s v="Advance"/>
    <s v="Advance"/>
    <s v="Сток Converse"/>
    <s v="Converse"/>
    <n v="-25740"/>
    <s v="Реализация товаров и услуг УТ000014764 от 21.06.2021 20:51:10"/>
    <x v="10"/>
    <s v="21.06.2021 20:51:10"/>
    <s v="ОПТ Сток Converse"/>
    <s v="продажа, комиссия"/>
    <s v="Договор №032/2012 от 01 марта 2012"/>
    <s v="Договор №032/2012 от 01 марта 2012"/>
    <m/>
    <m/>
    <m/>
    <m/>
    <x v="0"/>
    <n v="-25740"/>
  </r>
  <r>
    <s v="Платежное поручение входящее"/>
    <n v="0"/>
    <m/>
    <d v="2021-06-22T00:00:00"/>
    <d v="2021-06-22T17:00:00"/>
    <n v="83.291666666664241"/>
    <s v="Advance"/>
    <s v="Advance"/>
    <s v="Converse"/>
    <s v="Converse"/>
    <n v="-4250"/>
    <s v="Платежное поручение входящее 00BF-004404 от 22.06.2021 17:00:00"/>
    <x v="24"/>
    <s v="22.06.2021 17:00:00"/>
    <s v="ОПТ Converse"/>
    <s v="Оплата от покупателя"/>
    <s v="061/2012 от 15 июня 2012"/>
    <s v="Договор № 195/2014 от 01.08.2014"/>
    <m/>
    <m/>
    <m/>
    <m/>
    <x v="0"/>
    <n v="-4250"/>
  </r>
  <r>
    <s v="Платежное поручение входящее"/>
    <n v="0"/>
    <m/>
    <d v="2021-06-29T00:00:00"/>
    <d v="2021-06-29T17:00:00"/>
    <n v="76.291666666664241"/>
    <s v="Advance"/>
    <s v="Advance"/>
    <s v="Сток Converse"/>
    <s v="Converse"/>
    <n v="-67520"/>
    <s v="Платежное поручение входящее 00BF-004557 от 29.06.2021 17:00:00"/>
    <x v="24"/>
    <s v="29.06.2021 17:00:00"/>
    <s v="ОПТ Сток Converse"/>
    <s v="Оплата от покупателя"/>
    <s v="061/2012 от 15 июня 2012"/>
    <s v="Договор № 195/2014 от 01.08.2014"/>
    <m/>
    <m/>
    <m/>
    <m/>
    <x v="0"/>
    <n v="-67520"/>
  </r>
  <r>
    <s v="Отчет комиссионера о продажах"/>
    <n v="45"/>
    <m/>
    <d v="2021-06-30T00:00:00"/>
    <d v="2021-08-14T19:02:46"/>
    <n v="30.20641203703417"/>
    <s v="31-45 days"/>
    <s v="Current"/>
    <s v="Сток Converse"/>
    <s v="Converse"/>
    <n v="92655.62"/>
    <s v="Отчет комиссионера о продажах УТ000000307 от 30.06.2021 19:02:46"/>
    <x v="22"/>
    <s v="30.06.2021 19:02:46"/>
    <s v="ОПТ Сток Converse"/>
    <m/>
    <s v="№ К 130-04-20 от 7 мая 2020 г."/>
    <s v="258/2015 от 21.08.2015"/>
    <m/>
    <m/>
    <m/>
    <m/>
    <x v="1"/>
    <n v="92655.62"/>
  </r>
  <r>
    <s v="Отчет комиссионера о продажах"/>
    <n v="45"/>
    <m/>
    <d v="2021-06-30T00:00:00"/>
    <d v="2021-08-14T19:04:30"/>
    <n v="30.205208333332848"/>
    <s v="31-45 days"/>
    <s v="Current"/>
    <s v="Сток Dr.Martens"/>
    <s v="Dr.Martens"/>
    <n v="12387"/>
    <s v="Отчет комиссионера о продажах УТ000000309 от 30.06.2021 19:04:30"/>
    <x v="22"/>
    <s v="30.06.2021 19:04:30"/>
    <s v="ОПТ Сток Dr.Martens"/>
    <m/>
    <s v="№ К 130-04-20 от 7 мая 2020 г."/>
    <s v="Договор №032/2012 от 01 марта 2012"/>
    <m/>
    <m/>
    <m/>
    <m/>
    <x v="1"/>
    <n v="12387"/>
  </r>
  <r>
    <s v="Отчет комиссионера о продажах"/>
    <n v="45"/>
    <m/>
    <d v="2021-06-30T00:00:00"/>
    <d v="2021-08-14T19:05:27"/>
    <n v="30.204548611109203"/>
    <s v="31-45 days"/>
    <s v="Current"/>
    <s v="Сток Saucony"/>
    <s v="Saucony"/>
    <n v="496538.8"/>
    <s v="Отчет комиссионера о продажах УТ000000310 от 30.06.2021 19:05:27"/>
    <x v="22"/>
    <s v="30.06.2021 19:05:27"/>
    <s v="ОПТ Сток Saucony"/>
    <m/>
    <s v="№ К 130-04-20 от 7 мая 2020 г."/>
    <s v="№ 435/2020 от 16.09.2020"/>
    <m/>
    <m/>
    <m/>
    <m/>
    <x v="1"/>
    <n v="496538.8"/>
  </r>
  <r>
    <s v="Отчет комиссионера о продажах"/>
    <n v="45"/>
    <m/>
    <d v="2021-06-30T00:00:00"/>
    <d v="2021-08-14T19:06:26"/>
    <n v="30.203865740739275"/>
    <s v="31-45 days"/>
    <s v="Current"/>
    <s v="Сток UGG"/>
    <s v="UGG"/>
    <n v="187068"/>
    <s v="Отчет комиссионера о продажах УТ000000311 от 30.06.2021 19:06:26"/>
    <x v="22"/>
    <s v="30.06.2021 19:06:26"/>
    <s v="ОПТ Сток UGG"/>
    <m/>
    <s v="№ К 130-04-20 от 7 мая 2020 г."/>
    <s v="№ 435/2020 от 16.09.2020"/>
    <m/>
    <m/>
    <m/>
    <m/>
    <x v="1"/>
    <n v="187068"/>
  </r>
  <r>
    <s v="Реализация товаров и услуг"/>
    <n v="95"/>
    <m/>
    <d v="2021-07-01T00:00:00"/>
    <d v="2021-10-04T12:33:37"/>
    <n v="-20.523344907407591"/>
    <s v="Current"/>
    <s v="Current"/>
    <s v="Сток Converse"/>
    <s v="Converse"/>
    <n v="334305"/>
    <s v="Реализация товаров и услуг УТ000016050 от 01.07.2021 12:33:37"/>
    <x v="21"/>
    <s v="01.07.2021 12:33:37"/>
    <s v="ОПТ Сток Converse"/>
    <s v="продажа, комиссия"/>
    <s v="№429/2020 от 22.06.2020"/>
    <s v="ИР-П 215/15 от 21.04.2015"/>
    <m/>
    <m/>
    <m/>
    <m/>
    <x v="1"/>
    <n v="334305"/>
  </r>
  <r>
    <s v="Реализация товаров и услуг"/>
    <n v="95"/>
    <m/>
    <d v="2021-07-01T00:00:00"/>
    <d v="2021-10-04T12:47:17"/>
    <n v="-20.532835648147739"/>
    <s v="Current"/>
    <s v="Current"/>
    <s v="Сток Converse"/>
    <s v="Converse"/>
    <n v="15505"/>
    <s v="Реализация товаров и услуг УТ000016051 от 01.07.2021 12:47:17"/>
    <x v="21"/>
    <s v="01.07.2021 12:47:17"/>
    <s v="ОПТ Сток Converse"/>
    <s v="продажа, комиссия"/>
    <s v="№429/2020 от 22.06.2020"/>
    <s v="ИР-П 215/15 от 21.04.2015"/>
    <m/>
    <m/>
    <m/>
    <m/>
    <x v="1"/>
    <n v="15505"/>
  </r>
  <r>
    <s v="Реализация товаров и услуг"/>
    <n v="95"/>
    <m/>
    <d v="2021-07-01T00:00:00"/>
    <d v="2021-10-04T13:12:35"/>
    <n v="-20.550405092595611"/>
    <s v="Current"/>
    <s v="Current"/>
    <s v="Сток Converse"/>
    <s v="Converse"/>
    <n v="36225"/>
    <s v="Реализация товаров и услуг УТ000016054 от 01.07.2021 13:12:35"/>
    <x v="21"/>
    <s v="01.07.2021 13:12:35"/>
    <s v="ОПТ Сток Converse"/>
    <s v="продажа, комиссия"/>
    <s v="№429/2020 от 22.06.2020"/>
    <s v="№429/2020 от 22.06.2020"/>
    <m/>
    <m/>
    <m/>
    <m/>
    <x v="1"/>
    <n v="36225"/>
  </r>
  <r>
    <s v="Реализация товаров и услуг"/>
    <n v="95"/>
    <m/>
    <d v="2021-07-01T00:00:00"/>
    <d v="2021-10-04T13:17:30"/>
    <n v="-20.553819444445253"/>
    <s v="Current"/>
    <s v="Current"/>
    <s v="UGG"/>
    <s v="UGG"/>
    <n v="68200"/>
    <s v="Реализация товаров и услуг УТ000016055 от 01.07.2021 13:17:30"/>
    <x v="21"/>
    <s v="01.07.2021 13:17:30"/>
    <s v="ОПТ UGG"/>
    <s v="продажа, комиссия"/>
    <s v="№429/2020 от 22.06.2020"/>
    <s v="№429/2020 от 22.06.2020"/>
    <m/>
    <m/>
    <m/>
    <m/>
    <x v="1"/>
    <n v="68200"/>
  </r>
  <r>
    <s v="Реализация товаров и услуг"/>
    <n v="95"/>
    <m/>
    <d v="2021-07-01T00:00:00"/>
    <d v="2021-10-04T13:26:34"/>
    <n v="-20.56011574074364"/>
    <s v="Current"/>
    <s v="Current"/>
    <s v="Сток Converse"/>
    <s v="Converse"/>
    <n v="2478195"/>
    <s v="Реализация товаров и услуг УТ000016056 от 01.07.2021 13:26:34"/>
    <x v="18"/>
    <s v="01.07.2021 13:26:34"/>
    <s v="ОПТ Сток Converse"/>
    <s v="продажа, комиссия"/>
    <s v="Договор № 195/2014 от 01.08.2014"/>
    <s v="№429/2020 от 22.06.2020"/>
    <m/>
    <m/>
    <m/>
    <m/>
    <x v="1"/>
    <n v="2478195"/>
  </r>
  <r>
    <s v="Реализация товаров и услуг"/>
    <n v="95"/>
    <m/>
    <d v="2021-07-01T00:00:00"/>
    <d v="2021-10-04T14:02:40"/>
    <n v="-20.585185185183946"/>
    <s v="Current"/>
    <s v="Current"/>
    <s v="Сток Converse"/>
    <s v="Converse"/>
    <n v="275220"/>
    <s v="Реализация товаров и услуг УТ000016059 от 01.07.2021 14:02:40"/>
    <x v="21"/>
    <s v="01.07.2021 14:02:40"/>
    <s v="ОПТ Сток Converse"/>
    <s v="продажа, комиссия"/>
    <s v="№429/2020 от 22.06.2020"/>
    <s v="№429/2020 от 22.06.2020"/>
    <m/>
    <m/>
    <m/>
    <m/>
    <x v="1"/>
    <n v="275220"/>
  </r>
  <r>
    <s v="Реализация товаров и услуг"/>
    <n v="95"/>
    <m/>
    <d v="2021-07-01T00:00:00"/>
    <d v="2021-10-04T14:38:05"/>
    <n v="-20.6097800925927"/>
    <s v="Current"/>
    <s v="Current"/>
    <s v="Dr.Martens"/>
    <s v="Dr.Martens"/>
    <n v="10320"/>
    <s v="Реализация товаров и услуг УТ000016064 от 01.07.2021 14:38:05"/>
    <x v="21"/>
    <s v="01.07.2021 14:38:05"/>
    <s v="ОПТ Dr.Martens"/>
    <s v="продажа, комиссия"/>
    <s v="№429/2020 от 22.06.2020"/>
    <s v="№429/2020 от 22.06.2020"/>
    <m/>
    <m/>
    <m/>
    <m/>
    <x v="1"/>
    <n v="10320"/>
  </r>
  <r>
    <s v="Реализация товаров и услуг"/>
    <n v="95"/>
    <m/>
    <d v="2021-07-01T00:00:00"/>
    <d v="2021-10-04T14:40:45"/>
    <n v="-20.611631944440887"/>
    <s v="Current"/>
    <s v="Current"/>
    <s v="Saucony"/>
    <s v="Saucony"/>
    <n v="9360"/>
    <s v="Реализация товаров и услуг УТ000016065 от 01.07.2021 14:40:45"/>
    <x v="21"/>
    <s v="01.07.2021 14:40:45"/>
    <s v="ОПТ Saucony"/>
    <s v="продажа, комиссия"/>
    <s v="№429/2020 от 22.06.2020"/>
    <s v="№429/2020 от 22.06.2020"/>
    <m/>
    <m/>
    <m/>
    <m/>
    <x v="1"/>
    <n v="9360"/>
  </r>
  <r>
    <s v="Реализация товаров и услуг"/>
    <n v="95"/>
    <m/>
    <d v="2021-07-01T00:00:00"/>
    <d v="2021-10-04T15:33:57"/>
    <n v="-20.648576388892252"/>
    <s v="Current"/>
    <s v="Current"/>
    <s v="Saucony"/>
    <s v="Saucony"/>
    <n v="34080"/>
    <s v="Реализация товаров и услуг УТ000016067 от 01.07.2021 15:33:57"/>
    <x v="21"/>
    <s v="01.07.2021 15:33:57"/>
    <s v="ОПТ Saucony"/>
    <s v="продажа, комиссия"/>
    <s v="№429/2020 от 22.06.2020"/>
    <s v="№429/2020 от 22.06.2020"/>
    <m/>
    <m/>
    <m/>
    <m/>
    <x v="1"/>
    <n v="34080"/>
  </r>
  <r>
    <s v="Реализация товаров и услуг"/>
    <n v="95"/>
    <m/>
    <d v="2021-07-01T00:00:00"/>
    <d v="2021-10-04T17:19:34"/>
    <n v="-20.721921296295477"/>
    <s v="Current"/>
    <s v="Current"/>
    <s v="Сток Dr.Martens"/>
    <s v="Dr.Martens"/>
    <n v="44520"/>
    <s v="Реализация товаров и услуг УТ000016075 от 01.07.2021 17:19:34"/>
    <x v="21"/>
    <s v="01.07.2021 17:19:34"/>
    <s v="ОПТ Сток Dr.Martens"/>
    <s v="продажа, комиссия"/>
    <s v="№429/2020 от 22.06.2020"/>
    <s v="№429/2020 от 22.06.2020"/>
    <m/>
    <m/>
    <m/>
    <m/>
    <x v="1"/>
    <n v="44520"/>
  </r>
  <r>
    <s v="Реализация товаров и услуг"/>
    <n v="95"/>
    <m/>
    <d v="2021-07-08T00:00:00"/>
    <d v="2021-10-11T13:49:28"/>
    <n v="-27.576018518520868"/>
    <s v="Current"/>
    <s v="Current"/>
    <s v="Converse"/>
    <s v="Converse"/>
    <n v="162378"/>
    <s v="Реализация товаров и услуг УТ000016867 от 08.07.2021 13:49:28"/>
    <x v="13"/>
    <s v="08.07.2021 13:49:28"/>
    <s v="ОПТ Converse"/>
    <s v="продажа, комиссия"/>
    <s v="Договор 212/2014 от 01.10.2014"/>
    <s v="№429/2020 от 22.06.2020"/>
    <m/>
    <m/>
    <m/>
    <m/>
    <x v="1"/>
    <n v="162378"/>
  </r>
  <r>
    <s v="Реализация товаров и услуг"/>
    <n v="65"/>
    <m/>
    <d v="2021-07-14T00:00:00"/>
    <d v="2021-09-17T13:18:35"/>
    <n v="-3.5545717592613073"/>
    <s v="Current"/>
    <s v="Current"/>
    <s v="Converse"/>
    <s v="Converse"/>
    <n v="0.13"/>
    <s v="Реализация товаров и услуг УТ000017483 от 14.07.2021 13:18:35"/>
    <x v="10"/>
    <s v="14.07.2021 13:18:35"/>
    <s v="ОПТ Converse"/>
    <s v="продажа, комиссия"/>
    <s v="Договор №032/2012 от 01 марта 2012"/>
    <s v="Договор 212/2014 от 01.10.2014"/>
    <m/>
    <m/>
    <m/>
    <m/>
    <x v="1"/>
    <n v="0.13"/>
  </r>
  <r>
    <s v="Реализация товаров и услуг"/>
    <n v="95"/>
    <m/>
    <d v="2021-07-16T00:00:00"/>
    <d v="2021-10-19T10:37:31"/>
    <n v="-35.442719907405262"/>
    <s v="Current"/>
    <s v="Current"/>
    <s v="Сток Converse"/>
    <s v="Converse"/>
    <n v="683958"/>
    <s v="Реализация товаров и услуг УТ000017795 от 16.07.2021 10:37:31"/>
    <x v="18"/>
    <s v="16.07.2021 10:37:31"/>
    <s v="ОПТ Сток Converse"/>
    <s v="продажа, комиссия"/>
    <s v="Договор № 195/2014 от 01.08.2014"/>
    <s v="Договор 212/2014 от 01.10.2014"/>
    <m/>
    <m/>
    <m/>
    <m/>
    <x v="1"/>
    <n v="683958"/>
  </r>
  <r>
    <s v="Реализация товаров и услуг"/>
    <n v="95"/>
    <m/>
    <d v="2021-07-16T00:00:00"/>
    <d v="2021-10-19T10:39:17"/>
    <n v="-35.443946759260143"/>
    <s v="Current"/>
    <s v="Current"/>
    <s v="Converse"/>
    <s v="Converse"/>
    <n v="3441892"/>
    <s v="Реализация товаров и услуг УТ000017796 от 16.07.2021 10:39:17"/>
    <x v="18"/>
    <s v="16.07.2021 10:39:17"/>
    <s v="ОПТ Converse"/>
    <s v="продажа, комиссия"/>
    <s v="Договор № 195/2014 от 01.08.2014"/>
    <s v="Договор № 195/2014 от 01.08.2014"/>
    <m/>
    <m/>
    <m/>
    <m/>
    <x v="1"/>
    <n v="3441892"/>
  </r>
  <r>
    <s v="Реализация товаров и услуг"/>
    <n v="65"/>
    <m/>
    <d v="2021-07-19T00:00:00"/>
    <d v="2021-09-22T13:52:21"/>
    <n v="-8.578020833330811"/>
    <s v="Advance"/>
    <s v="Advance"/>
    <s v="Сток Converse"/>
    <s v="Converse"/>
    <n v="-51660"/>
    <s v="Реализация товаров и услуг УТ000018149 от 19.07.2021 13:52:21"/>
    <x v="25"/>
    <s v="19.07.2021 13:52:21"/>
    <s v="ОПТ Сток Converse"/>
    <s v="продажа, комиссия"/>
    <s v="№ 236/2015 от 27.04.2015"/>
    <s v="Договор № 195/2014 от 01.08.2014"/>
    <m/>
    <m/>
    <m/>
    <m/>
    <x v="0"/>
    <n v="-51660"/>
  </r>
  <r>
    <s v="Реализация товаров и услуг"/>
    <n v="65"/>
    <m/>
    <d v="2021-07-19T00:00:00"/>
    <d v="2021-09-22T16:45:35"/>
    <n v="-8.6983217592569417"/>
    <s v="Current"/>
    <s v="Current"/>
    <s v="Converse"/>
    <s v="Converse"/>
    <n v="2134890"/>
    <s v="Реализация товаров и услуг УТ000018162 от 19.07.2021 16:45:35"/>
    <x v="10"/>
    <s v="19.07.2021 16:45:35"/>
    <s v="ОПТ Converse"/>
    <s v="продажа, комиссия"/>
    <s v="Договор №032/2012 от 01 марта 2012"/>
    <s v="№ К 130-04-20 от 7 мая 2020 г."/>
    <m/>
    <m/>
    <m/>
    <m/>
    <x v="1"/>
    <n v="2134890"/>
  </r>
  <r>
    <s v="Реализация товаров и услуг"/>
    <n v="0"/>
    <m/>
    <d v="2021-07-21T00:00:00"/>
    <d v="2021-07-21T11:42:32"/>
    <n v="54.512129629627452"/>
    <s v="Advance"/>
    <s v="Advance"/>
    <s v="Сток Converse"/>
    <s v="Converse"/>
    <n v="-398"/>
    <s v="Реализация товаров и услуг УТ000018448 от 21.07.2021 11:42:32"/>
    <x v="24"/>
    <s v="21.07.2021 11:42:32"/>
    <s v="ОПТ Сток Converse"/>
    <s v="продажа, комиссия"/>
    <s v="061/2012 от 15 июня 2012"/>
    <s v="№ К 130-04-20 от 7 мая 2020 г."/>
    <m/>
    <m/>
    <m/>
    <m/>
    <x v="0"/>
    <n v="-398"/>
  </r>
  <r>
    <s v="Реализация товаров и услуг"/>
    <n v="95"/>
    <m/>
    <d v="2021-07-22T00:00:00"/>
    <d v="2021-10-25T15:18:36"/>
    <n v="-41.63791666666657"/>
    <s v="Current"/>
    <s v="Current"/>
    <s v="Сток Converse"/>
    <s v="Converse"/>
    <n v="4657005"/>
    <s v="Реализация товаров и услуг УТ000018645 от 22.07.2021 15:18:36"/>
    <x v="18"/>
    <s v="22.07.2021 15:18:36"/>
    <s v="ОПТ Сток Converse"/>
    <s v="продажа, комиссия"/>
    <s v="Договор № 195/2014 от 01.08.2014"/>
    <s v="Оферта"/>
    <m/>
    <m/>
    <m/>
    <m/>
    <x v="1"/>
    <n v="4657005"/>
  </r>
  <r>
    <s v="Реализация товаров и услуг"/>
    <n v="65"/>
    <m/>
    <d v="2021-07-28T00:00:00"/>
    <d v="2021-10-01T15:40:27"/>
    <n v="-17.653090277781303"/>
    <s v="Current"/>
    <s v="Current"/>
    <s v="Converse"/>
    <s v="Converse"/>
    <n v="1149888.8"/>
    <s v="Реализация товаров и услуг УТ000018784 от 28.07.2021 15:40:27"/>
    <x v="10"/>
    <s v="28.07.2021 15:40:27"/>
    <s v="ОПТ Converse"/>
    <s v="продажа, комиссия"/>
    <s v="Договор №032/2012 от 01 марта 2012"/>
    <s v="Оферта"/>
    <m/>
    <m/>
    <m/>
    <m/>
    <x v="1"/>
    <n v="1149888.8"/>
  </r>
  <r>
    <s v="Реализация товаров и услуг"/>
    <n v="95"/>
    <m/>
    <d v="2021-07-29T00:00:00"/>
    <d v="2021-11-01T14:02:12"/>
    <n v="-48.584861111114151"/>
    <s v="Current"/>
    <s v="Current"/>
    <s v="Converse"/>
    <s v="Converse"/>
    <n v="16982721"/>
    <s v="Реализация товаров и услуг УТ000018788 от 29.07.2021 14:02:12"/>
    <x v="18"/>
    <s v="29.07.2021 14:02:12"/>
    <s v="ОПТ Converse"/>
    <s v="продажа, комиссия"/>
    <s v="Договор № 195/2014 от 01.08.2014"/>
    <s v="Оферта"/>
    <m/>
    <m/>
    <m/>
    <m/>
    <x v="1"/>
    <n v="16982721"/>
  </r>
  <r>
    <s v="Реализация товаров и услуг"/>
    <n v="65"/>
    <m/>
    <d v="2021-07-29T00:00:00"/>
    <d v="2021-10-02T17:02:08"/>
    <n v="-18.709814814814308"/>
    <s v="Current"/>
    <s v="Current"/>
    <s v="Converse"/>
    <s v="Converse"/>
    <n v="210450"/>
    <s v="Реализация товаров и услуг УТ000018792 от 29.07.2021 17:02:08"/>
    <x v="15"/>
    <s v="29.07.2021 17:02:08"/>
    <s v="ОПТ Converse"/>
    <s v="продажа, комиссия"/>
    <s v="ИР-П 215/15 от 21.04.2015"/>
    <s v="Договор №032/2012 от 01 марта 2012"/>
    <m/>
    <m/>
    <m/>
    <m/>
    <x v="1"/>
    <n v="210450"/>
  </r>
  <r>
    <s v="Реализация товаров и услуг"/>
    <n v="65"/>
    <m/>
    <d v="2021-07-29T00:00:00"/>
    <d v="2021-10-02T17:03:35"/>
    <n v="-18.710821759261307"/>
    <s v="Current"/>
    <s v="Current"/>
    <s v="Converse"/>
    <s v="Converse"/>
    <n v="453302.4"/>
    <s v="Реализация товаров и услуг УТ000018791 от 29.07.2021 17:03:35"/>
    <x v="15"/>
    <s v="29.07.2021 17:03:35"/>
    <s v="ОПТ Converse"/>
    <s v="продажа, комиссия"/>
    <s v="ИР-П 215/15 от 21.04.2015"/>
    <s v="Договор № 195/2014 от 01.08.2014"/>
    <m/>
    <m/>
    <m/>
    <m/>
    <x v="1"/>
    <n v="453302.4"/>
  </r>
  <r>
    <s v="Реализация товаров и услуг"/>
    <n v="65"/>
    <m/>
    <d v="2021-07-29T00:00:00"/>
    <d v="2021-10-02T17:07:48"/>
    <n v="-18.713750000002619"/>
    <s v="Current"/>
    <s v="Current"/>
    <s v="Converse"/>
    <s v="Converse"/>
    <n v="657478"/>
    <s v="Реализация товаров и услуг УТ000018790 от 29.07.2021 17:07:48"/>
    <x v="15"/>
    <s v="29.07.2021 17:07:48"/>
    <s v="ОПТ Converse"/>
    <s v="продажа, комиссия"/>
    <s v="ИР-П 215/15 от 21.04.2015"/>
    <s v="Договор № 195/2014 от 01.08.2014"/>
    <m/>
    <m/>
    <m/>
    <m/>
    <x v="1"/>
    <n v="657478"/>
  </r>
  <r>
    <s v="Реализация товаров и услуг"/>
    <n v="0"/>
    <m/>
    <d v="2021-07-30T00:00:00"/>
    <d v="2021-07-30T15:00:13"/>
    <n v="45.374849537038244"/>
    <s v="46-90 days"/>
    <s v="Current"/>
    <s v="Сток Dr.Martens"/>
    <s v="Dr.Martens"/>
    <n v="0.8"/>
    <s v="Реализация товаров и услуг УТ000018811 от 30.07.2021 15:00:13"/>
    <x v="26"/>
    <s v="30.07.2021 15:00:13"/>
    <s v="ОПТ Сток Dr.Martens"/>
    <s v="продажа, комиссия"/>
    <s v="№ 465/2021 от 21.06.2021"/>
    <s v="Договор 212/2014 от 01.10.2014"/>
    <m/>
    <m/>
    <m/>
    <m/>
    <x v="1"/>
    <n v="0.8"/>
  </r>
  <r>
    <s v="Платежное поручение входящее"/>
    <n v="0"/>
    <m/>
    <d v="2021-07-30T00:00:00"/>
    <d v="2021-07-30T17:00:00"/>
    <n v="45.291666666664241"/>
    <s v="Advance"/>
    <s v="Advance"/>
    <s v="Сток Converse"/>
    <s v="Converse"/>
    <n v="-5200"/>
    <s v="Платежное поручение входящее 00BF-005350 от 30.07.2021 17:00:00"/>
    <x v="27"/>
    <s v="30.07.2021 17:00:00"/>
    <s v="ОПТ Сток Converse"/>
    <s v="Оплата от покупателя"/>
    <s v="Основной договор"/>
    <s v="Договор №032/2012 от 01 марта 2012"/>
    <m/>
    <m/>
    <m/>
    <m/>
    <x v="0"/>
    <n v="-5200"/>
  </r>
  <r>
    <s v="Отчет комиссионера о продажах"/>
    <n v="45"/>
    <m/>
    <d v="2021-07-31T00:00:00"/>
    <d v="2021-09-14T16:27:49"/>
    <n v="-0.68598379629838746"/>
    <s v="Current"/>
    <s v="Current"/>
    <s v="Сток Converse"/>
    <s v="Converse"/>
    <n v="47143"/>
    <s v="Отчет комиссионера о продажах УТ000000340 от 31.07.2021 16:27:49"/>
    <x v="22"/>
    <s v="31.07.2021 16:27:49"/>
    <s v="ОПТ Сток Converse"/>
    <m/>
    <s v="№ К 130-04-20 от 7 мая 2020 г."/>
    <s v="Договор №032/2012 от 01 марта 2012"/>
    <m/>
    <m/>
    <m/>
    <m/>
    <x v="1"/>
    <n v="47143"/>
  </r>
  <r>
    <s v="Отчет комиссионера о продажах"/>
    <n v="45"/>
    <m/>
    <d v="2021-07-31T00:00:00"/>
    <d v="2021-09-14T16:29:01"/>
    <n v="-0.68681712963007158"/>
    <s v="Current"/>
    <s v="Current"/>
    <s v="Сток Dr.Martens"/>
    <s v="Dr.Martens"/>
    <n v="5317"/>
    <s v="Отчет комиссионера о продажах УТ000000341 от 31.07.2021 16:29:01"/>
    <x v="22"/>
    <s v="31.07.2021 16:29:01"/>
    <s v="ОПТ Сток Dr.Martens"/>
    <m/>
    <s v="№ К 130-04-20 от 7 мая 2020 г."/>
    <s v="Договор № 195/2014 от 01.08.2014"/>
    <m/>
    <m/>
    <m/>
    <m/>
    <x v="1"/>
    <n v="5317"/>
  </r>
  <r>
    <s v="Отчет комиссионера о продажах"/>
    <n v="45"/>
    <m/>
    <d v="2021-07-31T00:00:00"/>
    <d v="2021-09-14T16:30:07"/>
    <n v="-0.68758101851562969"/>
    <s v="Current"/>
    <s v="Current"/>
    <s v="Сток Saucony"/>
    <s v="Saucony"/>
    <n v="348477.93"/>
    <s v="Отчет комиссионера о продажах УТ000000342 от 31.07.2021 16:30:07"/>
    <x v="22"/>
    <s v="31.07.2021 16:30:07"/>
    <s v="ОПТ Сток Saucony"/>
    <m/>
    <s v="№ К 130-04-20 от 7 мая 2020 г."/>
    <s v="Договор № 195/2014 от 01.08.2014"/>
    <m/>
    <m/>
    <m/>
    <m/>
    <x v="1"/>
    <n v="348477.93"/>
  </r>
  <r>
    <s v="Отчет комиссионера о продажах"/>
    <n v="45"/>
    <m/>
    <d v="2021-07-31T00:00:00"/>
    <d v="2021-09-14T16:30:58"/>
    <n v="-0.68817129629314877"/>
    <s v="Current"/>
    <s v="Current"/>
    <s v="Сток UGG"/>
    <s v="UGG"/>
    <n v="332261"/>
    <s v="Отчет комиссионера о продажах УТ000000343 от 31.07.2021 16:30:58"/>
    <x v="22"/>
    <s v="31.07.2021 16:30:58"/>
    <s v="ОПТ Сток UGG"/>
    <m/>
    <s v="№ К 130-04-20 от 7 мая 2020 г."/>
    <s v="Договор № 195/2014 от 01.08.2014"/>
    <m/>
    <m/>
    <m/>
    <m/>
    <x v="1"/>
    <n v="332261"/>
  </r>
  <r>
    <s v="Отчет комиссионера о продажах"/>
    <n v="38"/>
    <m/>
    <d v="2021-07-31T00:00:00"/>
    <d v="2021-09-07T17:04:41"/>
    <n v="6.2884143518531346"/>
    <s v="1-14 days"/>
    <s v="Current"/>
    <s v="Сток Havaianas"/>
    <s v="Havaianas"/>
    <n v="6879.23"/>
    <s v="Отчет комиссионера о продажах УТ000000349 от 31.07.2021 17:04:41"/>
    <x v="13"/>
    <s v="31.07.2021 17:04:41"/>
    <s v="ОПТ Сток Havaianas"/>
    <m/>
    <s v="Оферта"/>
    <s v="№ 435/2020 от 16.09.2020"/>
    <m/>
    <m/>
    <m/>
    <m/>
    <x v="1"/>
    <n v="6879.23"/>
  </r>
  <r>
    <s v="Реализация товаров и услуг"/>
    <n v="65"/>
    <m/>
    <d v="2021-08-05T00:00:00"/>
    <d v="2021-10-09T12:34:40"/>
    <n v="-25.524074074077362"/>
    <s v="Current"/>
    <s v="Current"/>
    <s v="UGG"/>
    <s v="UGG"/>
    <n v="3267308"/>
    <s v="Реализация товаров и услуг УТ000018841 от 05.08.2021 12:34:40"/>
    <x v="10"/>
    <s v="05.08.2021 12:34:40"/>
    <s v="ОПТ UGG"/>
    <s v="продажа, комиссия"/>
    <s v="Договор №032/2012 от 01 марта 2012"/>
    <s v="Договор 212/2014 от 01.10.2014"/>
    <m/>
    <m/>
    <m/>
    <m/>
    <x v="1"/>
    <n v="3267308"/>
  </r>
  <r>
    <s v="Реализация товаров и услуг"/>
    <n v="65"/>
    <m/>
    <d v="2021-08-05T00:00:00"/>
    <d v="2021-10-09T12:36:39"/>
    <n v="-25.525451388886722"/>
    <s v="Current"/>
    <s v="Current"/>
    <s v="Converse"/>
    <s v="Converse"/>
    <n v="5276835"/>
    <s v="Реализация товаров и услуг УТ000018842 от 05.08.2021 12:36:39"/>
    <x v="10"/>
    <s v="05.08.2021 12:36:39"/>
    <s v="ОПТ Converse"/>
    <s v="продажа, комиссия"/>
    <s v="Договор №032/2012 от 01 марта 2012"/>
    <s v="ИР-П 215/15 от 21.04.2015"/>
    <m/>
    <m/>
    <m/>
    <m/>
    <x v="1"/>
    <n v="5276835"/>
  </r>
  <r>
    <s v="Реализация товаров и услуг"/>
    <n v="65"/>
    <m/>
    <d v="2021-08-05T00:00:00"/>
    <d v="2021-10-09T13:10:51"/>
    <n v="-25.549201388887013"/>
    <s v="Current"/>
    <s v="Current"/>
    <s v="UGG"/>
    <s v="UGG"/>
    <n v="2612808"/>
    <s v="Реализация товаров и услуг УТ000018840 от 05.08.2021 13:10:51"/>
    <x v="10"/>
    <s v="05.08.2021 13:10:51"/>
    <s v="ОПТ UGG"/>
    <s v="продажа, комиссия"/>
    <s v="Договор №032/2012 от 01 марта 2012"/>
    <s v="ИР-П 215/15 от 21.04.2015"/>
    <m/>
    <m/>
    <m/>
    <m/>
    <x v="1"/>
    <n v="2612808"/>
  </r>
  <r>
    <s v="Реализация товаров и услуг"/>
    <n v="65"/>
    <m/>
    <d v="2021-08-12T00:00:00"/>
    <d v="2021-10-16T13:37:54"/>
    <n v="-32.567986111112987"/>
    <s v="Current"/>
    <s v="Current"/>
    <s v="Converse"/>
    <s v="Converse"/>
    <n v="4173210"/>
    <s v="Реализация товаров и услуг УТ000018870 от 12.08.2021 13:37:54"/>
    <x v="10"/>
    <s v="12.08.2021 13:37:54"/>
    <s v="ОПТ Converse"/>
    <s v="продажа, комиссия"/>
    <s v="Договор №032/2012 от 01 марта 2012"/>
    <s v="Договор №032/2012 от 01 марта 2012"/>
    <m/>
    <m/>
    <m/>
    <m/>
    <x v="1"/>
    <n v="4173210"/>
  </r>
  <r>
    <s v="Платежное поручение входящее"/>
    <n v="0"/>
    <m/>
    <d v="2021-08-14T00:00:00"/>
    <d v="2021-08-14T17:00:00"/>
    <n v="30.291666666664241"/>
    <s v="Advance"/>
    <s v="Advance"/>
    <s v="Сток Converse"/>
    <s v="Converse"/>
    <n v="-64.540000000000006"/>
    <s v="Платежное поручение входящее 00BF-005750 от 14.08.2021 17:00:00"/>
    <x v="23"/>
    <s v="14.08.2021 17:00:00"/>
    <s v="ОПТ Сток Converse"/>
    <s v="Оплата от покупателя"/>
    <s v="№242/2015 от 18.06.2015"/>
    <s v="Договор №032/2012 от 01 марта 2012"/>
    <m/>
    <m/>
    <m/>
    <m/>
    <x v="0"/>
    <n v="-64.540000000000006"/>
  </r>
  <r>
    <s v="Реализация товаров и услуг"/>
    <n v="73"/>
    <m/>
    <d v="2021-08-16T00:00:00"/>
    <d v="2021-10-28T10:40:16"/>
    <n v="-44.444629629630072"/>
    <s v="Current"/>
    <s v="Current"/>
    <s v="Converse"/>
    <s v="Converse"/>
    <n v="440214.4"/>
    <s v="Реализация товаров и услуг УТ000018889 от 16.08.2021 10:40:16"/>
    <x v="28"/>
    <s v="16.08.2021 10:40:16"/>
    <s v="ОПТ Converse"/>
    <s v="продажа, комиссия"/>
    <s v="№149/2013 От 01.10.2013"/>
    <s v="№ 295/2016 от 14.12.2016"/>
    <m/>
    <m/>
    <m/>
    <m/>
    <x v="1"/>
    <n v="440214.4"/>
  </r>
  <r>
    <s v="Реализация товаров и услуг"/>
    <n v="65"/>
    <m/>
    <d v="2021-08-20T00:00:00"/>
    <d v="2021-10-24T00:00:00"/>
    <n v="-40"/>
    <s v="Current"/>
    <s v="Current"/>
    <s v="Сток Converse"/>
    <s v="Converse"/>
    <n v="1305045"/>
    <s v="Реализация товаров и услуг УТ000026361 от 20.08.2021 0:00:00"/>
    <x v="10"/>
    <s v="20.08.2021 0:00:00"/>
    <s v="ОПТ Сток Converse"/>
    <s v="продажа, комиссия"/>
    <s v="Договор №032/2012 от 01 марта 2012"/>
    <s v="Договор № 195/2014 от 01.08.2014"/>
    <m/>
    <m/>
    <m/>
    <m/>
    <x v="1"/>
    <n v="1305045"/>
  </r>
  <r>
    <s v="Реализация товаров и услуг"/>
    <n v="95"/>
    <m/>
    <d v="2021-08-20T00:00:00"/>
    <d v="2021-11-23T11:33:02"/>
    <n v="-70.481273148150649"/>
    <s v="Current"/>
    <s v="Current"/>
    <s v="Сток Saucony"/>
    <s v="Saucony"/>
    <n v="82992"/>
    <s v="Реализация товаров и услуг УТ000026219 от 20.08.2021 11:33:02"/>
    <x v="21"/>
    <s v="20.08.2021 11:33:02"/>
    <s v="ОПТ Сток Saucony"/>
    <s v="продажа, комиссия"/>
    <s v="№429/2020 от 22.06.2020"/>
    <s v="Договор № 195/2014 от 01.08.2014"/>
    <m/>
    <m/>
    <m/>
    <m/>
    <x v="1"/>
    <n v="82992"/>
  </r>
  <r>
    <s v="Реализация товаров и услуг"/>
    <n v="95"/>
    <m/>
    <d v="2021-08-20T00:00:00"/>
    <d v="2021-11-23T11:36:30"/>
    <n v="-70.483680555553292"/>
    <s v="Current"/>
    <s v="Current"/>
    <s v="Сток Saucony"/>
    <s v="Saucony"/>
    <n v="132080"/>
    <s v="Реализация товаров и услуг УТ000026235 от 20.08.2021 11:36:30"/>
    <x v="21"/>
    <s v="20.08.2021 11:36:30"/>
    <s v="ОПТ Сток Saucony"/>
    <s v="продажа, комиссия"/>
    <s v="№429/2020 от 22.06.2020"/>
    <s v="Договор № 195/2014 от 01.08.2014"/>
    <m/>
    <m/>
    <m/>
    <m/>
    <x v="1"/>
    <n v="132080"/>
  </r>
  <r>
    <s v="Реализация товаров и услуг"/>
    <n v="95"/>
    <m/>
    <d v="2021-08-20T00:00:00"/>
    <d v="2021-11-23T11:39:00"/>
    <n v="-70.485416666670062"/>
    <s v="Current"/>
    <s v="Current"/>
    <s v="Saucony"/>
    <s v="Saucony"/>
    <n v="187120"/>
    <s v="Реализация товаров и услуг УТ000026243 от 20.08.2021 11:39:00"/>
    <x v="21"/>
    <s v="20.08.2021 11:39:00"/>
    <s v="ОПТ Saucony"/>
    <s v="продажа, комиссия"/>
    <s v="№429/2020 от 22.06.2020"/>
    <s v="№429/2020 от 22.06.2020"/>
    <m/>
    <m/>
    <m/>
    <m/>
    <x v="1"/>
    <n v="187120"/>
  </r>
  <r>
    <s v="Реализация товаров и услуг"/>
    <n v="95"/>
    <m/>
    <d v="2021-08-20T00:00:00"/>
    <d v="2021-11-23T11:40:29"/>
    <n v="-70.486446759256069"/>
    <s v="Current"/>
    <s v="Current"/>
    <s v="Saucony"/>
    <s v="Saucony"/>
    <n v="115400"/>
    <s v="Реализация товаров и услуг УТ000026251 от 20.08.2021 11:40:29"/>
    <x v="21"/>
    <s v="20.08.2021 11:40:29"/>
    <s v="ОПТ Saucony"/>
    <s v="продажа, комиссия"/>
    <s v="№429/2020 от 22.06.2020"/>
    <s v="№429/2020 от 22.06.2020"/>
    <m/>
    <m/>
    <m/>
    <m/>
    <x v="1"/>
    <n v="115400"/>
  </r>
  <r>
    <s v="Реализация товаров и услуг"/>
    <n v="95"/>
    <m/>
    <d v="2021-08-20T00:00:00"/>
    <d v="2021-11-23T11:51:07"/>
    <n v="-70.493831018517085"/>
    <s v="Current"/>
    <s v="Current"/>
    <s v="Dr.Martens"/>
    <s v="Dr.Martens"/>
    <n v="132080"/>
    <s v="Реализация товаров и услуг УТ000026296 от 20.08.2021 11:51:07"/>
    <x v="21"/>
    <s v="20.08.2021 11:51:07"/>
    <s v="ОПТ Dr.Martens"/>
    <s v="продажа, комиссия"/>
    <s v="№429/2020 от 22.06.2020"/>
    <s v="№429/2020 от 22.06.2020"/>
    <m/>
    <m/>
    <m/>
    <m/>
    <x v="1"/>
    <n v="132080"/>
  </r>
  <r>
    <s v="Реализация товаров и услуг"/>
    <n v="95"/>
    <m/>
    <d v="2021-08-20T00:00:00"/>
    <d v="2021-11-23T12:00:00"/>
    <n v="-70.5"/>
    <s v="Current"/>
    <s v="Current"/>
    <s v="Dr.Martens"/>
    <s v="Dr.Martens"/>
    <n v="354480"/>
    <s v="Реализация товаров и услуг УТ000026306 от 20.08.2021 12:00:00"/>
    <x v="21"/>
    <s v="20.08.2021 12:00:00"/>
    <s v="ОПТ Dr.Martens"/>
    <s v="продажа, комиссия"/>
    <s v="№429/2020 от 22.06.2020"/>
    <s v="№429/2020 от 22.06.2020"/>
    <m/>
    <m/>
    <m/>
    <m/>
    <x v="1"/>
    <n v="354480"/>
  </r>
  <r>
    <s v="Реализация товаров и услуг"/>
    <n v="95"/>
    <m/>
    <d v="2021-08-20T00:00:00"/>
    <d v="2021-11-23T12:27:52"/>
    <n v="-70.519351851849933"/>
    <s v="Current"/>
    <s v="Current"/>
    <s v="Сток Converse"/>
    <s v="Converse"/>
    <n v="93677.5"/>
    <s v="Реализация товаров и услуг УТ000026355 от 20.08.2021 12:27:52"/>
    <x v="21"/>
    <s v="20.08.2021 12:27:52"/>
    <s v="ОПТ Сток Converse"/>
    <s v="продажа, комиссия"/>
    <s v="№429/2020 от 22.06.2020"/>
    <s v="№429/2020 от 22.06.2020"/>
    <m/>
    <m/>
    <m/>
    <m/>
    <x v="1"/>
    <n v="93677.5"/>
  </r>
  <r>
    <s v="Реализация товаров и услуг"/>
    <n v="95"/>
    <m/>
    <d v="2021-08-20T00:00:00"/>
    <d v="2021-11-23T12:34:11"/>
    <n v="-70.523738425923511"/>
    <s v="Current"/>
    <s v="Current"/>
    <s v="Сток Converse"/>
    <s v="Converse"/>
    <n v="104877.5"/>
    <s v="Реализация товаров и услуг УТ000026356 от 20.08.2021 12:34:11"/>
    <x v="21"/>
    <s v="20.08.2021 12:34:11"/>
    <s v="ОПТ Сток Converse"/>
    <s v="продажа, комиссия"/>
    <s v="№429/2020 от 22.06.2020"/>
    <s v="№429/2020 от 22.06.2020"/>
    <m/>
    <m/>
    <m/>
    <m/>
    <x v="1"/>
    <n v="104877.5"/>
  </r>
  <r>
    <s v="Реализация товаров и услуг"/>
    <n v="95"/>
    <m/>
    <d v="2021-08-20T00:00:00"/>
    <d v="2021-11-23T12:42:12"/>
    <n v="-70.529305555552128"/>
    <s v="Current"/>
    <s v="Current"/>
    <s v="Converse"/>
    <s v="Converse"/>
    <n v="33660"/>
    <s v="Реализация товаров и услуг УТ000026357 от 20.08.2021 12:42:12"/>
    <x v="21"/>
    <s v="20.08.2021 12:42:12"/>
    <s v="ОПТ Converse"/>
    <s v="продажа, комиссия"/>
    <s v="№429/2020 от 22.06.2020"/>
    <s v="№429/2020 от 22.06.2020"/>
    <m/>
    <m/>
    <m/>
    <m/>
    <x v="1"/>
    <n v="33660"/>
  </r>
  <r>
    <s v="Реализация товаров и услуг"/>
    <n v="95"/>
    <m/>
    <d v="2021-08-20T00:00:00"/>
    <d v="2021-11-23T12:45:40"/>
    <n v="-70.531712962962047"/>
    <s v="Current"/>
    <s v="Current"/>
    <s v="Сток Converse"/>
    <s v="Converse"/>
    <n v="297405"/>
    <s v="Реализация товаров и услуг УТ000026358 от 20.08.2021 12:45:40"/>
    <x v="21"/>
    <s v="20.08.2021 12:45:40"/>
    <s v="ОПТ Сток Converse"/>
    <s v="продажа, комиссия"/>
    <s v="№429/2020 от 22.06.2020"/>
    <s v="ИР-П 215/15 от 21.04.2015"/>
    <m/>
    <m/>
    <m/>
    <m/>
    <x v="1"/>
    <n v="297405"/>
  </r>
  <r>
    <s v="Реализация товаров и услуг"/>
    <n v="95"/>
    <m/>
    <d v="2021-08-20T00:00:00"/>
    <d v="2021-11-23T14:11:33"/>
    <n v="-70.591354166666861"/>
    <s v="Current"/>
    <s v="Current"/>
    <s v="Сток Converse"/>
    <s v="Converse"/>
    <n v="81515"/>
    <s v="Реализация товаров и услуг УТ000026362 от 20.08.2021 14:11:33"/>
    <x v="21"/>
    <s v="20.08.2021 14:11:33"/>
    <s v="ОПТ Сток Converse"/>
    <s v="продажа, комиссия"/>
    <s v="№429/2020 от 22.06.2020"/>
    <s v="ИР-П 215/15 от 21.04.2015"/>
    <m/>
    <m/>
    <m/>
    <m/>
    <x v="1"/>
    <n v="81515"/>
  </r>
  <r>
    <s v="Реализация товаров и услуг"/>
    <n v="65"/>
    <m/>
    <d v="2021-08-23T00:00:00"/>
    <d v="2021-10-27T11:51:43"/>
    <n v="-43.494247685186565"/>
    <s v="Current"/>
    <s v="Current"/>
    <s v="UGG"/>
    <s v="UGG"/>
    <n v="6765792"/>
    <s v="Реализация товаров и услуг УТ000026724 от 23.08.2021 11:51:43"/>
    <x v="10"/>
    <s v="23.08.2021 11:51:43"/>
    <s v="ОПТ UGG"/>
    <s v="продажа, комиссия"/>
    <s v="Договор №032/2012 от 01 марта 2012"/>
    <s v="№ 236/2015 от 27.04.2015"/>
    <m/>
    <m/>
    <m/>
    <m/>
    <x v="1"/>
    <n v="6765792"/>
  </r>
  <r>
    <s v="Реализация товаров и услуг"/>
    <n v="65"/>
    <m/>
    <d v="2021-08-23T00:00:00"/>
    <d v="2021-10-27T11:54:34"/>
    <n v="-43.496226851850224"/>
    <s v="Current"/>
    <s v="Current"/>
    <s v="UGG"/>
    <s v="UGG"/>
    <n v="10590272"/>
    <s v="Реализация товаров и услуг УТ000026725 от 23.08.2021 11:54:34"/>
    <x v="10"/>
    <s v="23.08.2021 11:54:34"/>
    <s v="ОПТ UGG"/>
    <s v="продажа, комиссия"/>
    <s v="Договор №032/2012 от 01 марта 2012"/>
    <s v="№ К 130-04-20 от 7 мая 2020 г."/>
    <m/>
    <m/>
    <m/>
    <m/>
    <x v="1"/>
    <n v="10590272"/>
  </r>
  <r>
    <s v="Реализация товаров и услуг"/>
    <n v="65"/>
    <m/>
    <d v="2021-08-23T00:00:00"/>
    <d v="2021-10-27T11:56:13"/>
    <n v="-43.497372685182199"/>
    <s v="Current"/>
    <s v="Current"/>
    <s v="UGG"/>
    <s v="UGG"/>
    <n v="348480"/>
    <s v="Реализация товаров и услуг УТ000026726 от 23.08.2021 11:56:13"/>
    <x v="10"/>
    <s v="23.08.2021 11:56:13"/>
    <s v="ОПТ UGG"/>
    <s v="продажа, комиссия"/>
    <s v="Договор №032/2012 от 01 марта 2012"/>
    <s v="№ К 130-04-20 от 7 мая 2020 г."/>
    <m/>
    <m/>
    <m/>
    <m/>
    <x v="1"/>
    <n v="348480"/>
  </r>
  <r>
    <s v="Реализация товаров и услуг"/>
    <n v="65"/>
    <m/>
    <d v="2021-08-23T00:00:00"/>
    <d v="2021-10-27T12:00:08"/>
    <n v="-43.500092592592409"/>
    <s v="Current"/>
    <s v="Current"/>
    <s v="UGG"/>
    <s v="UGG"/>
    <n v="1496176"/>
    <s v="Реализация товаров и услуг УТ000026727 от 23.08.2021 12:00:08"/>
    <x v="10"/>
    <s v="23.08.2021 12:00:08"/>
    <s v="ОПТ UGG"/>
    <s v="продажа, комиссия"/>
    <s v="Договор №032/2012 от 01 марта 2012"/>
    <s v="№ К 130-04-20 от 7 мая 2020 г."/>
    <m/>
    <m/>
    <m/>
    <m/>
    <x v="1"/>
    <n v="1496176"/>
  </r>
  <r>
    <s v="Реализация товаров и услуг"/>
    <n v="65"/>
    <m/>
    <d v="2021-08-23T00:00:00"/>
    <d v="2021-10-27T12:01:54"/>
    <n v="-43.50131944444729"/>
    <s v="Current"/>
    <s v="Current"/>
    <s v="Dr.Martens"/>
    <s v="Dr.Martens"/>
    <n v="10728585"/>
    <s v="Реализация товаров и услуг УТ000026728 от 23.08.2021 12:01:54"/>
    <x v="10"/>
    <s v="23.08.2021 12:01:54"/>
    <s v="ОПТ Dr.Martens"/>
    <s v="продажа, комиссия"/>
    <s v="Договор №032/2012 от 01 марта 2012"/>
    <s v="№ К 130-04-20 от 7 мая 2020 г."/>
    <m/>
    <m/>
    <m/>
    <m/>
    <x v="1"/>
    <n v="10728585"/>
  </r>
  <r>
    <s v="Реализация товаров и услуг"/>
    <n v="95"/>
    <m/>
    <d v="2021-08-24T00:00:00"/>
    <d v="2021-11-27T11:54:22"/>
    <n v="-74.496087962965248"/>
    <s v="Current"/>
    <s v="Current"/>
    <s v="Сток Converse"/>
    <s v="Converse"/>
    <n v="279414"/>
    <s v="Реализация товаров и услуг УТ000026864 от 24.08.2021 11:54:22"/>
    <x v="18"/>
    <s v="24.08.2021 11:54:22"/>
    <s v="ОПТ Сток Converse"/>
    <s v="продажа, комиссия"/>
    <s v="Договор № 195/2014 от 01.08.2014"/>
    <s v="Оферта"/>
    <m/>
    <m/>
    <m/>
    <m/>
    <x v="1"/>
    <n v="279414"/>
  </r>
  <r>
    <s v="Реализация товаров и услуг"/>
    <n v="95"/>
    <m/>
    <d v="2021-08-24T00:00:00"/>
    <d v="2021-11-27T11:56:09"/>
    <n v="-74.497326388889633"/>
    <s v="Current"/>
    <s v="Current"/>
    <s v="Converse"/>
    <s v="Converse"/>
    <n v="355911"/>
    <s v="Реализация товаров и услуг УТ000026865 от 24.08.2021 11:56:09"/>
    <x v="18"/>
    <s v="24.08.2021 11:56:09"/>
    <s v="ОПТ Converse"/>
    <s v="продажа, комиссия"/>
    <s v="Договор № 195/2014 от 01.08.2014"/>
    <s v="Оферта"/>
    <m/>
    <m/>
    <m/>
    <m/>
    <x v="1"/>
    <n v="355911"/>
  </r>
  <r>
    <s v="Реализация товаров и услуг"/>
    <n v="65"/>
    <m/>
    <d v="2021-08-25T00:00:00"/>
    <d v="2021-10-29T13:35:23"/>
    <n v="-45.566238425926713"/>
    <s v="Current"/>
    <s v="Current"/>
    <s v="Converse"/>
    <s v="Converse"/>
    <n v="2282290"/>
    <s v="Реализация товаров и услуг УТ000027034 от 25.08.2021 13:35:23"/>
    <x v="15"/>
    <s v="25.08.2021 13:35:23"/>
    <s v="ОПТ Converse"/>
    <s v="продажа, комиссия"/>
    <s v="ИР-П 215/15 от 21.04.2015"/>
    <s v="Оферта"/>
    <m/>
    <m/>
    <m/>
    <m/>
    <x v="1"/>
    <n v="2282290"/>
  </r>
  <r>
    <s v="Реализация товаров и услуг"/>
    <n v="65"/>
    <m/>
    <d v="2021-08-25T00:00:00"/>
    <d v="2021-10-29T17:19:55"/>
    <n v="-45.722164351849642"/>
    <s v="Current"/>
    <s v="Current"/>
    <s v="Converse"/>
    <s v="Converse"/>
    <n v="332267.2"/>
    <s v="Реализация товаров и услуг УТ000027046 от 25.08.2021 17:19:55"/>
    <x v="15"/>
    <s v="25.08.2021 17:19:55"/>
    <s v="ОПТ Converse"/>
    <s v="продажа, комиссия"/>
    <s v="ИР-П 215/15 от 21.04.2015"/>
    <s v="Договор №032/2012 от 01 марта 2012"/>
    <m/>
    <m/>
    <m/>
    <m/>
    <x v="1"/>
    <n v="332267.2"/>
  </r>
  <r>
    <s v="Реализация товаров и услуг"/>
    <n v="45"/>
    <m/>
    <d v="2021-08-26T00:00:00"/>
    <d v="2021-10-10T11:33:57"/>
    <n v="-26.481909722220735"/>
    <s v="Current"/>
    <s v="Current"/>
    <s v="Dr.Martens"/>
    <s v="Dr.Martens"/>
    <n v="384048"/>
    <s v="Реализация товаров и услуг УТ000027195 от 26.08.2021 11:33:57"/>
    <x v="29"/>
    <s v="26.08.2021 11:33:57"/>
    <s v="ОПТ Dr.Martens"/>
    <s v="продажа, комиссия"/>
    <s v="№  б/н от 18.01.2017"/>
    <s v="Договор №032/2012 от 01 марта 2012"/>
    <m/>
    <m/>
    <m/>
    <m/>
    <x v="1"/>
    <n v="384048"/>
  </r>
  <r>
    <s v="Реализация товаров и услуг"/>
    <n v="45"/>
    <m/>
    <d v="2021-08-26T00:00:00"/>
    <d v="2021-10-10T11:35:20"/>
    <n v="-26.482870370367891"/>
    <s v="Current"/>
    <s v="Current"/>
    <s v="UGG"/>
    <s v="UGG"/>
    <n v="502600"/>
    <s v="Реализация товаров и услуг УТ000027196 от 26.08.2021 11:35:20"/>
    <x v="29"/>
    <s v="26.08.2021 11:35:20"/>
    <s v="ОПТ UGG"/>
    <s v="продажа, комиссия"/>
    <s v="№  б/н от 18.01.2017"/>
    <s v="№ 236/2015 от 27.04.2015"/>
    <m/>
    <m/>
    <m/>
    <m/>
    <x v="1"/>
    <n v="502600"/>
  </r>
  <r>
    <s v="Реализация товаров и услуг"/>
    <n v="95"/>
    <m/>
    <d v="2021-08-27T00:00:00"/>
    <d v="2021-11-30T09:57:25"/>
    <n v="-77.414872685185401"/>
    <s v="Current"/>
    <s v="Current"/>
    <s v="Converse"/>
    <s v="Converse"/>
    <n v="7556605"/>
    <s v="Реализация товаров и услуг УТ000027454 от 27.08.2021 9:57:25"/>
    <x v="18"/>
    <s v="27.08.2021 9:57:25"/>
    <s v="ОПТ Converse"/>
    <s v="продажа, комиссия"/>
    <s v="Договор № 195/2014 от 01.08.2014"/>
    <s v="№ 236/2015 от 27.04.2015"/>
    <m/>
    <m/>
    <m/>
    <m/>
    <x v="1"/>
    <n v="7556605"/>
  </r>
  <r>
    <s v="Реализация товаров и услуг"/>
    <n v="95"/>
    <m/>
    <d v="2021-08-27T00:00:00"/>
    <d v="2021-11-30T11:25:08"/>
    <n v="-77.475787037037662"/>
    <s v="Current"/>
    <s v="Current"/>
    <s v="Dr.Martens"/>
    <s v="Dr.Martens"/>
    <n v="6373080"/>
    <s v="Реализация товаров и услуг УТ000027456 от 27.08.2021 11:25:08"/>
    <x v="18"/>
    <s v="27.08.2021 11:25:08"/>
    <s v="ОПТ Dr.Martens"/>
    <s v="продажа, комиссия"/>
    <s v="Договор № 195/2014 от 01.08.2014"/>
    <s v="Договор № 195/2014 от 01.08.2014"/>
    <m/>
    <m/>
    <m/>
    <m/>
    <x v="1"/>
    <n v="6373080"/>
  </r>
  <r>
    <s v="Реализация товаров и услуг"/>
    <n v="73"/>
    <m/>
    <d v="2021-08-27T00:00:00"/>
    <d v="2021-11-08T11:31:15"/>
    <n v="-55.480034722218988"/>
    <s v="Current"/>
    <s v="Current"/>
    <s v="Сток Converse"/>
    <s v="Converse"/>
    <n v="71687"/>
    <s v="Реализация товаров и услуг УТ000027459 от 27.08.2021 11:31:15"/>
    <x v="28"/>
    <s v="27.08.2021 11:31:15"/>
    <s v="ОПТ Сток Converse"/>
    <s v="продажа, комиссия"/>
    <s v="№149/2013 От 01.10.2013"/>
    <s v="№242/2015 от 18.06.2015"/>
    <m/>
    <m/>
    <m/>
    <m/>
    <x v="1"/>
    <n v="71687"/>
  </r>
  <r>
    <s v="Реализация товаров и услуг"/>
    <n v="73"/>
    <m/>
    <d v="2021-08-27T00:00:00"/>
    <d v="2021-11-08T11:32:09"/>
    <n v="-55.480659722219571"/>
    <s v="Current"/>
    <s v="Current"/>
    <s v="Dr.Martens"/>
    <s v="Dr.Martens"/>
    <n v="95040"/>
    <s v="Реализация товаров и услуг УТ000027460 от 27.08.2021 11:32:09"/>
    <x v="28"/>
    <s v="27.08.2021 11:32:09"/>
    <s v="ОПТ Dr.Martens"/>
    <s v="продажа, комиссия"/>
    <s v="№149/2013 От 01.10.2013"/>
    <s v="Основной договор"/>
    <m/>
    <m/>
    <m/>
    <m/>
    <x v="1"/>
    <n v="95040"/>
  </r>
  <r>
    <s v="Реализация товаров и услуг"/>
    <n v="73"/>
    <m/>
    <d v="2021-08-27T00:00:00"/>
    <d v="2021-11-08T11:33:14"/>
    <n v="-55.481412037035625"/>
    <s v="Current"/>
    <s v="Current"/>
    <s v="Converse"/>
    <s v="Converse"/>
    <n v="78204"/>
    <s v="Реализация товаров и услуг УТ000027461 от 27.08.2021 11:33:14"/>
    <x v="28"/>
    <s v="27.08.2021 11:33:14"/>
    <s v="ОПТ Converse"/>
    <s v="продажа, комиссия"/>
    <s v="№149/2013 От 01.10.2013"/>
    <s v="Основной договор"/>
    <m/>
    <m/>
    <m/>
    <m/>
    <x v="1"/>
    <n v="78204"/>
  </r>
  <r>
    <s v="Реализация товаров и услуг"/>
    <n v="73"/>
    <m/>
    <d v="2021-08-27T00:00:00"/>
    <d v="2021-11-08T11:34:04"/>
    <n v="-55.48199074074364"/>
    <s v="Current"/>
    <s v="Current"/>
    <s v="Сток Dr.Martens"/>
    <s v="Dr.Martens"/>
    <n v="53424"/>
    <s v="Реализация товаров и услуг УТ000027462 от 27.08.2021 11:34:04"/>
    <x v="28"/>
    <s v="27.08.2021 11:34:04"/>
    <s v="ОПТ Сток Dr.Martens"/>
    <s v="продажа, комиссия"/>
    <s v="№149/2013 От 01.10.2013"/>
    <s v="Основной договор"/>
    <m/>
    <m/>
    <m/>
    <m/>
    <x v="1"/>
    <n v="53424"/>
  </r>
  <r>
    <s v="Реализация товаров и услуг"/>
    <n v="73"/>
    <m/>
    <d v="2021-08-27T00:00:00"/>
    <d v="2021-11-08T11:35:03"/>
    <n v="-55.482673611113569"/>
    <s v="Current"/>
    <s v="Current"/>
    <s v="Сток Dr.Martens"/>
    <s v="Dr.Martens"/>
    <n v="30480"/>
    <s v="Реализация товаров и услуг УТ000027463 от 27.08.2021 11:35:03"/>
    <x v="28"/>
    <s v="27.08.2021 11:35:03"/>
    <s v="ОПТ Сток Dr.Martens"/>
    <s v="продажа, комиссия"/>
    <s v="№149/2013 От 01.10.2013"/>
    <s v="Основной договор"/>
    <m/>
    <m/>
    <m/>
    <m/>
    <x v="1"/>
    <n v="30480"/>
  </r>
  <r>
    <s v="Платежное поручение входящее"/>
    <n v="0"/>
    <m/>
    <d v="2021-08-27T00:00:00"/>
    <d v="2021-08-27T17:00:00"/>
    <n v="17.291666666664241"/>
    <s v="Advance"/>
    <s v="Advance"/>
    <s v="Сток Converse"/>
    <s v="Converse"/>
    <n v="-245.97"/>
    <s v="Платежное поручение входящее 00BF-006047 от 27.08.2021 17:00:00"/>
    <x v="30"/>
    <s v="27.08.2021 17:00:00"/>
    <s v="ОПТ Сток Converse"/>
    <s v="Оплата от покупателя"/>
    <s v="251/2015 от 23.07.2015"/>
    <s v="Основной договор"/>
    <m/>
    <m/>
    <m/>
    <m/>
    <x v="0"/>
    <n v="-245.97"/>
  </r>
  <r>
    <s v="Платежное поручение входящее"/>
    <n v="0"/>
    <m/>
    <d v="2021-08-27T00:00:00"/>
    <d v="2021-08-27T17:00:00"/>
    <n v="17.291666666664241"/>
    <s v="Advance"/>
    <s v="Advance"/>
    <s v="Сток Havaianas"/>
    <s v="Havaianas"/>
    <n v="-869.5"/>
    <s v="Платежное поручение входящее 00BF-006048 от 27.08.2021 17:00:00"/>
    <x v="31"/>
    <s v="27.08.2021 17:00:00"/>
    <s v="ОПТ Сток Havaianas"/>
    <s v="Оплата от покупателя"/>
    <s v="№ 363/2018 от 09.10.2018"/>
    <s v="№429/2020 от 22.06.2020"/>
    <m/>
    <m/>
    <m/>
    <m/>
    <x v="0"/>
    <n v="-869.5"/>
  </r>
  <r>
    <s v="Отчет комиссионера о продажах"/>
    <n v="45"/>
    <m/>
    <d v="2021-08-31T00:00:00"/>
    <d v="2021-10-15T14:48:58"/>
    <n v="-31.617337962961756"/>
    <s v="Current"/>
    <s v="Current"/>
    <s v="Сток Converse"/>
    <s v="Converse"/>
    <n v="32647.66"/>
    <s v="Отчет комиссионера о продажах УТ000000380 от 31.08.2021 14:48:58"/>
    <x v="22"/>
    <s v="31.08.2021 14:48:58"/>
    <s v="ОПТ Сток Converse"/>
    <m/>
    <s v="№ К 130-04-20 от 7 мая 2020 г."/>
    <s v="№429/2020 от 22.06.2020"/>
    <m/>
    <m/>
    <m/>
    <m/>
    <x v="1"/>
    <n v="32647.66"/>
  </r>
  <r>
    <s v="Отчет комиссионера о продажах"/>
    <n v="45"/>
    <m/>
    <d v="2021-08-31T00:00:00"/>
    <d v="2021-10-15T14:49:46"/>
    <n v="-31.617893518516212"/>
    <s v="Current"/>
    <s v="Current"/>
    <s v="Сток Dr.Martens"/>
    <s v="Dr.Martens"/>
    <n v="12623"/>
    <s v="Отчет комиссионера о продажах УТ000000381 от 31.08.2021 14:49:46"/>
    <x v="22"/>
    <s v="31.08.2021 14:49:46"/>
    <s v="ОПТ Сток Dr.Martens"/>
    <m/>
    <s v="№ К 130-04-20 от 7 мая 2020 г."/>
    <s v="№ 236/2015 от 27.04.2015"/>
    <m/>
    <m/>
    <m/>
    <m/>
    <x v="1"/>
    <n v="12623"/>
  </r>
  <r>
    <s v="Отчет комиссионера о продажах"/>
    <n v="45"/>
    <m/>
    <d v="2021-08-31T00:00:00"/>
    <d v="2021-10-15T14:50:46"/>
    <n v="-31.61858796296292"/>
    <s v="Current"/>
    <s v="Current"/>
    <s v="Сток Saucony"/>
    <s v="Saucony"/>
    <n v="112767.7"/>
    <s v="Отчет комиссионера о продажах УТ000000382 от 31.08.2021 14:50:46"/>
    <x v="22"/>
    <s v="31.08.2021 14:50:46"/>
    <s v="ОПТ Сток Saucony"/>
    <m/>
    <s v="№ К 130-04-20 от 7 мая 2020 г."/>
    <s v="№429/2020 от 22.06.2020"/>
    <m/>
    <m/>
    <m/>
    <m/>
    <x v="1"/>
    <n v="112767.7"/>
  </r>
  <r>
    <s v="Отчет комиссионера о продажах"/>
    <n v="45"/>
    <m/>
    <d v="2021-08-31T00:00:00"/>
    <d v="2021-10-15T14:51:32"/>
    <n v="-31.619120370371093"/>
    <s v="Current"/>
    <s v="Current"/>
    <s v="Сток UGG"/>
    <s v="UGG"/>
    <n v="119944.8"/>
    <s v="Отчет комиссионера о продажах УТ000000383 от 31.08.2021 14:51:32"/>
    <x v="22"/>
    <s v="31.08.2021 14:51:32"/>
    <s v="ОПТ Сток UGG"/>
    <m/>
    <s v="№ К 130-04-20 от 7 мая 2020 г."/>
    <s v="№429/2020 от 22.06.2020"/>
    <m/>
    <m/>
    <m/>
    <m/>
    <x v="1"/>
    <n v="119944.8"/>
  </r>
  <r>
    <s v="Отчет комиссионера о продажах"/>
    <n v="38"/>
    <m/>
    <d v="2021-08-31T00:00:00"/>
    <d v="2021-10-08T16:10:41"/>
    <n v="-24.674085648148321"/>
    <s v="Current"/>
    <s v="Current"/>
    <s v="Сток Saucony"/>
    <s v="Saucony"/>
    <n v="1509504.37"/>
    <s v="Отчет комиссионера о продажах УТ000000389 от 31.08.2021 16:10:41"/>
    <x v="13"/>
    <s v="31.08.2021 16:10:41"/>
    <s v="ОПТ Сток Saucony"/>
    <m/>
    <s v="Оферта"/>
    <s v="№429/2020 от 22.06.2020"/>
    <m/>
    <m/>
    <m/>
    <m/>
    <x v="1"/>
    <n v="1509504.37"/>
  </r>
  <r>
    <s v="Отчет комиссионера о продажах"/>
    <n v="38"/>
    <m/>
    <d v="2021-08-31T00:00:00"/>
    <d v="2021-10-08T16:14:22"/>
    <n v="-24.676643518519995"/>
    <s v="Current"/>
    <s v="Current"/>
    <s v="Сток Havaianas"/>
    <s v="Havaianas"/>
    <n v="548708.49"/>
    <s v="Отчет комиссионера о продажах УТ000000390 от 31.08.2021 16:14:22"/>
    <x v="13"/>
    <s v="31.08.2021 16:14:22"/>
    <s v="ОПТ Сток Havaianas"/>
    <m/>
    <s v="Оферта"/>
    <s v="№429/2020 от 22.06.2020"/>
    <m/>
    <m/>
    <m/>
    <m/>
    <x v="1"/>
    <n v="548708.49"/>
  </r>
  <r>
    <s v="Отчет комиссионера о продажах"/>
    <n v="38"/>
    <m/>
    <d v="2021-08-31T00:00:00"/>
    <d v="2021-10-08T16:30:46"/>
    <n v="-24.688032407408173"/>
    <s v="Current"/>
    <s v="Current"/>
    <s v="Сток Converse"/>
    <s v="Converse"/>
    <n v="7064949.4800000004"/>
    <s v="Отчет комиссионера о продажах УТ000000391 от 31.08.2021 16:30:46"/>
    <x v="13"/>
    <s v="31.08.2021 16:30:46"/>
    <s v="ОПТ Сток Converse"/>
    <m/>
    <s v="Оферта"/>
    <s v="Договор №032/2012 от 01 марта 2012"/>
    <m/>
    <m/>
    <m/>
    <m/>
    <x v="1"/>
    <n v="7064949.4800000004"/>
  </r>
  <r>
    <s v="Отчет комиссионера о продажах"/>
    <n v="38"/>
    <m/>
    <d v="2021-08-31T00:00:00"/>
    <d v="2021-10-08T16:35:09"/>
    <n v="-24.691076388888177"/>
    <s v="Current"/>
    <s v="Current"/>
    <s v="Сток Converse"/>
    <s v="Converse"/>
    <n v="58791.37"/>
    <s v="Отчет комиссионера о продажах УТ000000392 от 31.08.2021 16:35:09"/>
    <x v="13"/>
    <s v="31.08.2021 16:35:09"/>
    <s v="ОПТ Сток Converse"/>
    <m/>
    <s v="Оферта"/>
    <s v="№429/2020 от 22.06.2020"/>
    <m/>
    <m/>
    <m/>
    <m/>
    <x v="1"/>
    <n v="58791.37"/>
  </r>
  <r>
    <s v="Отчет комиссионера о продажах"/>
    <n v="38"/>
    <m/>
    <d v="2021-08-31T00:00:00"/>
    <d v="2021-10-08T16:46:33"/>
    <n v="-24.698993055557366"/>
    <s v="Current"/>
    <s v="Current"/>
    <s v="Сток Havaianas"/>
    <s v="Havaianas"/>
    <n v="67841.850000000006"/>
    <s v="Отчет комиссионера о продажах УТ000000393 от 31.08.2021 16:46:33"/>
    <x v="13"/>
    <s v="31.08.2021 16:46:33"/>
    <s v="ОПТ Сток Havaianas"/>
    <m/>
    <s v="Оферта"/>
    <s v="№429/2020 от 22.06.2020"/>
    <m/>
    <m/>
    <m/>
    <m/>
    <x v="1"/>
    <n v="67841.850000000006"/>
  </r>
  <r>
    <s v="Отчет комиссионера о продажах"/>
    <n v="38"/>
    <m/>
    <d v="2021-08-31T00:00:00"/>
    <d v="2021-10-08T17:08:57"/>
    <n v="-24.71454861111124"/>
    <s v="Current"/>
    <s v="Current"/>
    <s v="Сток Havaianas"/>
    <s v="Havaianas"/>
    <n v="29488.71"/>
    <s v="Отчет комиссионера о продажах УТ000000394 от 31.08.2021 17:08:57"/>
    <x v="13"/>
    <s v="31.08.2021 17:08:57"/>
    <s v="ОПТ Сток Havaianas"/>
    <m/>
    <s v="Оферта"/>
    <s v="№429/2020 от 22.06.2020"/>
    <m/>
    <m/>
    <m/>
    <m/>
    <x v="1"/>
    <n v="29488.71"/>
  </r>
  <r>
    <s v="Отчет комиссионера о продажах"/>
    <n v="38"/>
    <m/>
    <d v="2021-08-31T00:00:00"/>
    <d v="2021-10-08T17:43:09"/>
    <n v="-24.738298611111531"/>
    <s v="Current"/>
    <s v="Current"/>
    <s v="Сток Saucony"/>
    <s v="Saucony"/>
    <n v="153970.73000000001"/>
    <s v="Отчет комиссионера о продажах УТ000000395 от 31.08.2021 17:43:09"/>
    <x v="13"/>
    <s v="31.08.2021 17:43:09"/>
    <s v="ОПТ Сток Saucony"/>
    <m/>
    <s v="Оферта"/>
    <s v="№429/2020 от 22.06.2020"/>
    <m/>
    <m/>
    <m/>
    <m/>
    <x v="1"/>
    <n v="153970.73000000001"/>
  </r>
  <r>
    <s v="Отчет комиссионера о продажах"/>
    <n v="38"/>
    <m/>
    <d v="2021-08-31T00:00:00"/>
    <d v="2021-10-08T17:57:34"/>
    <n v="-24.748310185183072"/>
    <s v="Current"/>
    <s v="Current"/>
    <s v="Сток Saucony"/>
    <s v="Saucony"/>
    <n v="78844.87"/>
    <s v="Отчет комиссионера о продажах УТ000000396 от 31.08.2021 17:57:34"/>
    <x v="13"/>
    <s v="31.08.2021 17:57:34"/>
    <s v="ОПТ Сток Saucony"/>
    <m/>
    <s v="Оферта"/>
    <s v="Договор №032/2012 от 01 марта 2012"/>
    <m/>
    <m/>
    <m/>
    <m/>
    <x v="1"/>
    <n v="78844.87"/>
  </r>
  <r>
    <s v="Реализация товаров и услуг"/>
    <n v="65"/>
    <m/>
    <d v="2021-09-01T00:00:00"/>
    <d v="2021-11-05T00:00:00"/>
    <n v="-52"/>
    <s v="Advance"/>
    <s v="Advance"/>
    <s v="Сток Dr.Martens"/>
    <s v="Dr.Martens"/>
    <n v="-35978.400000000001"/>
    <s v="Реализация товаров и услуг УТ000028102 от 01.09.2021 0:00:00"/>
    <x v="10"/>
    <s v="01.09.2021 0:00:00"/>
    <s v="ОПТ Сток Dr.Martens"/>
    <s v="продажа, комиссия"/>
    <s v="Договор №032/2012 от 01 марта 2012"/>
    <s v="№ 283/2016 от 18.05.2016"/>
    <m/>
    <m/>
    <m/>
    <m/>
    <x v="0"/>
    <n v="-35978.400000000001"/>
  </r>
  <r>
    <s v="Реализация товаров и услуг"/>
    <n v="65"/>
    <m/>
    <d v="2021-09-01T00:00:00"/>
    <d v="2021-11-05T00:00:00"/>
    <n v="-52"/>
    <s v="Current"/>
    <s v="Current"/>
    <s v="Dr.Martens"/>
    <s v="Dr.Martens"/>
    <n v="6174630"/>
    <s v="Реализация товаров и услуг УТ000028114 от 01.09.2021 0:00:00"/>
    <x v="10"/>
    <s v="01.09.2021 0:00:00"/>
    <s v="ОПТ Dr.Martens"/>
    <s v="продажа, комиссия"/>
    <s v="Договор №032/2012 от 01 марта 2012"/>
    <s v="Договор №032/2012 от 01 марта 2012"/>
    <m/>
    <m/>
    <m/>
    <m/>
    <x v="1"/>
    <n v="6174630"/>
  </r>
  <r>
    <s v="Реализация товаров и услуг"/>
    <n v="65"/>
    <m/>
    <d v="2021-09-01T00:00:00"/>
    <d v="2021-11-05T00:00:00"/>
    <n v="-52"/>
    <s v="Current"/>
    <s v="Current"/>
    <s v="Dr.Martens"/>
    <s v="Dr.Martens"/>
    <n v="4907385"/>
    <s v="Реализация товаров и услуг УТ000028115 от 01.09.2021 0:00:00"/>
    <x v="10"/>
    <s v="01.09.2021 0:00:00"/>
    <s v="ОПТ Dr.Martens"/>
    <s v="продажа, комиссия"/>
    <s v="Договор №032/2012 от 01 марта 2012"/>
    <s v="418/2020 от 10.02.20"/>
    <m/>
    <m/>
    <m/>
    <m/>
    <x v="1"/>
    <n v="4907385"/>
  </r>
  <r>
    <s v="Реализация товаров и услуг"/>
    <n v="65"/>
    <m/>
    <d v="2021-09-01T00:00:00"/>
    <d v="2021-11-05T00:00:00"/>
    <n v="-52"/>
    <s v="Current"/>
    <s v="Current"/>
    <s v="Сток Converse"/>
    <s v="Converse"/>
    <n v="100080"/>
    <s v="Реализация товаров и услуг УТ000028116 от 01.09.2021 0:00:00"/>
    <x v="10"/>
    <s v="01.09.2021 0:00:00"/>
    <s v="ОПТ Сток Converse"/>
    <s v="продажа, комиссия"/>
    <s v="Дополнительное соглашение,55%,CONV,предзаказ"/>
    <s v="418/2020 от 10.02.20"/>
    <m/>
    <m/>
    <m/>
    <m/>
    <x v="1"/>
    <n v="100080"/>
  </r>
  <r>
    <s v="Реализация товаров и услуг"/>
    <n v="65"/>
    <m/>
    <d v="2021-09-01T00:00:00"/>
    <d v="2021-11-05T00:00:00"/>
    <n v="-52"/>
    <s v="Current"/>
    <s v="Current"/>
    <s v="Сток Converse"/>
    <s v="Converse"/>
    <n v="459495"/>
    <s v="Реализация товаров и услуг УТ000028117 от 01.09.2021 0:00:00"/>
    <x v="10"/>
    <s v="01.09.2021 0:00:00"/>
    <s v="ОПТ Сток Converse"/>
    <s v="продажа, комиссия"/>
    <s v="Договор №032/2012 от 01 марта 2012"/>
    <s v="№ 385/2019 от 27.05.2019"/>
    <m/>
    <m/>
    <m/>
    <m/>
    <x v="1"/>
    <n v="459495"/>
  </r>
  <r>
    <s v="Реализация товаров и услуг"/>
    <n v="65"/>
    <m/>
    <d v="2021-09-01T00:00:00"/>
    <d v="2021-11-05T00:00:00"/>
    <n v="-52"/>
    <s v="Current"/>
    <s v="Current"/>
    <s v="Сток Converse"/>
    <s v="Converse"/>
    <n v="711990"/>
    <s v="Реализация товаров и услуг УТ000028118 от 01.09.2021 0:00:00"/>
    <x v="10"/>
    <s v="01.09.2021 0:00:00"/>
    <s v="ОПТ Сток Converse"/>
    <s v="продажа, комиссия"/>
    <s v="Договор №032/2012 от 01 марта 2012"/>
    <s v="Договор №032/2012 от 01 марта 2012"/>
    <m/>
    <m/>
    <m/>
    <m/>
    <x v="1"/>
    <n v="711990"/>
  </r>
  <r>
    <s v="Реализация товаров и услуг"/>
    <n v="95"/>
    <m/>
    <d v="2021-09-02T00:00:00"/>
    <d v="2021-12-06T14:14:41"/>
    <n v="-83.593530092592118"/>
    <s v="Current"/>
    <s v="Current"/>
    <s v="Dr.Martens"/>
    <s v="Dr.Martens"/>
    <n v="424800"/>
    <s v="Реализация товаров и услуг УТ000028466 от 02.09.2021 14:14:41"/>
    <x v="21"/>
    <s v="02.09.2021 14:14:41"/>
    <s v="ОПТ Dr.Martens"/>
    <s v="продажа, комиссия"/>
    <s v="№429/2020 от 22.06.2020"/>
    <s v="061/2012 от 15 июня 2012"/>
    <m/>
    <m/>
    <m/>
    <m/>
    <x v="1"/>
    <n v="424800"/>
  </r>
  <r>
    <s v="Реализация товаров и услуг"/>
    <n v="95"/>
    <m/>
    <d v="2021-09-02T00:00:00"/>
    <d v="2021-12-06T14:19:06"/>
    <n v="-83.596597222225682"/>
    <s v="Current"/>
    <s v="Current"/>
    <s v="Dr.Martens"/>
    <s v="Dr.Martens"/>
    <n v="424800"/>
    <s v="Реализация товаров и услуг УТ000028468 от 02.09.2021 14:19:06"/>
    <x v="21"/>
    <s v="02.09.2021 14:19:06"/>
    <s v="ОПТ Dr.Martens"/>
    <s v="продажа, комиссия"/>
    <s v="№429/2020 от 22.06.2020"/>
    <s v="№ 236/2015 от 27.04.2015"/>
    <m/>
    <m/>
    <m/>
    <m/>
    <x v="1"/>
    <n v="424800"/>
  </r>
  <r>
    <s v="Реализация товаров и услуг"/>
    <n v="95"/>
    <m/>
    <d v="2021-09-02T00:00:00"/>
    <d v="2021-12-06T14:20:40"/>
    <n v="-83.597685185188311"/>
    <s v="Current"/>
    <s v="Current"/>
    <s v="Converse"/>
    <s v="Converse"/>
    <n v="153144"/>
    <s v="Реализация товаров и услуг УТ000028469 от 02.09.2021 14:20:40"/>
    <x v="21"/>
    <s v="02.09.2021 14:20:40"/>
    <s v="ОПТ Converse"/>
    <s v="продажа, комиссия"/>
    <s v="№429/2020 от 22.06.2020"/>
    <s v="№ 236/2015 от 27.04.2015"/>
    <m/>
    <m/>
    <m/>
    <m/>
    <x v="1"/>
    <n v="153144"/>
  </r>
  <r>
    <s v="Платежное поручение входящее"/>
    <n v="0"/>
    <m/>
    <d v="2021-09-02T00:00:00"/>
    <d v="2021-09-02T17:00:00"/>
    <n v="11.291666666664241"/>
    <s v="Advance"/>
    <s v="Advance"/>
    <s v="Сток UGG"/>
    <s v="UGG"/>
    <n v="-36451"/>
    <s v="Платежное поручение входящее 00BF-006155 от 02.09.2021 17:00:00"/>
    <x v="32"/>
    <s v="02.09.2021 17:00:00"/>
    <s v="ОПТ Сток UGG"/>
    <s v="Оплата от покупателя"/>
    <s v="№ 326/2017 от 14.12.2017"/>
    <s v="№ 236/2015 от 27.04.2015"/>
    <m/>
    <m/>
    <m/>
    <m/>
    <x v="0"/>
    <n v="-36451"/>
  </r>
  <r>
    <s v="Реализация товаров и услуг"/>
    <n v="73"/>
    <m/>
    <d v="2021-09-03T00:00:00"/>
    <d v="2021-11-15T14:43:02"/>
    <n v="-62.613217592595902"/>
    <s v="Current"/>
    <s v="Current"/>
    <s v="Сток Converse"/>
    <s v="Converse"/>
    <n v="60074"/>
    <s v="Реализация товаров и услуг УТ000028585 от 03.09.2021 14:43:02"/>
    <x v="28"/>
    <s v="03.09.2021 14:43:02"/>
    <s v="ОПТ Сток Converse"/>
    <s v="продажа, комиссия"/>
    <s v="№149/2013 От 01.10.2013"/>
    <s v="№149/2013 От 01.10.2013"/>
    <m/>
    <m/>
    <m/>
    <m/>
    <x v="1"/>
    <n v="60074"/>
  </r>
  <r>
    <s v="Реализация товаров и услуг"/>
    <n v="73"/>
    <m/>
    <d v="2021-09-03T00:00:00"/>
    <d v="2021-11-15T14:46:06"/>
    <n v="-62.615347222221317"/>
    <s v="Current"/>
    <s v="Current"/>
    <s v="Converse"/>
    <s v="Converse"/>
    <n v="18228"/>
    <s v="Реализация товаров и услуг УТ000028586 от 03.09.2021 14:46:06"/>
    <x v="28"/>
    <s v="03.09.2021 14:46:06"/>
    <s v="ОПТ Converse"/>
    <s v="продажа, комиссия"/>
    <s v="№149/2013 От 01.10.2013"/>
    <s v="ИР-П 215/15 от 21.04.2015"/>
    <m/>
    <m/>
    <m/>
    <m/>
    <x v="1"/>
    <n v="18228"/>
  </r>
  <r>
    <s v="Реализация товаров и услуг"/>
    <n v="73"/>
    <m/>
    <d v="2021-09-03T00:00:00"/>
    <d v="2021-11-15T14:46:44"/>
    <n v="-62.61578703703708"/>
    <s v="Current"/>
    <s v="Current"/>
    <s v="Dr.Martens"/>
    <s v="Dr.Martens"/>
    <n v="63504"/>
    <s v="Реализация товаров и услуг УТ000028587 от 03.09.2021 14:46:44"/>
    <x v="28"/>
    <s v="03.09.2021 14:46:44"/>
    <s v="ОПТ Dr.Martens"/>
    <s v="продажа, комиссия"/>
    <s v="№149/2013 От 01.10.2013"/>
    <s v="061/2012 от 15 июня 2012"/>
    <m/>
    <m/>
    <m/>
    <m/>
    <x v="1"/>
    <n v="63504"/>
  </r>
  <r>
    <s v="Реализация товаров и услуг"/>
    <n v="19"/>
    <m/>
    <d v="2021-09-03T00:00:00"/>
    <d v="2021-09-22T17:07:43"/>
    <n v="-8.713692129625997"/>
    <s v="Current"/>
    <s v="Current"/>
    <s v="UGG"/>
    <s v="UGG"/>
    <n v="11596614"/>
    <s v="Реализация товаров и услуг УТ000028592 от 03.09.2021 17:07:43"/>
    <x v="33"/>
    <s v="03.09.2021 17:07:43"/>
    <s v="ОПТ UGG"/>
    <s v="продажа, комиссия"/>
    <s v="418/2020 от 10.02.20"/>
    <s v="№452/2021 от 03.03.21"/>
    <m/>
    <m/>
    <m/>
    <m/>
    <x v="1"/>
    <n v="11596614"/>
  </r>
  <r>
    <s v="Реализация товаров и услуг"/>
    <n v="19"/>
    <m/>
    <d v="2021-09-03T00:00:00"/>
    <d v="2021-09-22T17:09:58"/>
    <n v="-8.7152546296274522"/>
    <s v="Current"/>
    <s v="Current"/>
    <s v="UGG"/>
    <s v="UGG"/>
    <n v="2521920"/>
    <s v="Реализация товаров и услуг УТ000028593 от 03.09.2021 17:09:58"/>
    <x v="33"/>
    <s v="03.09.2021 17:09:58"/>
    <s v="ОПТ UGG"/>
    <s v="продажа, комиссия"/>
    <s v="418/2020 от 10.02.20"/>
    <s v="№ 342/2018 от 01.06.18"/>
    <m/>
    <m/>
    <m/>
    <m/>
    <x v="1"/>
    <n v="2521920"/>
  </r>
  <r>
    <s v="Реализация товаров и услуг"/>
    <n v="19"/>
    <m/>
    <d v="2021-09-03T00:00:00"/>
    <d v="2021-09-22T17:11:00"/>
    <n v="-8.7159722222204437"/>
    <s v="Current"/>
    <s v="Current"/>
    <s v="UGG"/>
    <s v="UGG"/>
    <n v="2180706"/>
    <s v="Реализация товаров и услуг УТ000028594 от 03.09.2021 17:11:00"/>
    <x v="33"/>
    <s v="03.09.2021 17:11:00"/>
    <s v="ОПТ UGG"/>
    <s v="продажа, комиссия"/>
    <s v="418/2020 от 10.02.20"/>
    <s v="№ К 130-04-20 от 7 мая 2020 г."/>
    <m/>
    <m/>
    <m/>
    <m/>
    <x v="1"/>
    <n v="2180706"/>
  </r>
  <r>
    <s v="Реализация товаров и услуг"/>
    <n v="65"/>
    <m/>
    <d v="2021-09-03T00:00:00"/>
    <d v="2021-11-07T17:31:46"/>
    <n v="-54.730393518519122"/>
    <s v="Current"/>
    <s v="Current"/>
    <s v="UGG"/>
    <s v="UGG"/>
    <n v="78432"/>
    <s v="Реализация товаров и услуг УТ000028597 от 03.09.2021 17:31:46"/>
    <x v="7"/>
    <s v="03.09.2021 17:31:46"/>
    <s v="ОПТ UGG"/>
    <s v="продажа, комиссия"/>
    <s v="0067/ДП00039381 от 06.04.2016"/>
    <s v="№ К 130-04-20 от 7 мая 2020 г."/>
    <m/>
    <m/>
    <m/>
    <m/>
    <x v="1"/>
    <n v="78432"/>
  </r>
  <r>
    <s v="Реализация товаров и услуг"/>
    <n v="65"/>
    <m/>
    <d v="2021-09-03T00:00:00"/>
    <d v="2021-11-07T17:33:14"/>
    <n v="-54.731412037035625"/>
    <s v="Current"/>
    <s v="Current"/>
    <s v="UGG"/>
    <s v="UGG"/>
    <n v="707104"/>
    <s v="Реализация товаров и услуг УТ000028598 от 03.09.2021 17:33:14"/>
    <x v="7"/>
    <s v="03.09.2021 17:33:14"/>
    <s v="ОПТ UGG"/>
    <s v="продажа, комиссия"/>
    <s v="0067/ДП00039381 от 06.04.2016"/>
    <s v="№ К 130-04-20 от 7 мая 2020 г."/>
    <m/>
    <m/>
    <m/>
    <m/>
    <x v="1"/>
    <n v="707104"/>
  </r>
  <r>
    <s v="Реализация товаров и услуг"/>
    <n v="65"/>
    <m/>
    <d v="2021-09-03T00:00:00"/>
    <d v="2021-11-07T17:34:35"/>
    <n v="-54.732349537036498"/>
    <s v="Current"/>
    <s v="Current"/>
    <s v="UGG"/>
    <s v="UGG"/>
    <n v="570874"/>
    <s v="Реализация товаров и услуг УТ000028599 от 03.09.2021 17:34:35"/>
    <x v="7"/>
    <s v="03.09.2021 17:34:35"/>
    <s v="ОПТ UGG"/>
    <s v="продажа, комиссия"/>
    <s v="0067/ДП00039381 от 06.04.2016"/>
    <s v="№ К 130-04-20 от 7 мая 2020 г."/>
    <m/>
    <m/>
    <m/>
    <m/>
    <x v="1"/>
    <n v="570874"/>
  </r>
  <r>
    <s v="Реализация товаров и услуг"/>
    <n v="65"/>
    <m/>
    <d v="2021-09-03T00:00:00"/>
    <d v="2021-11-07T17:37:04"/>
    <n v="-54.734074074076489"/>
    <s v="Current"/>
    <s v="Current"/>
    <s v="UGG"/>
    <s v="UGG"/>
    <n v="761064"/>
    <s v="Реализация товаров и услуг УТ000028600 от 03.09.2021 17:37:04"/>
    <x v="7"/>
    <s v="03.09.2021 17:37:04"/>
    <s v="ОПТ UGG"/>
    <s v="продажа, комиссия"/>
    <s v="0067/ДП00039381 от 06.04.2016"/>
    <s v="Оферта"/>
    <m/>
    <m/>
    <m/>
    <m/>
    <x v="1"/>
    <n v="761064"/>
  </r>
  <r>
    <s v="Реализация товаров и услуг"/>
    <n v="65"/>
    <m/>
    <d v="2021-09-03T00:00:00"/>
    <d v="2021-11-07T17:39:09"/>
    <n v="-54.735520833331975"/>
    <s v="Current"/>
    <s v="Current"/>
    <s v="UGG"/>
    <s v="UGG"/>
    <n v="509580"/>
    <s v="Реализация товаров и услуг УТ000028601 от 03.09.2021 17:39:09"/>
    <x v="7"/>
    <s v="03.09.2021 17:39:09"/>
    <s v="ОПТ UGG"/>
    <s v="продажа, комиссия"/>
    <s v="0067/ДП00039381 от 06.04.2016"/>
    <s v="Оферта"/>
    <m/>
    <m/>
    <m/>
    <m/>
    <x v="1"/>
    <n v="509580"/>
  </r>
  <r>
    <s v="Реализация товаров и услуг"/>
    <n v="65"/>
    <m/>
    <d v="2021-09-03T00:00:00"/>
    <d v="2021-11-07T17:40:00"/>
    <n v="-54.736111111109494"/>
    <s v="Current"/>
    <s v="Current"/>
    <s v="UGG"/>
    <s v="UGG"/>
    <n v="169860"/>
    <s v="Реализация товаров и услуг УТ000028602 от 03.09.2021 17:40:00"/>
    <x v="7"/>
    <s v="03.09.2021 17:40:00"/>
    <s v="ОПТ UGG"/>
    <s v="продажа, комиссия"/>
    <s v="0067/ДП00039381 от 06.04.2016"/>
    <s v="Оферта"/>
    <m/>
    <m/>
    <m/>
    <m/>
    <x v="1"/>
    <n v="169860"/>
  </r>
  <r>
    <s v="Реализация товаров и услуг"/>
    <n v="65"/>
    <m/>
    <d v="2021-09-03T00:00:00"/>
    <d v="2021-11-07T17:41:20"/>
    <n v="-54.737037037033588"/>
    <s v="Current"/>
    <s v="Current"/>
    <s v="UGG"/>
    <s v="UGG"/>
    <n v="490428"/>
    <s v="Реализация товаров и услуг УТ000028603 от 03.09.2021 17:41:20"/>
    <x v="7"/>
    <s v="03.09.2021 17:41:20"/>
    <s v="ОПТ UGG"/>
    <s v="продажа, комиссия"/>
    <s v="0067/ДП00039381 от 06.04.2016"/>
    <s v="Оферта"/>
    <m/>
    <m/>
    <m/>
    <m/>
    <x v="1"/>
    <n v="490428"/>
  </r>
  <r>
    <s v="Реализация товаров и услуг"/>
    <n v="65"/>
    <m/>
    <d v="2021-09-03T00:00:00"/>
    <d v="2021-11-07T17:49:57"/>
    <n v="-54.743020833331684"/>
    <s v="Current"/>
    <s v="Current"/>
    <s v="UGG"/>
    <s v="UGG"/>
    <n v="549860"/>
    <s v="Реализация товаров и услуг УТ000028604 от 03.09.2021 17:49:57"/>
    <x v="7"/>
    <s v="03.09.2021 17:49:57"/>
    <s v="ОПТ UGG"/>
    <s v="продажа, комиссия"/>
    <s v="0067/ДП00039381 от 06.04.2016"/>
    <s v="№ 236/2015 от 27.04.2015"/>
    <m/>
    <m/>
    <m/>
    <m/>
    <x v="1"/>
    <n v="549860"/>
  </r>
  <r>
    <s v="Реализация товаров и услуг"/>
    <n v="65"/>
    <m/>
    <d v="2021-09-03T00:00:00"/>
    <d v="2021-11-07T17:52:34"/>
    <n v="-54.744837962964084"/>
    <s v="Current"/>
    <s v="Current"/>
    <s v="UGG"/>
    <s v="UGG"/>
    <n v="1181648"/>
    <s v="Реализация товаров и услуг УТ000028605 от 03.09.2021 17:52:34"/>
    <x v="7"/>
    <s v="03.09.2021 17:52:34"/>
    <s v="ОПТ UGG"/>
    <s v="продажа, комиссия"/>
    <s v="0067/ДП00039381 от 06.04.2016"/>
    <s v="№ 236/2015 от 27.04.2015"/>
    <m/>
    <m/>
    <m/>
    <m/>
    <x v="1"/>
    <n v="1181648"/>
  </r>
  <r>
    <s v="Реализация товаров и услуг"/>
    <n v="19"/>
    <m/>
    <d v="2021-09-06T00:00:00"/>
    <d v="2021-09-25T10:25:41"/>
    <n v="-11.434502314812562"/>
    <s v="Current"/>
    <s v="Current"/>
    <s v="Dr.Martens"/>
    <s v="Dr.Martens"/>
    <n v="15368340"/>
    <s v="Реализация товаров и услуг УТ000028708 от 06.09.2021 10:25:41"/>
    <x v="33"/>
    <s v="06.09.2021 10:25:41"/>
    <s v="ОПТ Dr.Martens"/>
    <s v="продажа, комиссия"/>
    <s v="418/2020 от 10.02.20"/>
    <s v="№429/2020 от 22.06.2020"/>
    <m/>
    <m/>
    <m/>
    <m/>
    <x v="1"/>
    <n v="15368340"/>
  </r>
  <r>
    <s v="Реализация товаров и услуг"/>
    <n v="35"/>
    <m/>
    <d v="2021-09-06T00:00:00"/>
    <d v="2021-10-11T12:43:36"/>
    <n v="-27.530277777776064"/>
    <s v="Current"/>
    <s v="Current"/>
    <s v="Converse"/>
    <s v="Converse"/>
    <n v="940525"/>
    <s v="Реализация товаров и услуг УТ000028709 от 06.09.2021 12:43:36"/>
    <x v="34"/>
    <s v="06.09.2021 12:43:36"/>
    <s v="ОПТ Converse"/>
    <s v="продажа, комиссия"/>
    <s v="Основной договор"/>
    <s v="№429/2020 от 22.06.2020"/>
    <m/>
    <m/>
    <m/>
    <m/>
    <x v="1"/>
    <n v="940525"/>
  </r>
  <r>
    <s v="Реализация товаров и услуг"/>
    <n v="65"/>
    <m/>
    <d v="2021-09-06T00:00:00"/>
    <d v="2021-11-10T17:21:03"/>
    <n v="-57.72295138888876"/>
    <s v="Current"/>
    <s v="Current"/>
    <s v="Dr.Martens"/>
    <s v="Dr.Martens"/>
    <n v="2008682"/>
    <s v="Реализация товаров и услуг УТ000028710 от 06.09.2021 17:21:03"/>
    <x v="15"/>
    <s v="06.09.2021 17:21:03"/>
    <s v="ОПТ Dr.Martens"/>
    <s v="продажа, комиссия"/>
    <s v="ИР-П 215/15 от 21.04.2015"/>
    <s v="№429/2020 от 22.06.2020"/>
    <m/>
    <m/>
    <m/>
    <m/>
    <x v="1"/>
    <n v="2008682"/>
  </r>
  <r>
    <s v="Реализация товаров и услуг"/>
    <n v="65"/>
    <m/>
    <d v="2021-09-06T00:00:00"/>
    <d v="2021-11-10T19:49:41"/>
    <n v="-57.826168981482624"/>
    <s v="Current"/>
    <s v="Current"/>
    <s v="Dr.Martens"/>
    <s v="Dr.Martens"/>
    <n v="821192"/>
    <s v="Реализация товаров и услуг УТ000028711 от 06.09.2021 19:49:41"/>
    <x v="15"/>
    <s v="06.09.2021 19:49:41"/>
    <s v="ОПТ Dr.Martens"/>
    <s v="продажа, комиссия"/>
    <s v="ИР-П 215/15 от 21.04.2015"/>
    <s v="№429/2020 от 22.06.2020"/>
    <m/>
    <m/>
    <m/>
    <m/>
    <x v="1"/>
    <n v="821192"/>
  </r>
  <r>
    <s v="Реализация товаров и услуг"/>
    <n v="65"/>
    <m/>
    <d v="2021-09-06T00:00:00"/>
    <d v="2021-11-10T19:52:42"/>
    <n v="-57.828263888892252"/>
    <s v="Current"/>
    <s v="Current"/>
    <s v="Dr.Martens"/>
    <s v="Dr.Martens"/>
    <n v="601956"/>
    <s v="Реализация товаров и услуг УТ000028712 от 06.09.2021 19:52:42"/>
    <x v="15"/>
    <s v="06.09.2021 19:52:42"/>
    <s v="ОПТ Dr.Martens"/>
    <s v="продажа, комиссия"/>
    <s v="ИР-П 215/15 от 21.04.2015"/>
    <s v="Договор № 195/2014 от 01.08.2014"/>
    <m/>
    <m/>
    <m/>
    <m/>
    <x v="1"/>
    <n v="601956"/>
  </r>
  <r>
    <s v="Платежное поручение входящее"/>
    <n v="0"/>
    <m/>
    <d v="2021-09-07T00:00:00"/>
    <d v="2021-09-07T17:00:00"/>
    <n v="6.2916666666642413"/>
    <s v="Advance"/>
    <s v="Advance"/>
    <s v="Converse"/>
    <s v="Converse"/>
    <n v="-6650"/>
    <s v="Платежное поручение входящее 00BF-006265 от 07.09.2021 17:00:00"/>
    <x v="35"/>
    <s v="07.09.2021 17:00:00"/>
    <s v="ОПТ Converse"/>
    <s v="Оплата от покупателя"/>
    <s v="№ 369/2018 от 28.11.2018"/>
    <s v="№ 236/2015 от 27.04.2015"/>
    <m/>
    <m/>
    <m/>
    <m/>
    <x v="0"/>
    <n v="-6650"/>
  </r>
  <r>
    <s v="Реализация товаров и услуг"/>
    <n v="73"/>
    <m/>
    <d v="2021-09-09T00:00:00"/>
    <d v="2021-11-21T00:00:00"/>
    <n v="-68"/>
    <s v="Current"/>
    <s v="Current"/>
    <s v="Converse"/>
    <s v="Converse"/>
    <n v="78400"/>
    <s v="Реализация товаров и услуг УТ000028725 от 09.09.2021 0:00:00"/>
    <x v="28"/>
    <s v="09.09.2021 0:00:00"/>
    <s v="ОПТ Converse"/>
    <s v="продажа, комиссия"/>
    <s v="№149/2013 От 01.10.2013"/>
    <s v="№429/2020 от 22.06.2020"/>
    <m/>
    <m/>
    <m/>
    <m/>
    <x v="1"/>
    <n v="78400"/>
  </r>
  <r>
    <s v="Реализация товаров и услуг"/>
    <n v="65"/>
    <m/>
    <d v="2021-09-09T00:00:00"/>
    <d v="2021-11-13T11:50:22"/>
    <n v="-60.493310185185692"/>
    <s v="Current"/>
    <s v="Current"/>
    <s v="Converse"/>
    <s v="Converse"/>
    <n v="546872.06999999995"/>
    <s v="Реализация товаров и услуг УТ000028734 от 09.09.2021 11:50:22"/>
    <x v="25"/>
    <s v="09.09.2021 11:50:22"/>
    <s v="ОПТ Converse"/>
    <s v="продажа, комиссия"/>
    <s v="№ 236/2015 от 27.04.2015"/>
    <s v="№429/2020 от 22.06.2020"/>
    <m/>
    <m/>
    <m/>
    <m/>
    <x v="1"/>
    <n v="546872.06999999995"/>
  </r>
  <r>
    <s v="Реализация товаров и услуг"/>
    <n v="65"/>
    <m/>
    <d v="2021-09-09T00:00:00"/>
    <d v="2021-11-13T12:11:50"/>
    <n v="-60.5082175925927"/>
    <s v="Current"/>
    <s v="Current"/>
    <s v="Dr.Martens"/>
    <s v="Dr.Martens"/>
    <n v="8322"/>
    <s v="Реализация товаров и услуг УТ000028735 от 09.09.2021 12:11:50"/>
    <x v="25"/>
    <s v="09.09.2021 12:11:50"/>
    <s v="ОПТ Dr.Martens"/>
    <s v="продажа, комиссия"/>
    <s v="№ 236/2015 от 27.04.2015"/>
    <s v="№429/2020 от 22.06.2020"/>
    <m/>
    <m/>
    <m/>
    <m/>
    <x v="1"/>
    <n v="8322"/>
  </r>
  <r>
    <s v="Реализация товаров и услуг"/>
    <n v="65"/>
    <m/>
    <d v="2021-09-09T00:00:00"/>
    <d v="2021-11-13T12:12:36"/>
    <n v="-60.508750000000873"/>
    <s v="Current"/>
    <s v="Current"/>
    <s v="Сток Dr.Martens"/>
    <s v="Dr.Martens"/>
    <n v="10800"/>
    <s v="Реализация товаров и услуг УТ000028736 от 09.09.2021 12:12:36"/>
    <x v="25"/>
    <s v="09.09.2021 12:12:36"/>
    <s v="ОПТ Сток Dr.Martens"/>
    <s v="продажа, комиссия"/>
    <s v="№ 236/2015 от 27.04.2015"/>
    <s v="№429/2020 от 22.06.2020"/>
    <m/>
    <m/>
    <m/>
    <m/>
    <x v="1"/>
    <n v="10800"/>
  </r>
  <r>
    <s v="Реализация товаров и услуг"/>
    <n v="73"/>
    <m/>
    <d v="2021-09-09T00:00:00"/>
    <d v="2021-11-21T12:47:05"/>
    <n v="-68.532696759262762"/>
    <s v="Current"/>
    <s v="Current"/>
    <s v="Converse"/>
    <s v="Converse"/>
    <n v="93296"/>
    <s v="Реализация товаров и услуг УТ000028724 от 09.09.2021 12:47:05"/>
    <x v="28"/>
    <s v="09.09.2021 12:47:05"/>
    <s v="ОПТ Converse"/>
    <s v="продажа, комиссия"/>
    <s v="№149/2013 От 01.10.2013"/>
    <s v="№429/2020 от 22.06.2020"/>
    <m/>
    <m/>
    <m/>
    <m/>
    <x v="1"/>
    <n v="93296"/>
  </r>
  <r>
    <s v="Реализация товаров и услуг"/>
    <n v="73"/>
    <m/>
    <d v="2021-09-09T00:00:00"/>
    <d v="2021-11-21T13:40:59"/>
    <n v="-68.570127314815181"/>
    <s v="Current"/>
    <s v="Current"/>
    <s v="Saucony"/>
    <s v="Saucony"/>
    <n v="49784"/>
    <s v="Реализация товаров и услуг УТ000028737 от 09.09.2021 13:40:59"/>
    <x v="28"/>
    <s v="09.09.2021 13:40:59"/>
    <s v="ОПТ Saucony"/>
    <s v="продажа, комиссия"/>
    <s v="№149/2013 От 01.10.2013"/>
    <s v="№ 342/2018 от 01.06.18"/>
    <m/>
    <m/>
    <m/>
    <m/>
    <x v="1"/>
    <n v="49784"/>
  </r>
  <r>
    <s v="Реализация товаров и услуг"/>
    <n v="73"/>
    <m/>
    <d v="2021-09-09T00:00:00"/>
    <d v="2021-11-21T13:42:42"/>
    <n v="-68.571319444446999"/>
    <s v="Current"/>
    <s v="Current"/>
    <s v="Dr.Martens"/>
    <s v="Dr.Martens"/>
    <n v="166128"/>
    <s v="Реализация товаров и услуг УТ000028738 от 09.09.2021 13:42:42"/>
    <x v="28"/>
    <s v="09.09.2021 13:42:42"/>
    <s v="ОПТ Dr.Martens"/>
    <s v="продажа, комиссия"/>
    <s v="№149/2013 От 01.10.2013"/>
    <s v="№452/2021 от 03.03.21"/>
    <m/>
    <m/>
    <m/>
    <m/>
    <x v="1"/>
    <n v="166128"/>
  </r>
  <r>
    <s v="Реализация товаров и услуг"/>
    <n v="73"/>
    <m/>
    <d v="2021-09-09T00:00:00"/>
    <d v="2021-11-21T13:43:56"/>
    <n v="-68.572175925924967"/>
    <s v="Current"/>
    <s v="Current"/>
    <s v="Сток Converse"/>
    <s v="Converse"/>
    <n v="71883"/>
    <s v="Реализация товаров и услуг УТ000028739 от 09.09.2021 13:43:56"/>
    <x v="28"/>
    <s v="09.09.2021 13:43:56"/>
    <s v="ОПТ Сток Converse"/>
    <s v="продажа, комиссия"/>
    <s v="№149/2013 От 01.10.2013"/>
    <s v="Основной договор"/>
    <m/>
    <m/>
    <m/>
    <m/>
    <x v="1"/>
    <n v="71883"/>
  </r>
  <r>
    <s v="Реализация товаров и услуг"/>
    <n v="95"/>
    <m/>
    <d v="2021-09-09T00:00:00"/>
    <d v="2021-12-13T16:03:59"/>
    <n v="-90.669432870367018"/>
    <s v="Current"/>
    <s v="Current"/>
    <s v="Сток Converse"/>
    <s v="Converse"/>
    <n v="3027375"/>
    <s v="Реализация товаров и услуг УТ000028740 от 09.09.2021 16:03:59"/>
    <x v="18"/>
    <s v="09.09.2021 16:03:59"/>
    <s v="ОПТ Сток Converse"/>
    <s v="продажа, комиссия"/>
    <s v="Договор № 195/2014 от 01.08.2014"/>
    <s v="№432/2020 от 12.08.2020"/>
    <m/>
    <m/>
    <m/>
    <m/>
    <x v="1"/>
    <n v="3027375"/>
  </r>
  <r>
    <s v="Реализация товаров и услуг"/>
    <n v="95"/>
    <m/>
    <d v="2021-09-09T00:00:00"/>
    <d v="2021-12-13T16:05:43"/>
    <n v="-90.670636574075615"/>
    <s v="Current"/>
    <s v="Current"/>
    <s v="Converse"/>
    <s v="Converse"/>
    <n v="1188305"/>
    <s v="Реализация товаров и услуг УТ000028741 от 09.09.2021 16:05:43"/>
    <x v="18"/>
    <s v="09.09.2021 16:05:43"/>
    <s v="ОПТ Converse"/>
    <s v="продажа, комиссия"/>
    <s v="Договор № 195/2014 от 01.08.2014"/>
    <s v="061/2012 от 15 июня 2012"/>
    <m/>
    <m/>
    <m/>
    <m/>
    <x v="1"/>
    <n v="1188305"/>
  </r>
  <r>
    <s v="Платежное поручение входящее"/>
    <n v="35"/>
    <m/>
    <d v="2021-09-09T00:00:00"/>
    <d v="2021-10-14T17:00:00"/>
    <n v="-30.708333333335759"/>
    <s v="Advance"/>
    <s v="Advance"/>
    <s v="Saucony"/>
    <s v="Saucony"/>
    <n v="-288000"/>
    <s v="Платежное поручение входящее 00BF-006328 от 09.09.2021 17:00:00"/>
    <x v="36"/>
    <s v="09.09.2021 17:00:00"/>
    <s v="ОПТ Saucony"/>
    <s v="Оплата от покупателя"/>
    <s v="№ 385/2019 от 27.05.2019"/>
    <s v="№432/2020 от 12.08.2020"/>
    <m/>
    <m/>
    <m/>
    <m/>
    <x v="0"/>
    <n v="-288000"/>
  </r>
  <r>
    <s v="Реализация товаров и услуг"/>
    <n v="45"/>
    <m/>
    <d v="2021-09-09T00:00:00"/>
    <d v="2021-10-24T18:32:37"/>
    <n v="-40.772650462960883"/>
    <s v="Current"/>
    <s v="Current"/>
    <s v="UGG"/>
    <s v="UGG"/>
    <n v="155232"/>
    <s v="Реализация товаров и услуг УТ000028742 от 09.09.2021 18:32:37"/>
    <x v="29"/>
    <s v="09.09.2021 18:32:37"/>
    <s v="ОПТ UGG"/>
    <s v="продажа, комиссия"/>
    <s v="№  б/н от 18.01.2017"/>
    <s v="Депозит CON FA21"/>
    <m/>
    <m/>
    <m/>
    <m/>
    <x v="1"/>
    <n v="155232"/>
  </r>
  <r>
    <s v="Реализация товаров и услуг"/>
    <n v="45"/>
    <m/>
    <d v="2021-09-09T00:00:00"/>
    <d v="2021-10-24T18:35:19"/>
    <n v="-40.774525462962629"/>
    <s v="Current"/>
    <s v="Current"/>
    <s v="Dr.Martens"/>
    <s v="Dr.Martens"/>
    <n v="2341584"/>
    <s v="Реализация товаров и услуг УТ000028743 от 09.09.2021 18:35:19"/>
    <x v="29"/>
    <s v="09.09.2021 18:35:19"/>
    <s v="ОПТ Dr.Martens"/>
    <s v="продажа, комиссия"/>
    <s v="№  б/н от 18.01.2017"/>
    <s v="депозит SAU FW21"/>
    <m/>
    <m/>
    <m/>
    <m/>
    <x v="1"/>
    <n v="2341584"/>
  </r>
  <r>
    <s v="Реализация товаров и услуг"/>
    <n v="95"/>
    <m/>
    <d v="2021-09-10T00:00:00"/>
    <d v="2021-12-14T12:03:22"/>
    <n v="-91.502337962963793"/>
    <s v="Current"/>
    <s v="Current"/>
    <s v="Dr.Martens"/>
    <s v="Dr.Martens"/>
    <n v="935550"/>
    <s v="Реализация товаров и услуг УТ000028757 от 10.09.2021 12:03:22"/>
    <x v="18"/>
    <s v="10.09.2021 12:03:22"/>
    <s v="ОПТ Dr.Martens"/>
    <s v="продажа, комиссия"/>
    <s v="Договор № 195/2014 от 01.08.2014"/>
    <s v="Депозит CON FA20"/>
    <m/>
    <m/>
    <m/>
    <m/>
    <x v="1"/>
    <n v="935550"/>
  </r>
  <r>
    <s v="Реализация товаров и услуг"/>
    <n v="65"/>
    <m/>
    <d v="2021-09-10T00:00:00"/>
    <d v="2021-11-14T12:08:45"/>
    <n v="-61.506076388890506"/>
    <s v="Current"/>
    <s v="Current"/>
    <s v="Dr.Martens"/>
    <s v="Dr.Martens"/>
    <n v="10493100"/>
    <s v="Реализация товаров и услуг УТ000028758 от 10.09.2021 12:08:45"/>
    <x v="10"/>
    <s v="10.09.2021 12:08:45"/>
    <s v="ОПТ Dr.Martens"/>
    <s v="продажа, комиссия"/>
    <s v="Договор №032/2012 от 01 марта 2012"/>
    <s v="Депозит CON FW21"/>
    <m/>
    <m/>
    <m/>
    <m/>
    <x v="1"/>
    <n v="10493100"/>
  </r>
  <r>
    <s v="Реализация товаров и услуг"/>
    <n v="125"/>
    <m/>
    <d v="2021-09-10T00:00:00"/>
    <d v="2022-01-13T13:37:05"/>
    <n v="-121.56741898148175"/>
    <s v="Current"/>
    <s v="Current"/>
    <s v="Saucony"/>
    <s v="Saucony"/>
    <n v="2832880"/>
    <s v="Реализация товаров и услуг УТ000028761 от 10.09.2021 13:37:05"/>
    <x v="18"/>
    <s v="10.09.2021 13:37:05"/>
    <s v="ОПТ Saucony"/>
    <s v="продажа, комиссия"/>
    <s v="Договор № 195/2014 от 01.08.2014"/>
    <s v="Депозит CON SP21"/>
    <m/>
    <m/>
    <m/>
    <m/>
    <x v="1"/>
    <n v="2832880"/>
  </r>
  <r>
    <s v="Реализация товаров и услуг"/>
    <n v="19"/>
    <m/>
    <d v="2021-09-13T00:00:00"/>
    <d v="2021-10-02T11:24:02"/>
    <n v="-18.475023148144828"/>
    <s v="Current"/>
    <s v="Current"/>
    <s v="Converse"/>
    <s v="Converse"/>
    <n v="4091256"/>
    <s v="Реализация товаров и услуг УТ000028774 от 13.09.2021 11:24:02"/>
    <x v="33"/>
    <s v="13.09.2021 11:24:02"/>
    <s v="ОПТ Converse"/>
    <s v="продажа, комиссия"/>
    <s v="418/2020 от 10.02.20"/>
    <s v="Депозит CON SU21"/>
    <m/>
    <m/>
    <m/>
    <m/>
    <x v="1"/>
    <n v="4091256"/>
  </r>
  <r>
    <s v="Реализация товаров и услуг"/>
    <n v="19"/>
    <m/>
    <d v="2021-09-13T00:00:00"/>
    <d v="2021-10-02T11:30:09"/>
    <n v="-18.47927083333343"/>
    <s v="Current"/>
    <s v="Current"/>
    <s v="Dr.Martens"/>
    <s v="Dr.Martens"/>
    <n v="7031427"/>
    <s v="Реализация товаров и услуг УТ000028775 от 13.09.2021 11:30:09"/>
    <x v="33"/>
    <s v="13.09.2021 11:30:09"/>
    <s v="ОПТ Dr.Martens"/>
    <s v="продажа, комиссия"/>
    <s v="418/2020 от 10.02.20"/>
    <s v="депозит DRM AW21"/>
    <m/>
    <m/>
    <m/>
    <m/>
    <x v="1"/>
    <n v="7031427"/>
  </r>
  <r>
    <s v="Платежное поручение входящее"/>
    <n v="0"/>
    <m/>
    <d v="2021-09-13T00:00:00"/>
    <d v="2021-09-13T17:00:00"/>
    <n v="0.29166666666424135"/>
    <s v="Advance"/>
    <s v="Advance"/>
    <s v="Dr.Martens"/>
    <s v="Dr.Martens"/>
    <n v="-375100"/>
    <s v="Платежное поручение входящее 00BF-006414 от 13.09.2021 17:00:00"/>
    <x v="37"/>
    <s v="13.09.2021 17:00:00"/>
    <s v="ОПТ Dr.Martens"/>
    <s v="Оплата от покупателя"/>
    <s v="№ 392/2019 от 23.07.2019"/>
    <s v="Депозит DRM SS21"/>
    <m/>
    <m/>
    <m/>
    <m/>
    <x v="0"/>
    <n v="-375100"/>
  </r>
  <r>
    <s v="Платежное поручение входящее"/>
    <n v="45"/>
    <m/>
    <d v="2021-09-13T00:00:00"/>
    <d v="2021-10-28T17:00:00"/>
    <n v="-44.708333333335759"/>
    <s v="Advance"/>
    <s v="Advance"/>
    <s v="UGG"/>
    <s v="UGG"/>
    <n v="-53"/>
    <s v="Платежное поручение входящее 00BF-006416 от 13.09.2021 17:00:00"/>
    <x v="38"/>
    <s v="13.09.2021 17:00:00"/>
    <s v="ОПТ UGG"/>
    <s v="Оплата от покупателя"/>
    <s v="410/2019 от 29.11.2019"/>
    <s v="Депозит SAU AW21"/>
    <m/>
    <m/>
    <m/>
    <m/>
    <x v="0"/>
    <n v="-53"/>
  </r>
  <r>
    <s v="Платежное поручение входящее"/>
    <n v="0"/>
    <m/>
    <d v="2021-09-13T00:00:00"/>
    <d v="2021-09-13T17:00:00"/>
    <n v="0.29166666666424135"/>
    <s v="Advance"/>
    <s v="Advance"/>
    <s v="Сток Converse"/>
    <s v="Converse"/>
    <n v="-90550"/>
    <s v="Платежное поручение входящее 00BF-006417 от 13.09.2021 17:00:00"/>
    <x v="24"/>
    <s v="13.09.2021 17:00:00"/>
    <s v="ОПТ Сток Converse"/>
    <s v="Оплата от покупателя"/>
    <s v="061/2012 от 15 июня 2012"/>
    <s v="Депозит SAU SS22"/>
    <m/>
    <m/>
    <m/>
    <m/>
    <x v="0"/>
    <n v="-90550"/>
  </r>
  <r>
    <s v="Платежное поручение входящее"/>
    <n v="45"/>
    <m/>
    <d v="2021-09-13T00:00:00"/>
    <d v="2021-10-28T17:00:00"/>
    <n v="-44.708333333335759"/>
    <s v="Advance"/>
    <s v="Advance"/>
    <s v="Dr.Martens"/>
    <s v="Dr.Martens"/>
    <n v="-30096"/>
    <s v="Платежное поручение входящее 00BF-006419 от 13.09.2021 17:00:00"/>
    <x v="29"/>
    <s v="13.09.2021 17:00:00"/>
    <s v="ОПТ Dr.Martens"/>
    <s v="Оплата от покупателя"/>
    <s v="№  б/н от 18.01.2017"/>
    <s v="Депозит CON FA21"/>
    <m/>
    <m/>
    <m/>
    <m/>
    <x v="0"/>
    <n v="-30096"/>
  </r>
  <r>
    <s v="Платежное поручение входящее"/>
    <n v="38"/>
    <m/>
    <d v="2021-09-13T00:00:00"/>
    <d v="2021-10-21T23:59:59"/>
    <n v="-37.99998842592322"/>
    <s v="Advance"/>
    <s v="Advance"/>
    <s v="Hush Puppies"/>
    <s v="Hush Puppies"/>
    <n v="-8839"/>
    <s v="Платежное поручение входящее УТ000000227 от 13.09.2021 23:59:59"/>
    <x v="13"/>
    <s v="13.09.2021 23:59:59"/>
    <s v="Hush Puppies"/>
    <s v="Оплата от покупателя"/>
    <s v="Оферта"/>
    <s v="Депозит DRM AW21"/>
    <m/>
    <m/>
    <m/>
    <m/>
    <x v="0"/>
    <n v="-8839"/>
  </r>
  <r>
    <s v="Платежное поручение входящее"/>
    <n v="35"/>
    <m/>
    <d v="2021-09-14T00:00:00"/>
    <d v="2021-10-19T17:00:00"/>
    <n v="-35.708333333335759"/>
    <s v="Advance"/>
    <s v="Advance"/>
    <s v="Converse"/>
    <s v="Converse"/>
    <n v="-1252890"/>
    <s v="Платежное поручение входящее 00BF-006442 от 14.09.2021 17:00:00"/>
    <x v="36"/>
    <s v="14.09.2021 17:00:00"/>
    <s v="ОПТ Converse"/>
    <s v="Оплата от покупателя"/>
    <s v="№ 385/2019 от 27.05.2019"/>
    <s v="Депозит SAU SS22"/>
    <m/>
    <m/>
    <m/>
    <m/>
    <x v="0"/>
    <n v="-1252890"/>
  </r>
  <r>
    <s v="Платежное поручение входящее"/>
    <n v="0"/>
    <m/>
    <d v="2021-09-14T00:00:00"/>
    <d v="2021-09-14T17:00:00"/>
    <n v="-0.70833333333575865"/>
    <s v="Advance"/>
    <s v="Advance"/>
    <s v="Converse"/>
    <s v="Converse"/>
    <n v="-229152"/>
    <s v="Платежное поручение входящее 00BF-006444 от 14.09.2021 17:00:00"/>
    <x v="39"/>
    <s v="14.09.2021 17:00:00"/>
    <s v="ОПТ Converse"/>
    <s v="Оплата от покупателя"/>
    <s v="№ 433/2020 от 13.08.2020"/>
    <s v="Депозит CON FA21"/>
    <m/>
    <m/>
    <m/>
    <m/>
    <x v="0"/>
    <n v="-229152"/>
  </r>
  <r>
    <s v="Платежное поручение входящее"/>
    <n v="0"/>
    <m/>
    <d v="2021-09-14T00:00:00"/>
    <d v="2021-09-14T17:00:00"/>
    <n v="-0.70833333333575865"/>
    <s v="Advance"/>
    <s v="Advance"/>
    <s v="Converse"/>
    <s v="Converse"/>
    <n v="-112625"/>
    <s v="Платежное поручение входящее 00BF-006445 от 14.09.2021 17:00:00"/>
    <x v="23"/>
    <s v="14.09.2021 17:00:00"/>
    <s v="ОПТ Converse"/>
    <s v="Оплата от покупателя"/>
    <s v="№242/2015 от 18.06.2015"/>
    <s v="Депозит CON SP21"/>
    <m/>
    <m/>
    <m/>
    <m/>
    <x v="0"/>
    <n v="-112625"/>
  </r>
  <r>
    <s v="Платежное поручение входящее"/>
    <n v="0"/>
    <m/>
    <d v="2021-09-14T00:00:00"/>
    <d v="2021-09-14T17:00:00"/>
    <n v="-0.70833333333575865"/>
    <s v="Advance"/>
    <s v="Advance"/>
    <s v="Сток Converse"/>
    <s v="Converse"/>
    <n v="-58194"/>
    <s v="Платежное поручение входящее 00BF-006446 от 14.09.2021 17:00:00"/>
    <x v="23"/>
    <s v="14.09.2021 17:00:00"/>
    <s v="ОПТ Сток Converse"/>
    <s v="Оплата от покупателя"/>
    <s v="№242/2015 от 18.06.2015"/>
    <s v="Депозит DRM AW21"/>
    <m/>
    <m/>
    <m/>
    <m/>
    <x v="0"/>
    <n v="-58194"/>
  </r>
  <r>
    <s v="Deposit"/>
    <n v="0"/>
    <m/>
    <d v="1899-12-30T00:00:00"/>
    <d v="1899-12-30T00:00:00"/>
    <n v="44453"/>
    <s v="Advance"/>
    <s v="Advance"/>
    <s v="Converse"/>
    <s v="Converse"/>
    <n v="-40070"/>
    <m/>
    <x v="40"/>
    <m/>
    <m/>
    <m/>
    <s v="Депозит CON FA21"/>
    <s v="Депозит DRM SS21"/>
    <m/>
    <m/>
    <m/>
    <m/>
    <x v="0"/>
    <n v="-40070"/>
  </r>
  <r>
    <s v="Deposit"/>
    <n v="0"/>
    <m/>
    <d v="1899-12-30T00:00:00"/>
    <d v="1899-12-30T00:00:00"/>
    <n v="44453"/>
    <s v="Advance"/>
    <s v="Advance"/>
    <s v="Converse"/>
    <s v="Converse"/>
    <n v="-158051"/>
    <m/>
    <x v="40"/>
    <m/>
    <m/>
    <m/>
    <s v="Депозит CON SP22"/>
    <s v="Депозит HAV SS21"/>
    <m/>
    <m/>
    <m/>
    <m/>
    <x v="0"/>
    <n v="-158051"/>
  </r>
  <r>
    <s v="Deposit"/>
    <n v="0"/>
    <m/>
    <d v="1899-12-30T00:00:00"/>
    <d v="1899-12-30T00:00:00"/>
    <n v="44453"/>
    <s v="Advance"/>
    <s v="Advance"/>
    <s v="Saucony"/>
    <s v="Saucony"/>
    <n v="-169458.16"/>
    <m/>
    <x v="20"/>
    <m/>
    <m/>
    <m/>
    <s v="депозит SAU FW21"/>
    <s v="Депозит SAU AW21"/>
    <m/>
    <m/>
    <m/>
    <m/>
    <x v="0"/>
    <n v="-169458.16"/>
  </r>
  <r>
    <s v="Deposit"/>
    <n v="0"/>
    <m/>
    <d v="1899-12-30T00:00:00"/>
    <d v="1899-12-30T00:00:00"/>
    <n v="44453"/>
    <s v="Advance"/>
    <s v="Advance"/>
    <s v="Converse"/>
    <s v="Converse"/>
    <n v="-95438.37"/>
    <m/>
    <x v="41"/>
    <m/>
    <m/>
    <m/>
    <s v="Депозит CON SP22"/>
    <s v="Депозит SAU SS21"/>
    <m/>
    <m/>
    <m/>
    <m/>
    <x v="0"/>
    <n v="-95438.37"/>
  </r>
  <r>
    <s v="Deposit"/>
    <n v="0"/>
    <m/>
    <d v="1899-12-30T00:00:00"/>
    <d v="1899-12-30T00:00:00"/>
    <n v="44453"/>
    <s v="Advance"/>
    <s v="Advance"/>
    <s v="Converse"/>
    <s v="Converse"/>
    <n v="-170134.17"/>
    <m/>
    <x v="42"/>
    <m/>
    <m/>
    <m/>
    <s v="Депозит CON FW21"/>
    <s v="Депозит UGG FW21"/>
    <m/>
    <m/>
    <m/>
    <m/>
    <x v="0"/>
    <n v="-170134.17"/>
  </r>
  <r>
    <s v="Deposit"/>
    <n v="0"/>
    <m/>
    <d v="1899-12-30T00:00:00"/>
    <d v="1899-12-30T00:00:00"/>
    <n v="44453"/>
    <s v="Advance"/>
    <s v="Advance"/>
    <s v="Converse"/>
    <s v="Converse"/>
    <n v="-182855.13"/>
    <m/>
    <x v="42"/>
    <m/>
    <m/>
    <m/>
    <s v="Депозит CON SP21"/>
    <s v="депозит CON FA21"/>
    <m/>
    <m/>
    <m/>
    <m/>
    <x v="0"/>
    <n v="-182855.13"/>
  </r>
  <r>
    <s v="Deposit"/>
    <n v="0"/>
    <m/>
    <d v="1899-12-30T00:00:00"/>
    <d v="1899-12-30T00:00:00"/>
    <n v="44453"/>
    <s v="Advance"/>
    <s v="Advance"/>
    <s v="Converse"/>
    <s v="Converse"/>
    <n v="-245363.62"/>
    <m/>
    <x v="42"/>
    <m/>
    <m/>
    <m/>
    <s v="Депозит CON SP22"/>
    <s v="Депозит DRM AW21"/>
    <m/>
    <m/>
    <m/>
    <m/>
    <x v="0"/>
    <n v="-245363.62"/>
  </r>
  <r>
    <s v="Deposit"/>
    <n v="0"/>
    <m/>
    <d v="1899-12-30T00:00:00"/>
    <d v="1899-12-30T00:00:00"/>
    <n v="44453"/>
    <s v="Advance"/>
    <s v="Advance"/>
    <s v="Converse"/>
    <s v="Converse"/>
    <n v="-97248.78"/>
    <m/>
    <x v="42"/>
    <m/>
    <m/>
    <m/>
    <s v="Депозит CON SU21"/>
    <s v="депозит DRM FH20"/>
    <m/>
    <m/>
    <m/>
    <m/>
    <x v="0"/>
    <n v="-97248.78"/>
  </r>
  <r>
    <s v="Deposit"/>
    <n v="0"/>
    <m/>
    <d v="1899-12-30T00:00:00"/>
    <d v="1899-12-30T00:00:00"/>
    <n v="44453"/>
    <s v="Advance"/>
    <s v="Advance"/>
    <s v="Dr.Martens"/>
    <s v="Dr.Martens"/>
    <n v="-1240850.1399999999"/>
    <m/>
    <x v="42"/>
    <m/>
    <m/>
    <m/>
    <s v="депозит DRM AW21"/>
    <s v="Депозит UGG AW21"/>
    <m/>
    <m/>
    <m/>
    <m/>
    <x v="0"/>
    <n v="-1240850.1399999999"/>
  </r>
  <r>
    <s v="Deposit"/>
    <n v="0"/>
    <m/>
    <d v="1899-12-30T00:00:00"/>
    <d v="1899-12-30T00:00:00"/>
    <n v="44453"/>
    <s v="Advance"/>
    <s v="Advance"/>
    <s v="Dr.Martens"/>
    <s v="Dr.Martens"/>
    <n v="-375778.75"/>
    <m/>
    <x v="42"/>
    <m/>
    <m/>
    <m/>
    <s v="Депозит DRM SS22"/>
    <s v="Депозит CON FA21"/>
    <m/>
    <m/>
    <m/>
    <m/>
    <x v="0"/>
    <n v="-375778.75"/>
  </r>
  <r>
    <s v="Deposit"/>
    <n v="0"/>
    <m/>
    <d v="1899-12-30T00:00:00"/>
    <d v="1899-12-30T00:00:00"/>
    <n v="44453"/>
    <s v="Advance"/>
    <s v="Advance"/>
    <s v="Saucony"/>
    <s v="Saucony"/>
    <n v="-448843.37"/>
    <m/>
    <x v="42"/>
    <m/>
    <m/>
    <m/>
    <s v="Депозит SAU AW21"/>
    <s v="Депозит CON SU21"/>
    <m/>
    <m/>
    <m/>
    <m/>
    <x v="0"/>
    <n v="-448843.37"/>
  </r>
  <r>
    <s v="Deposit"/>
    <n v="0"/>
    <m/>
    <d v="1899-12-30T00:00:00"/>
    <d v="1899-12-30T00:00:00"/>
    <n v="44453"/>
    <s v="Advance"/>
    <s v="Advance"/>
    <s v="Saucony"/>
    <s v="Saucony"/>
    <n v="-440491.9"/>
    <m/>
    <x v="42"/>
    <m/>
    <m/>
    <m/>
    <s v="Депозит SAU SS22"/>
    <s v="Депозит DRM AW21"/>
    <m/>
    <m/>
    <m/>
    <m/>
    <x v="0"/>
    <n v="-440491.9"/>
  </r>
  <r>
    <s v="Deposit"/>
    <n v="0"/>
    <m/>
    <d v="1899-12-30T00:00:00"/>
    <d v="1899-12-30T00:00:00"/>
    <n v="44453"/>
    <s v="Advance"/>
    <s v="Advance"/>
    <s v="Converse"/>
    <s v="Converse"/>
    <n v="-2306405.39"/>
    <m/>
    <x v="43"/>
    <m/>
    <m/>
    <m/>
    <s v="Депозит CON FA21"/>
    <s v="Депозит SAU SS19"/>
    <m/>
    <m/>
    <m/>
    <m/>
    <x v="0"/>
    <n v="-2306405.39"/>
  </r>
  <r>
    <s v="Deposit"/>
    <n v="0"/>
    <m/>
    <d v="1899-12-30T00:00:00"/>
    <d v="1899-12-30T00:00:00"/>
    <n v="44453"/>
    <s v="Advance"/>
    <s v="Advance"/>
    <s v="Converse"/>
    <s v="Converse"/>
    <n v="-6516518.8300000001"/>
    <m/>
    <x v="43"/>
    <m/>
    <m/>
    <m/>
    <s v="Депозит CON SP22"/>
    <s v="Депозит DRM AW21"/>
    <m/>
    <m/>
    <m/>
    <m/>
    <x v="0"/>
    <n v="-6516518.8300000001"/>
  </r>
  <r>
    <s v="Deposit"/>
    <n v="0"/>
    <m/>
    <d v="1899-12-30T00:00:00"/>
    <d v="1899-12-30T00:00:00"/>
    <n v="44453"/>
    <s v="Advance"/>
    <s v="Advance"/>
    <s v="Dr.Martens"/>
    <s v="Dr.Martens"/>
    <n v="-9349156.1199999992"/>
    <m/>
    <x v="43"/>
    <m/>
    <m/>
    <m/>
    <s v="Депозит DRM AW21"/>
    <s v="Депозит UGG AW21"/>
    <m/>
    <m/>
    <m/>
    <m/>
    <x v="0"/>
    <n v="-9349156.1199999992"/>
  </r>
  <r>
    <s v="Deposit"/>
    <n v="0"/>
    <m/>
    <d v="1899-12-30T00:00:00"/>
    <d v="1899-12-30T00:00:00"/>
    <n v="44453"/>
    <s v="Advance"/>
    <s v="Advance"/>
    <s v="Dr.Martens"/>
    <s v="Dr.Martens"/>
    <n v="-658615.67000000004"/>
    <m/>
    <x v="43"/>
    <m/>
    <m/>
    <m/>
    <s v="Депозит DRM SS22"/>
    <s v="Депозит CON SP17"/>
    <m/>
    <m/>
    <m/>
    <m/>
    <x v="0"/>
    <n v="-658615.67000000004"/>
  </r>
  <r>
    <s v="Deposit"/>
    <n v="0"/>
    <m/>
    <d v="1899-12-30T00:00:00"/>
    <d v="1899-12-30T00:00:00"/>
    <n v="44453"/>
    <s v="Advance"/>
    <s v="Advance"/>
    <s v="Havaianas"/>
    <s v="Havaianas"/>
    <n v="-147697.51999999999"/>
    <m/>
    <x v="43"/>
    <m/>
    <m/>
    <m/>
    <s v="Депозит HAV SS22"/>
    <s v="Депозит CON SP20"/>
    <m/>
    <m/>
    <m/>
    <m/>
    <x v="0"/>
    <n v="-147697.51999999999"/>
  </r>
  <r>
    <s v="Deposit"/>
    <n v="0"/>
    <m/>
    <d v="1899-12-30T00:00:00"/>
    <d v="1899-12-30T00:00:00"/>
    <n v="44453"/>
    <s v="Advance"/>
    <s v="Advance"/>
    <s v="Saucony"/>
    <s v="Saucony"/>
    <n v="-637085.55000000005"/>
    <m/>
    <x v="43"/>
    <m/>
    <m/>
    <m/>
    <s v="Депозит SAU SS22"/>
    <s v="Депозит CON SP21"/>
    <m/>
    <m/>
    <m/>
    <m/>
    <x v="0"/>
    <n v="-637085.55000000005"/>
  </r>
  <r>
    <s v="Deposit"/>
    <n v="0"/>
    <m/>
    <d v="1899-12-30T00:00:00"/>
    <d v="1899-12-30T00:00:00"/>
    <n v="44453"/>
    <s v="Advance"/>
    <s v="Advance"/>
    <s v="Converse"/>
    <s v="Converse"/>
    <n v="-807310.42"/>
    <m/>
    <x v="15"/>
    <m/>
    <m/>
    <m/>
    <s v="Депозит CON FA21"/>
    <s v="депозит DRM AW21"/>
    <m/>
    <m/>
    <m/>
    <m/>
    <x v="0"/>
    <n v="-807310.42"/>
  </r>
  <r>
    <s v="Deposit"/>
    <n v="0"/>
    <m/>
    <d v="1899-12-30T00:00:00"/>
    <d v="1899-12-30T00:00:00"/>
    <n v="44453"/>
    <s v="Advance"/>
    <s v="Advance"/>
    <s v="Converse"/>
    <s v="Converse"/>
    <n v="-1487268.94"/>
    <m/>
    <x v="15"/>
    <m/>
    <m/>
    <m/>
    <s v="Депозит CON SP21"/>
    <s v="Депозит SAU SS22"/>
    <m/>
    <m/>
    <m/>
    <m/>
    <x v="0"/>
    <n v="-1487268.94"/>
  </r>
  <r>
    <s v="Deposit"/>
    <n v="0"/>
    <m/>
    <d v="1899-12-30T00:00:00"/>
    <d v="1899-12-30T00:00:00"/>
    <n v="44453"/>
    <s v="Advance"/>
    <s v="Advance"/>
    <s v="Converse"/>
    <s v="Converse"/>
    <n v="-2224397.5099999998"/>
    <m/>
    <x v="15"/>
    <m/>
    <m/>
    <m/>
    <s v="Депозит CON SP22"/>
    <s v="Депозит DRM FH18"/>
    <m/>
    <m/>
    <m/>
    <m/>
    <x v="0"/>
    <n v="-2224397.5099999998"/>
  </r>
  <r>
    <s v="Deposit"/>
    <n v="0"/>
    <m/>
    <d v="1899-12-30T00:00:00"/>
    <d v="1899-12-30T00:00:00"/>
    <n v="44453"/>
    <s v="Advance"/>
    <s v="Advance"/>
    <s v="Dr.Martens"/>
    <s v="Dr.Martens"/>
    <n v="-1530002.96"/>
    <m/>
    <x v="15"/>
    <m/>
    <m/>
    <m/>
    <s v="Депозит DRM AW21"/>
    <s v="Депозит SAU SS22"/>
    <m/>
    <m/>
    <m/>
    <m/>
    <x v="0"/>
    <n v="-1530002.96"/>
  </r>
  <r>
    <s v="Deposit"/>
    <n v="0"/>
    <m/>
    <d v="1899-12-30T00:00:00"/>
    <d v="1899-12-30T00:00:00"/>
    <n v="44453"/>
    <s v="Advance"/>
    <s v="Advance"/>
    <s v="Havaianas"/>
    <s v="Havaianas"/>
    <n v="-230964.89"/>
    <m/>
    <x v="15"/>
    <m/>
    <m/>
    <m/>
    <s v="Депозит HAV SS22"/>
    <s v="Депозит UGG AW21"/>
    <m/>
    <m/>
    <m/>
    <m/>
    <x v="0"/>
    <n v="-230964.89"/>
  </r>
  <r>
    <s v="Deposit"/>
    <n v="0"/>
    <m/>
    <d v="1899-12-30T00:00:00"/>
    <d v="1899-12-30T00:00:00"/>
    <n v="44453"/>
    <s v="Advance"/>
    <s v="Advance"/>
    <s v="Saucony"/>
    <s v="Saucony"/>
    <n v="-451454.78"/>
    <m/>
    <x v="15"/>
    <m/>
    <m/>
    <m/>
    <s v="Депозит SAU AW21"/>
    <s v="Депозит CON SP20"/>
    <m/>
    <m/>
    <m/>
    <m/>
    <x v="0"/>
    <n v="-451454.78"/>
  </r>
  <r>
    <s v="Deposit"/>
    <n v="0"/>
    <m/>
    <d v="1899-12-30T00:00:00"/>
    <d v="1899-12-30T00:00:00"/>
    <n v="44453"/>
    <s v="Advance"/>
    <s v="Advance"/>
    <s v="Saucony"/>
    <s v="Saucony"/>
    <n v="-421283.43"/>
    <m/>
    <x v="15"/>
    <m/>
    <m/>
    <m/>
    <s v="Депозит SAU SS22"/>
    <s v="Депозит CON FA21"/>
    <m/>
    <m/>
    <m/>
    <m/>
    <x v="0"/>
    <n v="-421283.43"/>
  </r>
  <r>
    <s v="Deposit"/>
    <n v="0"/>
    <m/>
    <d v="1899-12-30T00:00:00"/>
    <d v="1899-12-30T00:00:00"/>
    <n v="44453"/>
    <s v="Advance"/>
    <s v="Advance"/>
    <s v="UGG"/>
    <s v="UGG"/>
    <n v="-4525122.43"/>
    <m/>
    <x v="15"/>
    <m/>
    <m/>
    <m/>
    <s v="Депозит UGG FW21"/>
    <s v="депозит DRM FH20"/>
    <m/>
    <m/>
    <m/>
    <m/>
    <x v="0"/>
    <n v="-4525122.43"/>
  </r>
  <r>
    <s v="Deposit"/>
    <n v="0"/>
    <m/>
    <d v="1899-12-30T00:00:00"/>
    <d v="1899-12-30T00:00:00"/>
    <n v="44453"/>
    <s v="Advance"/>
    <s v="Advance"/>
    <s v="Converse"/>
    <s v="Converse"/>
    <n v="-95259.43"/>
    <m/>
    <x v="35"/>
    <m/>
    <m/>
    <m/>
    <s v="депозит CON FA21"/>
    <s v="Депозит SAU FW21"/>
    <m/>
    <m/>
    <m/>
    <m/>
    <x v="0"/>
    <n v="-95259.43"/>
  </r>
  <r>
    <s v="Deposit"/>
    <n v="0"/>
    <m/>
    <d v="1899-12-30T00:00:00"/>
    <d v="1899-12-30T00:00:00"/>
    <n v="44453"/>
    <s v="Advance"/>
    <s v="Advance"/>
    <s v="Converse"/>
    <s v="Converse"/>
    <n v="-74760.47"/>
    <m/>
    <x v="35"/>
    <m/>
    <m/>
    <m/>
    <s v="Депозит CON SP22"/>
    <s v="Депозит CON SU18"/>
    <m/>
    <m/>
    <m/>
    <m/>
    <x v="0"/>
    <n v="-74760.47"/>
  </r>
  <r>
    <s v="Deposit"/>
    <n v="0"/>
    <m/>
    <d v="1899-12-30T00:00:00"/>
    <d v="1899-12-30T00:00:00"/>
    <n v="44453"/>
    <s v="Advance"/>
    <s v="Advance"/>
    <s v="Dr.Martens"/>
    <s v="Dr.Martens"/>
    <n v="-220329.27"/>
    <m/>
    <x v="35"/>
    <m/>
    <m/>
    <m/>
    <s v="Депозит DRM AW21"/>
    <s v="депозит DRM AW21"/>
    <m/>
    <m/>
    <m/>
    <m/>
    <x v="0"/>
    <n v="-220329.27"/>
  </r>
  <r>
    <s v="Deposit"/>
    <n v="0"/>
    <m/>
    <d v="1899-12-30T00:00:00"/>
    <d v="1899-12-30T00:00:00"/>
    <n v="44453"/>
    <s v="Advance"/>
    <s v="Advance"/>
    <s v="Dr.Martens"/>
    <s v="Dr.Martens"/>
    <n v="-86569.63"/>
    <m/>
    <x v="35"/>
    <m/>
    <m/>
    <m/>
    <s v="Депозит DRM SS22"/>
    <s v="Депозит CON FA21"/>
    <m/>
    <m/>
    <m/>
    <m/>
    <x v="0"/>
    <n v="-86569.63"/>
  </r>
  <r>
    <s v="Deposit"/>
    <n v="0"/>
    <m/>
    <d v="1899-12-30T00:00:00"/>
    <d v="1899-12-30T00:00:00"/>
    <n v="44453"/>
    <s v="Advance"/>
    <s v="Advance"/>
    <s v="UGG"/>
    <s v="UGG"/>
    <n v="-377357.64"/>
    <m/>
    <x v="35"/>
    <m/>
    <m/>
    <m/>
    <s v="Депозит UGG AW21"/>
    <s v="депозит DRM FH20"/>
    <m/>
    <m/>
    <m/>
    <m/>
    <x v="0"/>
    <n v="-377357.64"/>
  </r>
  <r>
    <s v="Deposit"/>
    <n v="0"/>
    <m/>
    <d v="1899-12-30T00:00:00"/>
    <d v="1899-12-30T00:00:00"/>
    <n v="44453"/>
    <s v="Advance"/>
    <s v="Advance"/>
    <s v="Converse"/>
    <s v="Converse"/>
    <n v="-45319"/>
    <m/>
    <x v="17"/>
    <m/>
    <m/>
    <m/>
    <s v="Депозит CON SP22"/>
    <s v="Депозит DRM AW21"/>
    <m/>
    <m/>
    <m/>
    <m/>
    <x v="0"/>
    <n v="-45319"/>
  </r>
  <r>
    <s v="Deposit"/>
    <n v="0"/>
    <m/>
    <d v="1899-12-30T00:00:00"/>
    <d v="1899-12-30T00:00:00"/>
    <n v="44453"/>
    <s v="Advance"/>
    <s v="Advance"/>
    <s v="Converse"/>
    <s v="Converse"/>
    <n v="-40000"/>
    <m/>
    <x v="17"/>
    <m/>
    <m/>
    <m/>
    <s v="Депозит CON SS22"/>
    <s v="Депозит SAU AW21"/>
    <m/>
    <m/>
    <m/>
    <m/>
    <x v="0"/>
    <n v="-40000"/>
  </r>
  <r>
    <s v="Deposit"/>
    <n v="0"/>
    <m/>
    <d v="1899-12-30T00:00:00"/>
    <d v="1899-12-30T00:00:00"/>
    <n v="44453"/>
    <s v="Advance"/>
    <s v="Advance"/>
    <s v="Converse"/>
    <s v="Converse"/>
    <n v="-47713"/>
    <m/>
    <x v="24"/>
    <m/>
    <m/>
    <m/>
    <s v="Депозит CON FA21"/>
    <s v="Депозит CON SP20"/>
    <m/>
    <m/>
    <m/>
    <m/>
    <x v="0"/>
    <n v="-47713"/>
  </r>
  <r>
    <s v="Deposit"/>
    <n v="0"/>
    <m/>
    <d v="1899-12-30T00:00:00"/>
    <d v="1899-12-30T00:00:00"/>
    <n v="44453"/>
    <s v="Advance"/>
    <s v="Advance"/>
    <s v="Converse"/>
    <s v="Converse"/>
    <n v="-418785"/>
    <m/>
    <x v="24"/>
    <m/>
    <m/>
    <m/>
    <s v="Депозит CON SP22"/>
    <s v="Депозит SAU SS20"/>
    <m/>
    <m/>
    <m/>
    <m/>
    <x v="0"/>
    <n v="-418785"/>
  </r>
  <r>
    <s v="Deposit"/>
    <n v="0"/>
    <m/>
    <d v="1899-12-30T00:00:00"/>
    <d v="1899-12-30T00:00:00"/>
    <n v="44453"/>
    <s v="Advance"/>
    <s v="Advance"/>
    <s v="Converse"/>
    <s v="Converse"/>
    <n v="-140484"/>
    <m/>
    <x v="24"/>
    <m/>
    <m/>
    <m/>
    <s v="Депозит CON SU21"/>
    <s v="депозит CON FA21"/>
    <m/>
    <m/>
    <m/>
    <m/>
    <x v="0"/>
    <n v="-140484"/>
  </r>
  <r>
    <s v="Deposit"/>
    <n v="0"/>
    <m/>
    <d v="1899-12-30T00:00:00"/>
    <d v="1899-12-30T00:00:00"/>
    <n v="44453"/>
    <s v="Advance"/>
    <s v="Advance"/>
    <s v="Dr.Martens"/>
    <s v="Dr.Martens"/>
    <n v="-49486"/>
    <m/>
    <x v="24"/>
    <m/>
    <m/>
    <m/>
    <s v="Депозит DRM AW21"/>
    <s v="депозит SAU SS22"/>
    <m/>
    <m/>
    <m/>
    <m/>
    <x v="0"/>
    <n v="-49486"/>
  </r>
  <r>
    <s v="Deposit"/>
    <n v="0"/>
    <m/>
    <d v="1899-12-30T00:00:00"/>
    <d v="1899-12-30T00:00:00"/>
    <n v="44453"/>
    <s v="Advance"/>
    <s v="Advance"/>
    <s v="Saucony"/>
    <s v="Saucony"/>
    <n v="-11533.5"/>
    <m/>
    <x v="44"/>
    <m/>
    <m/>
    <m/>
    <s v="Депозит SAU SS19"/>
    <s v="Депозит DRM AW21"/>
    <m/>
    <m/>
    <m/>
    <m/>
    <x v="0"/>
    <n v="-11533.5"/>
  </r>
  <r>
    <s v="Deposit"/>
    <n v="0"/>
    <m/>
    <d v="1899-12-30T00:00:00"/>
    <d v="1899-12-30T00:00:00"/>
    <n v="44453"/>
    <s v="Advance"/>
    <s v="Advance"/>
    <s v="Dr.Martens"/>
    <s v="Dr.Martens"/>
    <n v="-256988"/>
    <m/>
    <x v="45"/>
    <m/>
    <m/>
    <m/>
    <s v="Депозит DRM AW21"/>
    <s v="Депозит DRM SS21"/>
    <m/>
    <m/>
    <m/>
    <m/>
    <x v="0"/>
    <n v="-256988"/>
  </r>
  <r>
    <s v="Deposit"/>
    <n v="0"/>
    <m/>
    <d v="1899-12-30T00:00:00"/>
    <d v="1899-12-30T00:00:00"/>
    <n v="44453"/>
    <s v="Advance"/>
    <s v="Advance"/>
    <s v="Dr.Martens"/>
    <s v="Dr.Martens"/>
    <n v="-99768"/>
    <m/>
    <x v="45"/>
    <m/>
    <m/>
    <m/>
    <s v="Депозит DRM SS22"/>
    <s v="Депозит CON SP21"/>
    <m/>
    <m/>
    <m/>
    <m/>
    <x v="0"/>
    <n v="-99768"/>
  </r>
  <r>
    <s v="Deposit"/>
    <n v="0"/>
    <m/>
    <d v="1899-12-30T00:00:00"/>
    <d v="1899-12-30T00:00:00"/>
    <n v="44453"/>
    <s v="Advance"/>
    <s v="Advance"/>
    <s v="UGG"/>
    <s v="UGG"/>
    <n v="-437968"/>
    <m/>
    <x v="45"/>
    <m/>
    <m/>
    <m/>
    <s v="Депозит UGG AW21"/>
    <s v="Депозит CON SU21"/>
    <m/>
    <m/>
    <m/>
    <m/>
    <x v="0"/>
    <n v="-437968"/>
  </r>
  <r>
    <s v="Deposit"/>
    <n v="0"/>
    <m/>
    <d v="1899-12-30T00:00:00"/>
    <d v="1899-12-30T00:00:00"/>
    <n v="44453"/>
    <s v="Advance"/>
    <s v="Advance"/>
    <s v="UGG"/>
    <s v="UGG"/>
    <n v="-349625"/>
    <m/>
    <x v="45"/>
    <m/>
    <m/>
    <m/>
    <s v="Депозит UGG SS22"/>
    <s v="депозит DRM AW21"/>
    <m/>
    <m/>
    <m/>
    <m/>
    <x v="0"/>
    <n v="-349625"/>
  </r>
  <r>
    <s v="Deposit"/>
    <n v="0"/>
    <m/>
    <d v="1899-12-30T00:00:00"/>
    <d v="1899-12-30T00:00:00"/>
    <n v="44453"/>
    <s v="Advance"/>
    <s v="Advance"/>
    <s v="Converse"/>
    <s v="Converse"/>
    <n v="-120577.83"/>
    <m/>
    <x v="46"/>
    <m/>
    <m/>
    <m/>
    <s v="Депозит CON SP17"/>
    <s v="Депозит SAU SS22"/>
    <m/>
    <m/>
    <m/>
    <m/>
    <x v="0"/>
    <n v="-120577.83"/>
  </r>
  <r>
    <s v="Deposit"/>
    <n v="0"/>
    <m/>
    <d v="1899-12-30T00:00:00"/>
    <d v="1899-12-30T00:00:00"/>
    <n v="44453"/>
    <s v="Advance"/>
    <s v="Advance"/>
    <s v="Converse"/>
    <s v="Converse"/>
    <n v="-46177.23"/>
    <m/>
    <x v="46"/>
    <m/>
    <m/>
    <m/>
    <s v="Депозит CON SP20"/>
    <s v="Депозит UGG AW21"/>
    <m/>
    <m/>
    <m/>
    <m/>
    <x v="0"/>
    <n v="-46177.23"/>
  </r>
  <r>
    <s v="Deposit"/>
    <n v="0"/>
    <m/>
    <d v="1899-12-30T00:00:00"/>
    <d v="1899-12-30T00:00:00"/>
    <n v="44453"/>
    <s v="Advance"/>
    <s v="Advance"/>
    <s v="Converse"/>
    <s v="Converse"/>
    <n v="-11259.9"/>
    <m/>
    <x v="47"/>
    <m/>
    <m/>
    <m/>
    <s v="Депозит CON SP21"/>
    <s v="Депозит CON SP19"/>
    <m/>
    <m/>
    <m/>
    <m/>
    <x v="0"/>
    <n v="-11259.9"/>
  </r>
  <r>
    <s v="Deposit"/>
    <n v="0"/>
    <m/>
    <d v="1899-12-30T00:00:00"/>
    <d v="1899-12-30T00:00:00"/>
    <n v="44453"/>
    <s v="Advance"/>
    <s v="Advance"/>
    <s v="Converse"/>
    <s v="Converse"/>
    <n v="-25376"/>
    <m/>
    <x v="47"/>
    <m/>
    <m/>
    <m/>
    <s v="Депозит CON SP22"/>
    <s v="Депозит CON SP21"/>
    <m/>
    <m/>
    <m/>
    <m/>
    <x v="0"/>
    <n v="-25376"/>
  </r>
  <r>
    <s v="Deposit"/>
    <n v="0"/>
    <m/>
    <d v="1899-12-30T00:00:00"/>
    <d v="1899-12-30T00:00:00"/>
    <n v="44453"/>
    <s v="Advance"/>
    <s v="Advance"/>
    <s v="Converse"/>
    <s v="Converse"/>
    <n v="-51614.61"/>
    <m/>
    <x v="14"/>
    <m/>
    <m/>
    <m/>
    <s v="Депозит CON SP22"/>
    <s v="Депозит SAU FA21"/>
    <m/>
    <m/>
    <m/>
    <m/>
    <x v="0"/>
    <n v="-51614.61"/>
  </r>
  <r>
    <s v="Deposit"/>
    <n v="0"/>
    <m/>
    <d v="1899-12-30T00:00:00"/>
    <d v="1899-12-30T00:00:00"/>
    <n v="44453"/>
    <s v="Advance"/>
    <s v="Advance"/>
    <s v="Dr.Martens"/>
    <s v="Dr.Martens"/>
    <n v="-100506.83"/>
    <m/>
    <x v="14"/>
    <m/>
    <m/>
    <m/>
    <s v="депозит DRM AW21"/>
    <s v="Депозит CON SU20"/>
    <m/>
    <m/>
    <m/>
    <m/>
    <x v="0"/>
    <n v="-100506.83"/>
  </r>
  <r>
    <s v="Deposit"/>
    <n v="0"/>
    <m/>
    <d v="1899-12-30T00:00:00"/>
    <d v="1899-12-30T00:00:00"/>
    <n v="44453"/>
    <s v="Advance"/>
    <s v="Advance"/>
    <s v="Saucony"/>
    <s v="Saucony"/>
    <n v="-66778.42"/>
    <m/>
    <x v="14"/>
    <m/>
    <m/>
    <m/>
    <s v="Депозит SAU SS22"/>
    <s v="Депозит CON SU21"/>
    <m/>
    <m/>
    <m/>
    <m/>
    <x v="0"/>
    <n v="-66778.42"/>
  </r>
  <r>
    <s v="Deposit"/>
    <n v="0"/>
    <m/>
    <d v="1899-12-30T00:00:00"/>
    <d v="1899-12-30T00:00:00"/>
    <n v="44453"/>
    <s v="Advance"/>
    <s v="Advance"/>
    <s v="Dr.Martens"/>
    <s v="Dr.Martens"/>
    <n v="-1759.12"/>
    <m/>
    <x v="48"/>
    <m/>
    <m/>
    <m/>
    <s v="Депозит DRM FH18"/>
    <s v="депозит CON FA21"/>
    <m/>
    <m/>
    <m/>
    <m/>
    <x v="0"/>
    <n v="-1759.12"/>
  </r>
  <r>
    <s v="Deposit"/>
    <n v="0"/>
    <m/>
    <d v="1899-12-30T00:00:00"/>
    <d v="1899-12-30T00:00:00"/>
    <n v="44453"/>
    <s v="Advance"/>
    <s v="Advance"/>
    <s v="Converse"/>
    <s v="Converse"/>
    <n v="-85906.98"/>
    <m/>
    <x v="49"/>
    <m/>
    <m/>
    <m/>
    <s v="Депозит CON SP22"/>
    <s v="Депозит DRM FW21"/>
    <m/>
    <m/>
    <m/>
    <m/>
    <x v="0"/>
    <n v="-85906.98"/>
  </r>
  <r>
    <s v="Deposit"/>
    <n v="0"/>
    <m/>
    <d v="1899-12-30T00:00:00"/>
    <d v="1899-12-30T00:00:00"/>
    <n v="44453"/>
    <s v="Advance"/>
    <s v="Advance"/>
    <s v="Saucony"/>
    <s v="Saucony"/>
    <n v="-220629.55"/>
    <m/>
    <x v="50"/>
    <m/>
    <m/>
    <m/>
    <s v="Депозит SAU SS22"/>
    <s v="Депозит DRM AW21"/>
    <m/>
    <m/>
    <m/>
    <m/>
    <x v="0"/>
    <n v="-220629.55"/>
  </r>
  <r>
    <s v="Deposit"/>
    <n v="0"/>
    <m/>
    <d v="1899-12-30T00:00:00"/>
    <d v="1899-12-30T00:00:00"/>
    <n v="44453"/>
    <s v="Advance"/>
    <s v="Advance"/>
    <s v="UGG"/>
    <s v="UGG"/>
    <n v="-69037.63"/>
    <m/>
    <x v="51"/>
    <m/>
    <m/>
    <m/>
    <s v="Депозит UGG AW21"/>
    <s v="депозит SAU SS22"/>
    <m/>
    <m/>
    <m/>
    <m/>
    <x v="0"/>
    <n v="-69037.63"/>
  </r>
  <r>
    <s v="Deposit"/>
    <n v="0"/>
    <m/>
    <d v="1899-12-30T00:00:00"/>
    <d v="1899-12-30T00:00:00"/>
    <n v="44453"/>
    <s v="Advance"/>
    <s v="Advance"/>
    <s v="Converse"/>
    <s v="Converse"/>
    <n v="-50473"/>
    <m/>
    <x v="52"/>
    <m/>
    <m/>
    <m/>
    <s v="Депозит CON SP20"/>
    <s v="Депозит CON FW21"/>
    <m/>
    <m/>
    <m/>
    <m/>
    <x v="0"/>
    <n v="-50473"/>
  </r>
  <r>
    <s v="Deposit"/>
    <n v="0"/>
    <m/>
    <d v="1899-12-30T00:00:00"/>
    <d v="1899-12-30T00:00:00"/>
    <n v="44453"/>
    <s v="Advance"/>
    <s v="Advance"/>
    <s v="Converse"/>
    <s v="Converse"/>
    <n v="-53892.24"/>
    <m/>
    <x v="53"/>
    <m/>
    <m/>
    <m/>
    <s v="Депозит CON FA21"/>
    <s v="Депозит DRM AW21"/>
    <m/>
    <m/>
    <m/>
    <m/>
    <x v="0"/>
    <n v="-53892.24"/>
  </r>
  <r>
    <s v="Deposit"/>
    <n v="0"/>
    <m/>
    <d v="1899-12-30T00:00:00"/>
    <d v="1899-12-30T00:00:00"/>
    <n v="44453"/>
    <s v="Advance"/>
    <s v="Advance"/>
    <s v="Converse"/>
    <s v="Converse"/>
    <n v="-28361.759999999998"/>
    <m/>
    <x v="53"/>
    <m/>
    <m/>
    <m/>
    <s v="Депозит CON SP22"/>
    <s v="Депозит SAU SS22"/>
    <m/>
    <m/>
    <m/>
    <m/>
    <x v="0"/>
    <n v="-28361.759999999998"/>
  </r>
  <r>
    <s v="Deposit"/>
    <n v="0"/>
    <m/>
    <d v="1899-12-30T00:00:00"/>
    <d v="1899-12-30T00:00:00"/>
    <n v="44453"/>
    <s v="Advance"/>
    <s v="Advance"/>
    <s v="Dr.Martens"/>
    <s v="Dr.Martens"/>
    <n v="-56290.6"/>
    <m/>
    <x v="4"/>
    <m/>
    <m/>
    <m/>
    <s v="депозит DRM FH20"/>
    <s v="Депозит UGG AW21"/>
    <m/>
    <m/>
    <m/>
    <m/>
    <x v="0"/>
    <n v="-56290.6"/>
  </r>
  <r>
    <s v="Deposit"/>
    <n v="0"/>
    <m/>
    <d v="1899-12-30T00:00:00"/>
    <d v="1899-12-30T00:00:00"/>
    <n v="44453"/>
    <s v="Advance"/>
    <s v="Advance"/>
    <s v="Saucony"/>
    <s v="Saucony"/>
    <n v="-78018.33"/>
    <m/>
    <x v="36"/>
    <m/>
    <m/>
    <m/>
    <s v="Депозит SAU FW21"/>
    <s v="Депозит SAU SS22"/>
    <m/>
    <m/>
    <m/>
    <m/>
    <x v="0"/>
    <n v="-78018.33"/>
  </r>
  <r>
    <s v="Deposit"/>
    <n v="0"/>
    <m/>
    <d v="1899-12-30T00:00:00"/>
    <d v="1899-12-30T00:00:00"/>
    <n v="44453"/>
    <s v="Advance"/>
    <s v="Advance"/>
    <s v="Converse"/>
    <s v="Converse"/>
    <n v="-95860"/>
    <m/>
    <x v="54"/>
    <m/>
    <m/>
    <m/>
    <s v="Депозит CON SP22"/>
    <s v="Депозит CON FA20"/>
    <m/>
    <m/>
    <m/>
    <m/>
    <x v="0"/>
    <n v="-95860"/>
  </r>
  <r>
    <s v="Deposit"/>
    <n v="0"/>
    <m/>
    <d v="1899-12-30T00:00:00"/>
    <d v="1899-12-30T00:00:00"/>
    <n v="44453"/>
    <s v="Advance"/>
    <s v="Advance"/>
    <s v="Converse"/>
    <s v="Converse"/>
    <n v="-7199.46"/>
    <m/>
    <x v="55"/>
    <m/>
    <m/>
    <m/>
    <s v="Депозит CON SU18"/>
    <s v="Депозит UGG FW21"/>
    <m/>
    <m/>
    <m/>
    <m/>
    <x v="0"/>
    <n v="-7199.46"/>
  </r>
  <r>
    <s v="Deposit"/>
    <n v="0"/>
    <m/>
    <d v="1899-12-30T00:00:00"/>
    <d v="1899-12-30T00:00:00"/>
    <n v="44453"/>
    <s v="Advance"/>
    <s v="Advance"/>
    <s v="Dr.Martens"/>
    <s v="Dr.Martens"/>
    <n v="-103355.81"/>
    <m/>
    <x v="56"/>
    <m/>
    <m/>
    <m/>
    <s v="депозит DRM AW21"/>
    <s v="Депозит CON FA21"/>
    <m/>
    <m/>
    <m/>
    <m/>
    <x v="0"/>
    <n v="-103355.81"/>
  </r>
  <r>
    <s v="Deposit"/>
    <n v="0"/>
    <m/>
    <d v="1899-12-30T00:00:00"/>
    <d v="1899-12-30T00:00:00"/>
    <n v="44453"/>
    <s v="Advance"/>
    <s v="Advance"/>
    <s v="Converse"/>
    <s v="Converse"/>
    <n v="-89872.75"/>
    <m/>
    <x v="57"/>
    <m/>
    <m/>
    <m/>
    <s v="Депозит CON FA21"/>
    <s v="Депозит CON SP21"/>
    <m/>
    <m/>
    <m/>
    <m/>
    <x v="0"/>
    <n v="-89872.75"/>
  </r>
  <r>
    <s v="Deposit"/>
    <n v="0"/>
    <m/>
    <d v="1899-12-30T00:00:00"/>
    <d v="1899-12-30T00:00:00"/>
    <n v="44453"/>
    <s v="Advance"/>
    <s v="Advance"/>
    <s v="Converse"/>
    <s v="Converse"/>
    <n v="-165347.43"/>
    <m/>
    <x v="57"/>
    <m/>
    <m/>
    <m/>
    <s v="Депозит CON SP22"/>
    <s v="Депозит DRM FH21"/>
    <m/>
    <m/>
    <m/>
    <m/>
    <x v="0"/>
    <n v="-165347.43"/>
  </r>
  <r>
    <s v="Deposit"/>
    <n v="0"/>
    <m/>
    <d v="1899-12-30T00:00:00"/>
    <d v="1899-12-30T00:00:00"/>
    <n v="44453"/>
    <s v="Advance"/>
    <s v="Advance"/>
    <s v="Dr.Martens"/>
    <s v="Dr.Martens"/>
    <n v="-10188"/>
    <m/>
    <x v="19"/>
    <m/>
    <m/>
    <m/>
    <s v="депозит DRM FH20"/>
    <s v="Депозит SAU SS21"/>
    <m/>
    <m/>
    <m/>
    <m/>
    <x v="0"/>
    <n v="-10188"/>
  </r>
  <r>
    <s v="Deposit"/>
    <n v="0"/>
    <m/>
    <d v="1899-12-30T00:00:00"/>
    <d v="1899-12-30T00:00:00"/>
    <n v="44453"/>
    <s v="Advance"/>
    <s v="Advance"/>
    <s v="Converse"/>
    <s v="Converse"/>
    <n v="-73000"/>
    <m/>
    <x v="58"/>
    <m/>
    <m/>
    <m/>
    <s v="Депозит CON SP22"/>
    <s v="Депозит UGG FW21"/>
    <m/>
    <m/>
    <m/>
    <m/>
    <x v="0"/>
    <n v="-73000"/>
  </r>
  <r>
    <s v="Deposit"/>
    <n v="0"/>
    <m/>
    <d v="1899-12-30T00:00:00"/>
    <d v="1899-12-30T00:00:00"/>
    <n v="44453"/>
    <s v="Advance"/>
    <s v="Advance"/>
    <s v="Converse"/>
    <s v="Converse"/>
    <n v="-167760.57999999999"/>
    <m/>
    <x v="27"/>
    <m/>
    <m/>
    <m/>
    <s v="Депозит CON SP22"/>
    <s v="Депозит SAU AW21"/>
    <m/>
    <m/>
    <m/>
    <m/>
    <x v="0"/>
    <n v="-167760.57999999999"/>
  </r>
  <r>
    <s v="Deposit"/>
    <n v="0"/>
    <m/>
    <d v="1899-12-30T00:00:00"/>
    <d v="1899-12-30T00:00:00"/>
    <n v="44453"/>
    <s v="Advance"/>
    <s v="Advance"/>
    <s v="Dr.Martens"/>
    <s v="Dr.Martens"/>
    <n v="-465170"/>
    <m/>
    <x v="59"/>
    <m/>
    <m/>
    <m/>
    <s v="Депозит DRM AW21"/>
    <s v="Депозит SAU SS21"/>
    <m/>
    <m/>
    <m/>
    <m/>
    <x v="0"/>
    <n v="-465170"/>
  </r>
  <r>
    <s v="Deposit"/>
    <n v="0"/>
    <m/>
    <d v="1899-12-30T00:00:00"/>
    <d v="1899-12-30T00:00:00"/>
    <n v="44453"/>
    <s v="Advance"/>
    <s v="Advance"/>
    <s v="Saucony"/>
    <s v="Saucony"/>
    <n v="-256000"/>
    <m/>
    <x v="59"/>
    <m/>
    <m/>
    <m/>
    <s v="Депозит SAU AW21"/>
    <s v="депозит DRM FH20"/>
    <m/>
    <m/>
    <m/>
    <m/>
    <x v="0"/>
    <n v="-256000"/>
  </r>
  <r>
    <s v="Deposit"/>
    <n v="0"/>
    <m/>
    <d v="1899-12-30T00:00:00"/>
    <d v="1899-12-30T00:00:00"/>
    <n v="44453"/>
    <s v="Advance"/>
    <s v="Advance"/>
    <s v="Converse"/>
    <s v="Converse"/>
    <n v="-42972.72"/>
    <m/>
    <x v="60"/>
    <m/>
    <m/>
    <m/>
    <s v="Депозит CON SP20"/>
    <s v="депозит DRM FW21"/>
    <m/>
    <m/>
    <m/>
    <m/>
    <x v="0"/>
    <n v="-42972.72"/>
  </r>
  <r>
    <s v="Deposit"/>
    <n v="0"/>
    <m/>
    <d v="1899-12-30T00:00:00"/>
    <d v="1899-12-30T00:00:00"/>
    <n v="44453"/>
    <s v="Advance"/>
    <s v="Advance"/>
    <s v="Converse"/>
    <s v="Converse"/>
    <n v="-91187.33"/>
    <m/>
    <x v="60"/>
    <m/>
    <m/>
    <m/>
    <s v="Депозит CON SP22"/>
    <s v="Депозит CON FA21"/>
    <m/>
    <m/>
    <m/>
    <m/>
    <x v="0"/>
    <n v="-91187.33"/>
  </r>
  <r>
    <s v="Deposit"/>
    <n v="0"/>
    <m/>
    <d v="1899-12-30T00:00:00"/>
    <d v="1899-12-30T00:00:00"/>
    <n v="44453"/>
    <s v="Advance"/>
    <s v="Advance"/>
    <s v="Saucony"/>
    <s v="Saucony"/>
    <n v="-625.94000000000005"/>
    <m/>
    <x v="61"/>
    <m/>
    <m/>
    <m/>
    <s v="Депозит SAU SS20"/>
    <s v="Депозит CON SP21"/>
    <m/>
    <m/>
    <m/>
    <m/>
    <x v="0"/>
    <n v="-625.94000000000005"/>
  </r>
  <r>
    <s v="Deposit"/>
    <n v="0"/>
    <m/>
    <d v="1899-12-30T00:00:00"/>
    <d v="1899-12-30T00:00:00"/>
    <n v="44453"/>
    <s v="Advance"/>
    <s v="Advance"/>
    <s v="Converse"/>
    <s v="Converse"/>
    <n v="-37995.68"/>
    <m/>
    <x v="62"/>
    <m/>
    <m/>
    <m/>
    <s v="депозит CON FA21"/>
    <s v="депозит DRM FW21"/>
    <m/>
    <m/>
    <m/>
    <m/>
    <x v="0"/>
    <n v="-37995.68"/>
  </r>
  <r>
    <s v="Deposit"/>
    <n v="0"/>
    <m/>
    <d v="1899-12-30T00:00:00"/>
    <d v="1899-12-30T00:00:00"/>
    <n v="44453"/>
    <s v="Advance"/>
    <s v="Advance"/>
    <s v="Converse"/>
    <s v="Converse"/>
    <n v="-77401"/>
    <m/>
    <x v="62"/>
    <m/>
    <m/>
    <m/>
    <s v="депозит CON SP22"/>
    <s v="депозит UGG FW21"/>
    <m/>
    <m/>
    <m/>
    <m/>
    <x v="0"/>
    <n v="-77401"/>
  </r>
  <r>
    <s v="Deposit"/>
    <n v="0"/>
    <m/>
    <d v="1899-12-30T00:00:00"/>
    <d v="1899-12-30T00:00:00"/>
    <n v="44453"/>
    <s v="Advance"/>
    <s v="Advance"/>
    <s v="Saucony"/>
    <s v="Saucony"/>
    <n v="-89728.9"/>
    <m/>
    <x v="62"/>
    <m/>
    <m/>
    <m/>
    <s v="депозит SAU SS22"/>
    <s v="Депозит DRM FH19"/>
    <m/>
    <m/>
    <m/>
    <m/>
    <x v="0"/>
    <n v="-89728.9"/>
  </r>
  <r>
    <s v="Deposit"/>
    <n v="0"/>
    <m/>
    <d v="1899-12-30T00:00:00"/>
    <d v="1899-12-30T00:00:00"/>
    <n v="44453"/>
    <s v="Advance"/>
    <s v="Advance"/>
    <s v="Converse"/>
    <s v="Converse"/>
    <n v="-196170.67"/>
    <m/>
    <x v="34"/>
    <m/>
    <m/>
    <m/>
    <s v="Депозит CON SP22"/>
    <s v="Депозит DRM AW21"/>
    <m/>
    <m/>
    <m/>
    <m/>
    <x v="0"/>
    <n v="-196170.67"/>
  </r>
  <r>
    <s v="Deposit"/>
    <n v="0"/>
    <m/>
    <d v="1899-12-30T00:00:00"/>
    <d v="1899-12-30T00:00:00"/>
    <n v="44453"/>
    <s v="Advance"/>
    <s v="Advance"/>
    <s v="Dr.Martens"/>
    <s v="Dr.Martens"/>
    <n v="-146102.18"/>
    <m/>
    <x v="34"/>
    <m/>
    <m/>
    <m/>
    <s v="депозит DRM AW21"/>
    <s v="депозит SAU AW21"/>
    <m/>
    <m/>
    <m/>
    <m/>
    <x v="0"/>
    <n v="-146102.18"/>
  </r>
  <r>
    <s v="Deposit"/>
    <n v="0"/>
    <m/>
    <d v="1899-12-30T00:00:00"/>
    <d v="1899-12-30T00:00:00"/>
    <n v="44453"/>
    <s v="Advance"/>
    <s v="Advance"/>
    <s v="Converse"/>
    <s v="Converse"/>
    <n v="-84510"/>
    <m/>
    <x v="63"/>
    <m/>
    <m/>
    <m/>
    <s v="Депозит CON SP22"/>
    <s v="Депозит SAU SS21"/>
    <m/>
    <m/>
    <m/>
    <m/>
    <x v="0"/>
    <n v="-84510"/>
  </r>
  <r>
    <s v="Deposit"/>
    <n v="0"/>
    <m/>
    <d v="1899-12-30T00:00:00"/>
    <d v="1899-12-30T00:00:00"/>
    <n v="44453"/>
    <s v="Advance"/>
    <s v="Advance"/>
    <s v="Saucony"/>
    <s v="Saucony"/>
    <n v="-158009.37"/>
    <m/>
    <x v="63"/>
    <m/>
    <m/>
    <m/>
    <s v="Депозит SAU SS22"/>
    <s v="Депозит DRM AW21"/>
    <m/>
    <m/>
    <m/>
    <m/>
    <x v="0"/>
    <n v="-158009.37"/>
  </r>
  <r>
    <s v="Deposit"/>
    <n v="0"/>
    <m/>
    <d v="1899-12-30T00:00:00"/>
    <d v="1899-12-30T00:00:00"/>
    <n v="44453"/>
    <s v="Advance"/>
    <s v="Advance"/>
    <s v="UGG"/>
    <s v="UGG"/>
    <n v="-337883.74"/>
    <m/>
    <x v="63"/>
    <m/>
    <m/>
    <m/>
    <s v="Депозит UGG AW21"/>
    <s v="Депозит CON SP20"/>
    <m/>
    <m/>
    <m/>
    <m/>
    <x v="0"/>
    <n v="-337883.74"/>
  </r>
  <r>
    <s v="Deposit"/>
    <n v="0"/>
    <m/>
    <d v="1899-12-30T00:00:00"/>
    <d v="1899-12-30T00:00:00"/>
    <n v="44453"/>
    <s v="Advance"/>
    <s v="Advance"/>
    <s v="Converse"/>
    <s v="Converse"/>
    <n v="-413.01"/>
    <m/>
    <x v="64"/>
    <m/>
    <m/>
    <m/>
    <s v="Депозит CON SP19"/>
    <s v="депозит DRM AW21"/>
    <m/>
    <m/>
    <m/>
    <m/>
    <x v="0"/>
    <n v="-413.01"/>
  </r>
  <r>
    <s v="Deposit"/>
    <n v="0"/>
    <m/>
    <d v="1899-12-30T00:00:00"/>
    <d v="1899-12-30T00:00:00"/>
    <n v="44453"/>
    <s v="Advance"/>
    <s v="Advance"/>
    <s v="Converse"/>
    <s v="Converse"/>
    <n v="-45220"/>
    <m/>
    <x v="65"/>
    <m/>
    <m/>
    <m/>
    <s v="Депозит CON SP21"/>
    <s v="Депозит UGG AW21"/>
    <m/>
    <m/>
    <m/>
    <m/>
    <x v="0"/>
    <n v="-45220"/>
  </r>
  <r>
    <s v="Deposit"/>
    <n v="0"/>
    <m/>
    <d v="1899-12-30T00:00:00"/>
    <d v="1899-12-30T00:00:00"/>
    <n v="44453"/>
    <s v="Advance"/>
    <s v="Advance"/>
    <s v="Converse"/>
    <s v="Converse"/>
    <n v="-56111"/>
    <m/>
    <x v="65"/>
    <m/>
    <m/>
    <m/>
    <s v="Депозит CON SP22"/>
    <s v="Депозит DRM FW21"/>
    <m/>
    <m/>
    <m/>
    <m/>
    <x v="0"/>
    <n v="-56111"/>
  </r>
  <r>
    <s v="Deposit"/>
    <n v="0"/>
    <m/>
    <d v="1899-12-30T00:00:00"/>
    <d v="1899-12-30T00:00:00"/>
    <n v="44453"/>
    <s v="Advance"/>
    <s v="Advance"/>
    <s v="Dr.Martens"/>
    <s v="Dr.Martens"/>
    <n v="-38000"/>
    <m/>
    <x v="65"/>
    <m/>
    <m/>
    <m/>
    <s v="Депозит DRM SS22"/>
    <s v="Депозит UGG FW 21"/>
    <m/>
    <m/>
    <m/>
    <m/>
    <x v="0"/>
    <n v="-38000"/>
  </r>
  <r>
    <s v="Deposit"/>
    <n v="0"/>
    <m/>
    <d v="1899-12-30T00:00:00"/>
    <d v="1899-12-30T00:00:00"/>
    <n v="44453"/>
    <s v="Advance"/>
    <s v="Advance"/>
    <s v="Converse"/>
    <s v="Converse"/>
    <n v="-123449"/>
    <m/>
    <x v="66"/>
    <m/>
    <m/>
    <m/>
    <s v="Депозит CON SS22"/>
    <s v="депозит DRM AW21"/>
    <m/>
    <m/>
    <m/>
    <m/>
    <x v="0"/>
    <n v="-123449"/>
  </r>
  <r>
    <s v="Deposit"/>
    <n v="0"/>
    <m/>
    <d v="1899-12-30T00:00:00"/>
    <d v="1899-12-30T00:00:00"/>
    <n v="44453"/>
    <s v="Advance"/>
    <s v="Advance"/>
    <s v="Saucony"/>
    <s v="Saucony"/>
    <n v="-118113"/>
    <m/>
    <x v="66"/>
    <m/>
    <m/>
    <m/>
    <s v="Депозит SAU FA21"/>
    <s v="депозит SAU AW21"/>
    <m/>
    <m/>
    <m/>
    <m/>
    <x v="0"/>
    <n v="-118113"/>
  </r>
  <r>
    <s v="Deposit"/>
    <n v="0"/>
    <m/>
    <d v="1899-12-30T00:00:00"/>
    <d v="1899-12-30T00:00:00"/>
    <n v="44453"/>
    <s v="Advance"/>
    <s v="Advance"/>
    <s v="Converse"/>
    <s v="Converse"/>
    <n v="-78086.539999999994"/>
    <m/>
    <x v="67"/>
    <m/>
    <m/>
    <m/>
    <s v="Депозит CON SP22"/>
    <s v="депозит UGG FH21"/>
    <m/>
    <m/>
    <m/>
    <m/>
    <x v="0"/>
    <n v="-78086.539999999994"/>
  </r>
  <r>
    <s v="Deposit"/>
    <n v="0"/>
    <m/>
    <d v="1899-12-30T00:00:00"/>
    <d v="1899-12-30T00:00:00"/>
    <n v="44453"/>
    <s v="Advance"/>
    <s v="Advance"/>
    <s v="Converse"/>
    <s v="Converse"/>
    <n v="-53789.88"/>
    <m/>
    <x v="67"/>
    <m/>
    <m/>
    <m/>
    <s v="Депозит CON SU20"/>
    <s v="Депозит CON FA21"/>
    <m/>
    <m/>
    <m/>
    <m/>
    <x v="0"/>
    <n v="-53789.88"/>
  </r>
  <r>
    <s v="Deposit"/>
    <n v="0"/>
    <m/>
    <d v="1899-12-30T00:00:00"/>
    <d v="1899-12-30T00:00:00"/>
    <n v="44453"/>
    <s v="Advance"/>
    <s v="Advance"/>
    <s v="Converse"/>
    <s v="Converse"/>
    <n v="-46831.18"/>
    <m/>
    <x v="67"/>
    <m/>
    <m/>
    <m/>
    <s v="Депозит CON SU21"/>
    <s v="Депозит CON SU21"/>
    <m/>
    <m/>
    <m/>
    <m/>
    <x v="0"/>
    <n v="-46831.18"/>
  </r>
  <r>
    <s v="Deposit"/>
    <n v="0"/>
    <m/>
    <d v="1899-12-30T00:00:00"/>
    <d v="1899-12-30T00:00:00"/>
    <n v="44453"/>
    <s v="Advance"/>
    <s v="Advance"/>
    <s v="Converse"/>
    <s v="Converse"/>
    <n v="-60350.7"/>
    <m/>
    <x v="68"/>
    <m/>
    <m/>
    <m/>
    <s v="депозит CON FA21"/>
    <s v="Депозит DRM AW21"/>
    <m/>
    <m/>
    <m/>
    <m/>
    <x v="0"/>
    <n v="-60350.7"/>
  </r>
  <r>
    <s v="Deposit"/>
    <n v="0"/>
    <m/>
    <d v="1899-12-30T00:00:00"/>
    <d v="1899-12-30T00:00:00"/>
    <n v="44453"/>
    <s v="Advance"/>
    <s v="Advance"/>
    <s v="Converse"/>
    <s v="Converse"/>
    <n v="-49980"/>
    <m/>
    <x v="68"/>
    <m/>
    <m/>
    <m/>
    <s v="Депозит CON SP22"/>
    <s v="Депозит DRM SS21"/>
    <m/>
    <m/>
    <m/>
    <m/>
    <x v="0"/>
    <n v="-49980"/>
  </r>
  <r>
    <s v="Deposit"/>
    <n v="0"/>
    <m/>
    <d v="1899-12-30T00:00:00"/>
    <d v="1899-12-30T00:00:00"/>
    <n v="44453"/>
    <s v="Advance"/>
    <s v="Advance"/>
    <s v="Dr.Martens"/>
    <s v="Dr.Martens"/>
    <n v="-79689.259999999995"/>
    <m/>
    <x v="69"/>
    <m/>
    <m/>
    <m/>
    <s v="Депозит DRM FW21"/>
    <s v="Депозит UGG AW21"/>
    <m/>
    <m/>
    <m/>
    <m/>
    <x v="0"/>
    <n v="-79689.259999999995"/>
  </r>
  <r>
    <s v="Deposit"/>
    <n v="0"/>
    <m/>
    <d v="1899-12-30T00:00:00"/>
    <d v="1899-12-30T00:00:00"/>
    <n v="44453"/>
    <s v="Advance"/>
    <s v="Advance"/>
    <s v="Converse"/>
    <s v="Converse"/>
    <n v="-34154"/>
    <m/>
    <x v="9"/>
    <m/>
    <m/>
    <m/>
    <s v="Депозит CON SP22"/>
    <s v="депозит CON FA21"/>
    <m/>
    <m/>
    <m/>
    <m/>
    <x v="0"/>
    <n v="-34154"/>
  </r>
  <r>
    <s v="Deposit"/>
    <n v="0"/>
    <m/>
    <d v="1899-12-30T00:00:00"/>
    <d v="1899-12-30T00:00:00"/>
    <n v="44453"/>
    <s v="Advance"/>
    <s v="Advance"/>
    <s v="Dr.Martens"/>
    <s v="Dr.Martens"/>
    <n v="-301128.5"/>
    <m/>
    <x v="70"/>
    <m/>
    <m/>
    <m/>
    <s v="Депозит DRM AW21"/>
    <s v="Депозит CON SP21"/>
    <m/>
    <m/>
    <m/>
    <m/>
    <x v="0"/>
    <n v="-301128.5"/>
  </r>
  <r>
    <s v="Deposit"/>
    <n v="0"/>
    <m/>
    <d v="1899-12-30T00:00:00"/>
    <d v="1899-12-30T00:00:00"/>
    <n v="44453"/>
    <s v="Advance"/>
    <s v="Advance"/>
    <s v="Converse"/>
    <s v="Converse"/>
    <n v="-57267"/>
    <m/>
    <x v="71"/>
    <m/>
    <m/>
    <m/>
    <s v="Депозит CON SP22"/>
    <s v="депозит CON FA 21"/>
    <m/>
    <m/>
    <m/>
    <m/>
    <x v="0"/>
    <n v="-57267"/>
  </r>
  <r>
    <s v="Deposit"/>
    <n v="0"/>
    <m/>
    <d v="1899-12-30T00:00:00"/>
    <d v="1899-12-30T00:00:00"/>
    <n v="44453"/>
    <s v="Advance"/>
    <s v="Advance"/>
    <s v="Saucony"/>
    <s v="Saucony"/>
    <n v="-66196.14"/>
    <m/>
    <x v="72"/>
    <m/>
    <m/>
    <m/>
    <s v="депозит SAU SS22"/>
    <s v="Депозит DRM AW21"/>
    <m/>
    <m/>
    <m/>
    <m/>
    <x v="0"/>
    <n v="-66196.14"/>
  </r>
  <r>
    <s v="Deposit"/>
    <n v="0"/>
    <m/>
    <d v="1899-12-30T00:00:00"/>
    <d v="1899-12-30T00:00:00"/>
    <n v="44453"/>
    <s v="Advance"/>
    <s v="Advance"/>
    <s v="Converse"/>
    <s v="Converse"/>
    <n v="-104806.62"/>
    <m/>
    <x v="73"/>
    <m/>
    <m/>
    <m/>
    <s v="Депозит CON FW21"/>
    <s v="Депозит CON FA21"/>
    <m/>
    <m/>
    <m/>
    <m/>
    <x v="0"/>
    <n v="-104806.62"/>
  </r>
  <r>
    <s v="Deposit"/>
    <n v="0"/>
    <m/>
    <d v="1899-12-30T00:00:00"/>
    <d v="1899-12-30T00:00:00"/>
    <n v="44453"/>
    <s v="Advance"/>
    <s v="Advance"/>
    <s v="Converse"/>
    <s v="Converse"/>
    <n v="-200717.69"/>
    <m/>
    <x v="73"/>
    <m/>
    <m/>
    <m/>
    <s v="Депозит CON SP22"/>
    <s v="Депозит CON SP21"/>
    <m/>
    <m/>
    <m/>
    <m/>
    <x v="0"/>
    <n v="-200717.69"/>
  </r>
  <r>
    <s v="Deposit"/>
    <n v="0"/>
    <m/>
    <d v="1899-12-30T00:00:00"/>
    <d v="1899-12-30T00:00:00"/>
    <n v="44453"/>
    <s v="Advance"/>
    <s v="Advance"/>
    <s v="Dr.Martens"/>
    <s v="Dr.Martens"/>
    <n v="-307587.96000000002"/>
    <m/>
    <x v="73"/>
    <m/>
    <m/>
    <m/>
    <s v="Депозит DRM AW21"/>
    <s v="Депозит DRM AW21"/>
    <m/>
    <m/>
    <m/>
    <m/>
    <x v="0"/>
    <n v="-307587.96000000002"/>
  </r>
  <r>
    <s v="Deposit"/>
    <n v="0"/>
    <m/>
    <d v="1899-12-30T00:00:00"/>
    <d v="1899-12-30T00:00:00"/>
    <n v="44453"/>
    <s v="Advance"/>
    <s v="Advance"/>
    <s v="Dr.Martens"/>
    <s v="Dr.Martens"/>
    <n v="-215902.57"/>
    <m/>
    <x v="73"/>
    <m/>
    <m/>
    <m/>
    <s v="Депозит DRM SS22"/>
    <s v="Депозит DRM AW21 PEAK"/>
    <m/>
    <m/>
    <m/>
    <m/>
    <x v="0"/>
    <n v="-215902.57"/>
  </r>
  <r>
    <s v="Deposit"/>
    <n v="0"/>
    <m/>
    <d v="1899-12-30T00:00:00"/>
    <d v="1899-12-30T00:00:00"/>
    <n v="44453"/>
    <s v="Advance"/>
    <s v="Advance"/>
    <s v="Saucony"/>
    <s v="Saucony"/>
    <n v="-156171.37"/>
    <m/>
    <x v="73"/>
    <m/>
    <m/>
    <m/>
    <s v="Депозит SAU SS22"/>
    <s v="депозит DRM FW20"/>
    <m/>
    <m/>
    <m/>
    <m/>
    <x v="0"/>
    <n v="-156171.37"/>
  </r>
  <r>
    <s v="Deposit"/>
    <n v="0"/>
    <m/>
    <d v="1899-12-30T00:00:00"/>
    <d v="1899-12-30T00:00:00"/>
    <n v="44453"/>
    <s v="Advance"/>
    <s v="Advance"/>
    <s v="UGG"/>
    <s v="UGG"/>
    <n v="-72821.78"/>
    <m/>
    <x v="73"/>
    <m/>
    <m/>
    <m/>
    <s v="Депозит UGG AW21"/>
    <s v="Депозит DRM FW21"/>
    <m/>
    <m/>
    <m/>
    <m/>
    <x v="0"/>
    <n v="-72821.78"/>
  </r>
  <r>
    <s v="Deposit"/>
    <n v="0"/>
    <m/>
    <d v="1899-12-30T00:00:00"/>
    <d v="1899-12-30T00:00:00"/>
    <n v="44453"/>
    <s v="Advance"/>
    <s v="Advance"/>
    <s v="UGG"/>
    <s v="UGG"/>
    <n v="-65924.41"/>
    <m/>
    <x v="73"/>
    <m/>
    <m/>
    <m/>
    <s v="Депозит UGG SS22"/>
    <s v="депозит SAU FH21"/>
    <m/>
    <m/>
    <m/>
    <m/>
    <x v="0"/>
    <n v="-65924.41"/>
  </r>
  <r>
    <s v="Deposit"/>
    <n v="0"/>
    <m/>
    <d v="1899-12-30T00:00:00"/>
    <d v="1899-12-30T00:00:00"/>
    <n v="44453"/>
    <s v="Advance"/>
    <s v="Advance"/>
    <s v="Converse"/>
    <s v="Converse"/>
    <n v="-42374"/>
    <m/>
    <x v="74"/>
    <m/>
    <m/>
    <m/>
    <s v="Депозит CON SP22"/>
    <s v="Депозит UGG AW21"/>
    <m/>
    <m/>
    <m/>
    <m/>
    <x v="0"/>
    <n v="-42374"/>
  </r>
  <r>
    <s v="Deposit"/>
    <n v="0"/>
    <m/>
    <d v="1899-12-30T00:00:00"/>
    <d v="1899-12-30T00:00:00"/>
    <n v="44453"/>
    <s v="Advance"/>
    <s v="Advance"/>
    <s v="Saucony"/>
    <s v="Saucony"/>
    <n v="-75139.429999999993"/>
    <m/>
    <x v="74"/>
    <m/>
    <m/>
    <m/>
    <s v="Депозит SAU SS22"/>
    <s v="Депозит CON SP21"/>
    <m/>
    <m/>
    <m/>
    <m/>
    <x v="0"/>
    <n v="-75139.429999999993"/>
  </r>
  <r>
    <s v="Deposit"/>
    <n v="0"/>
    <m/>
    <d v="1899-12-30T00:00:00"/>
    <d v="1899-12-30T00:00:00"/>
    <n v="44453"/>
    <s v="Advance"/>
    <s v="Advance"/>
    <s v="Converse"/>
    <s v="Converse"/>
    <n v="-18087.14"/>
    <m/>
    <x v="75"/>
    <m/>
    <m/>
    <m/>
    <s v="Депозит CON FA20"/>
    <s v="Депозит CON SU21"/>
    <m/>
    <m/>
    <m/>
    <m/>
    <x v="0"/>
    <n v="-18087.14"/>
  </r>
  <r>
    <s v="Deposit"/>
    <n v="0"/>
    <m/>
    <d v="1899-12-30T00:00:00"/>
    <d v="1899-12-30T00:00:00"/>
    <n v="44453"/>
    <s v="Advance"/>
    <s v="Advance"/>
    <s v="Converse"/>
    <s v="Converse"/>
    <n v="-116070.62"/>
    <m/>
    <x v="26"/>
    <m/>
    <m/>
    <m/>
    <s v="Депозит CON SP22"/>
    <m/>
    <m/>
    <m/>
    <m/>
    <m/>
    <x v="0"/>
    <n v="-116070.62"/>
  </r>
  <r>
    <s v="Deposit"/>
    <n v="0"/>
    <m/>
    <d v="1899-12-30T00:00:00"/>
    <d v="1899-12-30T00:00:00"/>
    <n v="44453"/>
    <s v="Advance"/>
    <s v="Advance"/>
    <s v="Dr.Martens"/>
    <s v="Dr.Martens"/>
    <n v="-165179.38"/>
    <m/>
    <x v="26"/>
    <m/>
    <m/>
    <m/>
    <s v="Депозит DRM SS22"/>
    <m/>
    <m/>
    <m/>
    <m/>
    <m/>
    <x v="0"/>
    <n v="-165179.38"/>
  </r>
  <r>
    <s v="Deposit"/>
    <n v="0"/>
    <m/>
    <d v="1899-12-30T00:00:00"/>
    <d v="1899-12-30T00:00:00"/>
    <n v="44453"/>
    <s v="Advance"/>
    <s v="Advance"/>
    <s v="UGG"/>
    <s v="UGG"/>
    <n v="-278680.69"/>
    <m/>
    <x v="76"/>
    <m/>
    <m/>
    <m/>
    <s v="Депозит UGG FW21"/>
    <m/>
    <m/>
    <m/>
    <m/>
    <m/>
    <x v="0"/>
    <n v="-278680.69"/>
  </r>
  <r>
    <s v="Deposit"/>
    <n v="0"/>
    <m/>
    <d v="1899-12-30T00:00:00"/>
    <d v="1899-12-30T00:00:00"/>
    <n v="44453"/>
    <s v="Advance"/>
    <s v="Advance"/>
    <s v="Converse"/>
    <s v="Converse"/>
    <n v="-1968875.54"/>
    <m/>
    <x v="10"/>
    <m/>
    <m/>
    <m/>
    <s v="Депозит CON FA21"/>
    <m/>
    <m/>
    <m/>
    <m/>
    <m/>
    <x v="0"/>
    <n v="-1968875.54"/>
  </r>
  <r>
    <s v="Deposit"/>
    <n v="0"/>
    <m/>
    <d v="1899-12-30T00:00:00"/>
    <d v="1899-12-30T00:00:00"/>
    <n v="44453"/>
    <s v="Advance"/>
    <s v="Advance"/>
    <s v="Converse"/>
    <s v="Converse"/>
    <n v="-4568362.29"/>
    <m/>
    <x v="10"/>
    <m/>
    <m/>
    <m/>
    <s v="Депозит CON SP22"/>
    <m/>
    <m/>
    <m/>
    <m/>
    <m/>
    <x v="0"/>
    <n v="-4568362.29"/>
  </r>
  <r>
    <s v="Deposit"/>
    <n v="0"/>
    <m/>
    <d v="1899-12-30T00:00:00"/>
    <d v="1899-12-30T00:00:00"/>
    <n v="44453"/>
    <s v="Advance"/>
    <s v="Advance"/>
    <s v="Dr.Martens"/>
    <s v="Dr.Martens"/>
    <n v="-12451513.58"/>
    <m/>
    <x v="10"/>
    <m/>
    <m/>
    <m/>
    <s v="Депозит DRM FH21"/>
    <m/>
    <m/>
    <m/>
    <m/>
    <m/>
    <x v="0"/>
    <n v="-12451513.58"/>
  </r>
  <r>
    <s v="Deposit"/>
    <n v="0"/>
    <m/>
    <d v="1899-12-30T00:00:00"/>
    <d v="1899-12-30T00:00:00"/>
    <n v="44453"/>
    <s v="Advance"/>
    <s v="Advance"/>
    <s v="Dr.Martens"/>
    <s v="Dr.Martens"/>
    <n v="-2992389.7"/>
    <m/>
    <x v="10"/>
    <m/>
    <m/>
    <m/>
    <s v="Депозит DRM SS22"/>
    <m/>
    <m/>
    <m/>
    <m/>
    <m/>
    <x v="0"/>
    <n v="-2992389.7"/>
  </r>
  <r>
    <s v="Deposit"/>
    <n v="0"/>
    <m/>
    <d v="1899-12-30T00:00:00"/>
    <d v="1899-12-30T00:00:00"/>
    <n v="44453"/>
    <s v="Advance"/>
    <s v="Advance"/>
    <s v="Saucony"/>
    <s v="Saucony"/>
    <n v="-567716.37"/>
    <m/>
    <x v="10"/>
    <m/>
    <m/>
    <m/>
    <s v="Депозит SAU SS21"/>
    <m/>
    <m/>
    <m/>
    <m/>
    <m/>
    <x v="0"/>
    <n v="-567716.37"/>
  </r>
  <r>
    <s v="Deposit"/>
    <n v="0"/>
    <m/>
    <d v="1899-12-30T00:00:00"/>
    <d v="1899-12-30T00:00:00"/>
    <n v="44453"/>
    <s v="Advance"/>
    <s v="Advance"/>
    <s v="UGG"/>
    <s v="UGG"/>
    <n v="-11164001.109999999"/>
    <m/>
    <x v="10"/>
    <m/>
    <m/>
    <m/>
    <s v="Депозит UGG FW21"/>
    <m/>
    <m/>
    <m/>
    <m/>
    <m/>
    <x v="0"/>
    <n v="-11164001.109999999"/>
  </r>
  <r>
    <s v="Deposit"/>
    <n v="0"/>
    <m/>
    <d v="1899-12-30T00:00:00"/>
    <d v="1899-12-30T00:00:00"/>
    <n v="44453"/>
    <s v="Advance"/>
    <s v="Advance"/>
    <s v="Saucony"/>
    <s v="Saucony"/>
    <n v="-30000"/>
    <m/>
    <x v="77"/>
    <m/>
    <m/>
    <m/>
    <s v="Депозит SAU AW21"/>
    <m/>
    <m/>
    <m/>
    <m/>
    <m/>
    <x v="0"/>
    <n v="-30000"/>
  </r>
  <r>
    <s v="Deposit"/>
    <n v="0"/>
    <m/>
    <d v="1899-12-30T00:00:00"/>
    <d v="1899-12-30T00:00:00"/>
    <n v="44453"/>
    <s v="Advance"/>
    <s v="Advance"/>
    <s v="Saucony"/>
    <s v="Saucony"/>
    <n v="-84999.4"/>
    <m/>
    <x v="77"/>
    <m/>
    <m/>
    <m/>
    <s v="Депозит SAU SS21"/>
    <m/>
    <m/>
    <m/>
    <m/>
    <m/>
    <x v="0"/>
    <n v="-84999.4"/>
  </r>
  <r>
    <s v="Deposit"/>
    <n v="0"/>
    <m/>
    <d v="1899-12-30T00:00:00"/>
    <d v="1899-12-30T00:00:00"/>
    <n v="44453"/>
    <s v="Advance"/>
    <s v="Advance"/>
    <s v="Saucony"/>
    <s v="Saucony"/>
    <n v="-30000"/>
    <m/>
    <x v="77"/>
    <m/>
    <m/>
    <m/>
    <s v="Депозит SAU SS22"/>
    <m/>
    <m/>
    <m/>
    <m/>
    <m/>
    <x v="0"/>
    <n v="-30000"/>
  </r>
  <r>
    <s v="Deposit"/>
    <n v="0"/>
    <m/>
    <d v="1899-12-30T00:00:00"/>
    <d v="1899-12-30T00:00:00"/>
    <n v="44453"/>
    <s v="Advance"/>
    <s v="Advance"/>
    <s v="Dr.Martens"/>
    <s v="Dr.Martens"/>
    <n v="-3825.89"/>
    <m/>
    <x v="37"/>
    <m/>
    <m/>
    <m/>
    <s v="депозит DRM FH20"/>
    <m/>
    <m/>
    <m/>
    <m/>
    <m/>
    <x v="0"/>
    <n v="-3825.89"/>
  </r>
  <r>
    <s v="Deposit"/>
    <n v="0"/>
    <m/>
    <d v="1899-12-30T00:00:00"/>
    <d v="1899-12-30T00:00:00"/>
    <n v="44453"/>
    <s v="Advance"/>
    <s v="Advance"/>
    <s v="Dr.Martens"/>
    <s v="Dr.Martens"/>
    <n v="-315791.78999999998"/>
    <m/>
    <x v="37"/>
    <m/>
    <m/>
    <m/>
    <s v="депозит DRM FW21"/>
    <m/>
    <m/>
    <m/>
    <m/>
    <m/>
    <x v="0"/>
    <n v="-315791.78999999998"/>
  </r>
  <r>
    <s v="Deposit"/>
    <n v="0"/>
    <m/>
    <d v="1899-12-30T00:00:00"/>
    <d v="1899-12-30T00:00:00"/>
    <n v="44453"/>
    <s v="Advance"/>
    <s v="Advance"/>
    <s v="Converse"/>
    <s v="Converse"/>
    <n v="-186571"/>
    <m/>
    <x v="16"/>
    <m/>
    <m/>
    <m/>
    <s v="Депозит CON FA21"/>
    <m/>
    <m/>
    <m/>
    <m/>
    <m/>
    <x v="0"/>
    <n v="-186571"/>
  </r>
  <r>
    <s v="Deposit"/>
    <n v="0"/>
    <m/>
    <d v="1899-12-30T00:00:00"/>
    <d v="1899-12-30T00:00:00"/>
    <n v="44453"/>
    <s v="Advance"/>
    <s v="Advance"/>
    <s v="Converse"/>
    <s v="Converse"/>
    <n v="-4628"/>
    <m/>
    <x v="16"/>
    <m/>
    <m/>
    <m/>
    <s v="Депозит CON SP21"/>
    <m/>
    <m/>
    <m/>
    <m/>
    <m/>
    <x v="0"/>
    <n v="-4628"/>
  </r>
  <r>
    <s v="Deposit"/>
    <n v="0"/>
    <m/>
    <d v="1899-12-30T00:00:00"/>
    <d v="1899-12-30T00:00:00"/>
    <n v="44453"/>
    <s v="Advance"/>
    <s v="Advance"/>
    <s v="Converse"/>
    <s v="Converse"/>
    <n v="-98114"/>
    <m/>
    <x v="16"/>
    <m/>
    <m/>
    <m/>
    <s v="Депозит CON SS22"/>
    <m/>
    <m/>
    <m/>
    <m/>
    <m/>
    <x v="0"/>
    <n v="-98114"/>
  </r>
  <r>
    <s v="Deposit"/>
    <n v="0"/>
    <m/>
    <d v="1899-12-30T00:00:00"/>
    <d v="1899-12-30T00:00:00"/>
    <n v="44453"/>
    <s v="Advance"/>
    <s v="Advance"/>
    <s v="Dr.Martens"/>
    <s v="Dr.Martens"/>
    <n v="-229158.34"/>
    <m/>
    <x v="16"/>
    <m/>
    <m/>
    <m/>
    <s v="депозит DRM FW21"/>
    <m/>
    <m/>
    <m/>
    <m/>
    <m/>
    <x v="0"/>
    <n v="-229158.34"/>
  </r>
  <r>
    <s v="Deposit"/>
    <n v="0"/>
    <m/>
    <d v="1899-12-30T00:00:00"/>
    <d v="1899-12-30T00:00:00"/>
    <n v="44453"/>
    <s v="Advance"/>
    <s v="Advance"/>
    <s v="Dr.Martens"/>
    <s v="Dr.Martens"/>
    <n v="-69939.960000000006"/>
    <m/>
    <x v="16"/>
    <m/>
    <m/>
    <m/>
    <s v="депозит DRM SS22"/>
    <m/>
    <m/>
    <m/>
    <m/>
    <m/>
    <x v="0"/>
    <n v="-69939.960000000006"/>
  </r>
  <r>
    <s v="Deposit"/>
    <n v="0"/>
    <m/>
    <d v="1899-12-30T00:00:00"/>
    <d v="1899-12-30T00:00:00"/>
    <n v="44453"/>
    <s v="Advance"/>
    <s v="Advance"/>
    <s v="Saucony"/>
    <s v="Saucony"/>
    <n v="-66120"/>
    <m/>
    <x v="16"/>
    <m/>
    <m/>
    <m/>
    <s v="Депозит SAU SS22"/>
    <m/>
    <m/>
    <m/>
    <m/>
    <m/>
    <x v="0"/>
    <n v="-66120"/>
  </r>
  <r>
    <s v="Deposit"/>
    <n v="0"/>
    <m/>
    <d v="1899-12-30T00:00:00"/>
    <d v="1899-12-30T00:00:00"/>
    <n v="44453"/>
    <s v="Advance"/>
    <s v="Advance"/>
    <s v="UGG"/>
    <s v="UGG"/>
    <n v="-228478.75"/>
    <m/>
    <x v="16"/>
    <m/>
    <m/>
    <m/>
    <s v="депозит UGG FW21"/>
    <m/>
    <m/>
    <m/>
    <m/>
    <m/>
    <x v="0"/>
    <n v="-228478.75"/>
  </r>
  <r>
    <s v="Deposit"/>
    <n v="0"/>
    <m/>
    <d v="1899-12-30T00:00:00"/>
    <d v="1899-12-30T00:00:00"/>
    <n v="44453"/>
    <s v="Advance"/>
    <s v="Advance"/>
    <s v="Dr.Martens"/>
    <s v="Dr.Martens"/>
    <n v="-47278.38"/>
    <m/>
    <x v="78"/>
    <m/>
    <m/>
    <m/>
    <s v="Депозит DRM FH19"/>
    <m/>
    <m/>
    <m/>
    <m/>
    <m/>
    <x v="0"/>
    <n v="-47278.38"/>
  </r>
  <r>
    <s v="Deposit"/>
    <n v="0"/>
    <m/>
    <d v="1899-12-30T00:00:00"/>
    <d v="1899-12-30T00:00:00"/>
    <n v="44453"/>
    <s v="Advance"/>
    <s v="Advance"/>
    <s v="Dr.Martens"/>
    <s v="Dr.Martens"/>
    <n v="-52335.03"/>
    <m/>
    <x v="79"/>
    <m/>
    <m/>
    <m/>
    <s v="Депозит DRM AW21"/>
    <m/>
    <m/>
    <m/>
    <m/>
    <m/>
    <x v="0"/>
    <n v="-52335.03"/>
  </r>
  <r>
    <s v="Deposit"/>
    <n v="0"/>
    <m/>
    <d v="1899-12-30T00:00:00"/>
    <d v="1899-12-30T00:00:00"/>
    <n v="44453"/>
    <s v="Advance"/>
    <s v="Advance"/>
    <s v="Saucony"/>
    <s v="Saucony"/>
    <n v="-27902.720000000001"/>
    <m/>
    <x v="79"/>
    <m/>
    <m/>
    <m/>
    <s v="депозит SAU AW21"/>
    <m/>
    <m/>
    <m/>
    <m/>
    <m/>
    <x v="0"/>
    <n v="-27902.720000000001"/>
  </r>
  <r>
    <s v="Deposit"/>
    <n v="0"/>
    <m/>
    <d v="1899-12-30T00:00:00"/>
    <d v="1899-12-30T00:00:00"/>
    <n v="44453"/>
    <s v="Advance"/>
    <s v="Advance"/>
    <s v="Saucony"/>
    <s v="Saucony"/>
    <n v="-18868"/>
    <m/>
    <x v="79"/>
    <m/>
    <m/>
    <m/>
    <s v="Депозит SAU SS21"/>
    <m/>
    <m/>
    <m/>
    <m/>
    <m/>
    <x v="0"/>
    <n v="-18868"/>
  </r>
  <r>
    <s v="Deposit"/>
    <n v="0"/>
    <m/>
    <d v="1899-12-30T00:00:00"/>
    <d v="1899-12-30T00:00:00"/>
    <n v="44453"/>
    <s v="Advance"/>
    <s v="Advance"/>
    <s v="Saucony"/>
    <s v="Saucony"/>
    <n v="-50000"/>
    <m/>
    <x v="79"/>
    <m/>
    <m/>
    <m/>
    <s v="Депозит SAU SS22"/>
    <m/>
    <m/>
    <m/>
    <m/>
    <m/>
    <x v="0"/>
    <n v="-50000"/>
  </r>
  <r>
    <s v="Deposit"/>
    <n v="0"/>
    <m/>
    <d v="1899-12-30T00:00:00"/>
    <d v="1899-12-30T00:00:00"/>
    <n v="44453"/>
    <s v="Advance"/>
    <s v="Advance"/>
    <s v="Converse"/>
    <s v="Converse"/>
    <n v="-387610"/>
    <m/>
    <x v="80"/>
    <m/>
    <m/>
    <m/>
    <s v="Депозит CON SP22"/>
    <m/>
    <m/>
    <m/>
    <m/>
    <m/>
    <x v="0"/>
    <n v="-387610"/>
  </r>
  <r>
    <s v="Deposit"/>
    <n v="0"/>
    <m/>
    <d v="1899-12-30T00:00:00"/>
    <d v="1899-12-30T00:00:00"/>
    <n v="44453"/>
    <s v="Advance"/>
    <s v="Advance"/>
    <s v="Dr.Martens"/>
    <s v="Dr.Martens"/>
    <n v="-366645.59"/>
    <m/>
    <x v="80"/>
    <m/>
    <m/>
    <m/>
    <s v="Депозит DRM FW21"/>
    <m/>
    <m/>
    <m/>
    <m/>
    <m/>
    <x v="0"/>
    <n v="-366645.59"/>
  </r>
  <r>
    <s v="Deposit"/>
    <n v="0"/>
    <m/>
    <d v="1899-12-30T00:00:00"/>
    <d v="1899-12-30T00:00:00"/>
    <n v="44453"/>
    <s v="Advance"/>
    <s v="Advance"/>
    <s v="UGG"/>
    <s v="UGG"/>
    <n v="-190406.81"/>
    <m/>
    <x v="80"/>
    <m/>
    <m/>
    <m/>
    <s v="Депозит UGG FW21"/>
    <m/>
    <m/>
    <m/>
    <m/>
    <m/>
    <x v="0"/>
    <n v="-190406.81"/>
  </r>
  <r>
    <s v="Deposit"/>
    <n v="0"/>
    <m/>
    <d v="1899-12-30T00:00:00"/>
    <d v="1899-12-30T00:00:00"/>
    <n v="44453"/>
    <s v="Advance"/>
    <s v="Advance"/>
    <s v="Converse"/>
    <s v="Converse"/>
    <n v="-46500"/>
    <m/>
    <x v="81"/>
    <m/>
    <m/>
    <m/>
    <s v="Депозит CON SP20"/>
    <m/>
    <m/>
    <m/>
    <m/>
    <m/>
    <x v="0"/>
    <n v="-46500"/>
  </r>
  <r>
    <s v="Deposit"/>
    <n v="0"/>
    <m/>
    <d v="1899-12-30T00:00:00"/>
    <d v="1899-12-30T00:00:00"/>
    <n v="44453"/>
    <s v="Advance"/>
    <s v="Advance"/>
    <s v="Dr.Martens"/>
    <s v="Dr.Martens"/>
    <n v="-232483.92"/>
    <m/>
    <x v="82"/>
    <m/>
    <m/>
    <m/>
    <s v="депозит DRM AW21"/>
    <m/>
    <m/>
    <m/>
    <m/>
    <m/>
    <x v="0"/>
    <n v="-232483.92"/>
  </r>
  <r>
    <s v="Deposit"/>
    <n v="0"/>
    <m/>
    <d v="1899-12-30T00:00:00"/>
    <d v="1899-12-30T00:00:00"/>
    <n v="44453"/>
    <s v="Advance"/>
    <s v="Advance"/>
    <s v="Dr.Martens"/>
    <s v="Dr.Martens"/>
    <n v="-96417.26"/>
    <m/>
    <x v="82"/>
    <m/>
    <m/>
    <m/>
    <s v="Депозит DRM SS22"/>
    <m/>
    <m/>
    <m/>
    <m/>
    <m/>
    <x v="0"/>
    <n v="-96417.26"/>
  </r>
  <r>
    <s v="Deposit"/>
    <n v="0"/>
    <m/>
    <d v="1899-12-30T00:00:00"/>
    <d v="1899-12-30T00:00:00"/>
    <n v="44453"/>
    <s v="Advance"/>
    <s v="Advance"/>
    <s v="UGG"/>
    <s v="UGG"/>
    <n v="-71128.600000000006"/>
    <m/>
    <x v="82"/>
    <m/>
    <m/>
    <m/>
    <s v="Депозит UGG AW21"/>
    <m/>
    <m/>
    <m/>
    <m/>
    <m/>
    <x v="0"/>
    <n v="-71128.600000000006"/>
  </r>
  <r>
    <s v="Deposit"/>
    <n v="0"/>
    <m/>
    <d v="1899-12-30T00:00:00"/>
    <d v="1899-12-30T00:00:00"/>
    <n v="44453"/>
    <s v="Advance"/>
    <s v="Advance"/>
    <s v="Dr.Martens"/>
    <s v="Dr.Martens"/>
    <n v="-840088.11"/>
    <m/>
    <x v="39"/>
    <m/>
    <m/>
    <m/>
    <s v="Депозит DRM FW21"/>
    <m/>
    <m/>
    <m/>
    <m/>
    <m/>
    <x v="0"/>
    <n v="-840088.11"/>
  </r>
  <r>
    <s v="Deposit"/>
    <n v="0"/>
    <m/>
    <d v="1899-12-30T00:00:00"/>
    <d v="1899-12-30T00:00:00"/>
    <n v="44453"/>
    <s v="Advance"/>
    <s v="Advance"/>
    <s v="Dr.Martens"/>
    <s v="Dr.Martens"/>
    <n v="-416335.41"/>
    <m/>
    <x v="39"/>
    <m/>
    <m/>
    <m/>
    <s v="Депозит DRM SS22"/>
    <m/>
    <m/>
    <m/>
    <m/>
    <m/>
    <x v="0"/>
    <n v="-416335.41"/>
  </r>
  <r>
    <s v="Deposit"/>
    <n v="0"/>
    <m/>
    <d v="1899-12-30T00:00:00"/>
    <d v="1899-12-30T00:00:00"/>
    <n v="44453"/>
    <s v="Advance"/>
    <s v="Advance"/>
    <s v="UGG"/>
    <s v="UGG"/>
    <n v="-297741.08"/>
    <m/>
    <x v="39"/>
    <m/>
    <m/>
    <m/>
    <s v="Депозит UGG FW 21"/>
    <m/>
    <m/>
    <m/>
    <m/>
    <m/>
    <x v="0"/>
    <n v="-297741.08"/>
  </r>
  <r>
    <s v="Deposit"/>
    <n v="0"/>
    <m/>
    <d v="1899-12-30T00:00:00"/>
    <d v="1899-12-30T00:00:00"/>
    <n v="44453"/>
    <s v="Advance"/>
    <s v="Advance"/>
    <s v="UGG"/>
    <s v="UGG"/>
    <n v="-78507.97"/>
    <m/>
    <x v="39"/>
    <m/>
    <m/>
    <m/>
    <s v="Депозит UGG SS22"/>
    <m/>
    <m/>
    <m/>
    <m/>
    <m/>
    <x v="0"/>
    <n v="-78507.97"/>
  </r>
  <r>
    <s v="Deposit"/>
    <n v="0"/>
    <m/>
    <d v="1899-12-30T00:00:00"/>
    <d v="1899-12-30T00:00:00"/>
    <n v="44453"/>
    <s v="Advance"/>
    <s v="Advance"/>
    <s v="Converse"/>
    <s v="Converse"/>
    <n v="-3319968.6"/>
    <m/>
    <x v="33"/>
    <m/>
    <m/>
    <m/>
    <s v="Депозит CON FA21"/>
    <m/>
    <m/>
    <m/>
    <m/>
    <m/>
    <x v="0"/>
    <n v="-3319968.6"/>
  </r>
  <r>
    <s v="Deposit"/>
    <n v="0"/>
    <m/>
    <d v="1899-12-30T00:00:00"/>
    <d v="1899-12-30T00:00:00"/>
    <n v="44453"/>
    <s v="Advance"/>
    <s v="Advance"/>
    <s v="Converse"/>
    <s v="Converse"/>
    <n v="-5509044.4500000002"/>
    <m/>
    <x v="33"/>
    <m/>
    <m/>
    <m/>
    <s v="депозит CON SP22"/>
    <m/>
    <m/>
    <m/>
    <m/>
    <m/>
    <x v="0"/>
    <n v="-5509044.4500000002"/>
  </r>
  <r>
    <s v="Deposit"/>
    <n v="0"/>
    <m/>
    <d v="1899-12-30T00:00:00"/>
    <d v="1899-12-30T00:00:00"/>
    <n v="44453"/>
    <s v="Advance"/>
    <s v="Advance"/>
    <s v="Dr.Martens"/>
    <s v="Dr.Martens"/>
    <n v="-15757218"/>
    <m/>
    <x v="33"/>
    <m/>
    <m/>
    <m/>
    <s v="депозит DRM AW21"/>
    <m/>
    <m/>
    <m/>
    <m/>
    <m/>
    <x v="0"/>
    <n v="-15757218"/>
  </r>
  <r>
    <s v="Deposit"/>
    <n v="0"/>
    <m/>
    <d v="1899-12-30T00:00:00"/>
    <d v="1899-12-30T00:00:00"/>
    <n v="44453"/>
    <s v="Advance"/>
    <s v="Advance"/>
    <s v="Dr.Martens"/>
    <s v="Dr.Martens"/>
    <n v="-5009184.18"/>
    <m/>
    <x v="33"/>
    <m/>
    <m/>
    <m/>
    <s v="депозит DRM SS22"/>
    <m/>
    <m/>
    <m/>
    <m/>
    <m/>
    <x v="0"/>
    <n v="-5009184.18"/>
  </r>
  <r>
    <s v="Deposit"/>
    <n v="0"/>
    <m/>
    <d v="1899-12-30T00:00:00"/>
    <d v="1899-12-30T00:00:00"/>
    <n v="44453"/>
    <s v="Advance"/>
    <s v="Advance"/>
    <s v="Saucony"/>
    <s v="Saucony"/>
    <n v="-510003.36"/>
    <m/>
    <x v="33"/>
    <m/>
    <m/>
    <m/>
    <s v="депозит SAU AW21"/>
    <m/>
    <m/>
    <m/>
    <m/>
    <m/>
    <x v="0"/>
    <n v="-510003.36"/>
  </r>
  <r>
    <s v="Deposit"/>
    <n v="0"/>
    <m/>
    <d v="1899-12-30T00:00:00"/>
    <d v="1899-12-30T00:00:00"/>
    <n v="44453"/>
    <s v="Advance"/>
    <s v="Advance"/>
    <s v="Saucony"/>
    <s v="Saucony"/>
    <n v="-2186977.5"/>
    <m/>
    <x v="33"/>
    <m/>
    <m/>
    <m/>
    <s v="депозит SAU SS22"/>
    <m/>
    <m/>
    <m/>
    <m/>
    <m/>
    <x v="0"/>
    <n v="-2186977.5"/>
  </r>
  <r>
    <s v="Deposit"/>
    <n v="0"/>
    <m/>
    <d v="1899-12-30T00:00:00"/>
    <d v="1899-12-30T00:00:00"/>
    <n v="44453"/>
    <s v="Advance"/>
    <s v="Advance"/>
    <s v="UGG"/>
    <s v="UGG"/>
    <n v="-10456902.640000001"/>
    <m/>
    <x v="33"/>
    <m/>
    <m/>
    <m/>
    <s v="депозит UGG FW21"/>
    <m/>
    <m/>
    <m/>
    <m/>
    <m/>
    <x v="0"/>
    <n v="-10456902.640000001"/>
  </r>
  <r>
    <s v="Deposit"/>
    <n v="0"/>
    <m/>
    <d v="1899-12-30T00:00:00"/>
    <d v="1899-12-30T00:00:00"/>
    <n v="44453"/>
    <s v="Advance"/>
    <s v="Advance"/>
    <s v="UGG"/>
    <s v="UGG"/>
    <n v="-1490040"/>
    <m/>
    <x v="33"/>
    <m/>
    <m/>
    <m/>
    <s v="депозит UGG SS22"/>
    <m/>
    <m/>
    <m/>
    <m/>
    <m/>
    <x v="0"/>
    <n v="-1490040"/>
  </r>
  <r>
    <s v="Deposit"/>
    <n v="0"/>
    <m/>
    <d v="1899-12-30T00:00:00"/>
    <d v="1899-12-30T00:00:00"/>
    <n v="44453"/>
    <s v="Advance"/>
    <s v="Advance"/>
    <s v="Converse"/>
    <s v="Converse"/>
    <n v="-3278285.78"/>
    <m/>
    <x v="18"/>
    <m/>
    <m/>
    <m/>
    <s v="Депозит CON FA21"/>
    <m/>
    <m/>
    <m/>
    <m/>
    <m/>
    <x v="0"/>
    <n v="-3278285.78"/>
  </r>
  <r>
    <s v="Deposit"/>
    <n v="0"/>
    <m/>
    <d v="1899-12-30T00:00:00"/>
    <d v="1899-12-30T00:00:00"/>
    <n v="44453"/>
    <s v="Advance"/>
    <s v="Advance"/>
    <s v="Converse"/>
    <s v="Converse"/>
    <n v="-9711000.9900000002"/>
    <m/>
    <x v="18"/>
    <m/>
    <m/>
    <m/>
    <s v="Депозит CON SP22"/>
    <m/>
    <m/>
    <m/>
    <m/>
    <m/>
    <x v="0"/>
    <n v="-9711000.9900000002"/>
  </r>
  <r>
    <s v="Deposit"/>
    <n v="0"/>
    <m/>
    <d v="1899-12-30T00:00:00"/>
    <d v="1899-12-30T00:00:00"/>
    <n v="44453"/>
    <s v="Advance"/>
    <s v="Advance"/>
    <s v="Converse"/>
    <s v="Converse"/>
    <n v="-3192908.84"/>
    <m/>
    <x v="18"/>
    <m/>
    <m/>
    <m/>
    <s v="Депозит CON SU21"/>
    <m/>
    <m/>
    <m/>
    <m/>
    <m/>
    <x v="0"/>
    <n v="-3192908.84"/>
  </r>
  <r>
    <s v="Deposit"/>
    <n v="0"/>
    <m/>
    <d v="1899-12-30T00:00:00"/>
    <d v="1899-12-30T00:00:00"/>
    <n v="44453"/>
    <s v="Advance"/>
    <s v="Advance"/>
    <s v="Dr.Martens"/>
    <s v="Dr.Martens"/>
    <n v="-3321050.96"/>
    <m/>
    <x v="18"/>
    <m/>
    <m/>
    <m/>
    <s v="Депозит DRM AW21"/>
    <m/>
    <m/>
    <m/>
    <m/>
    <m/>
    <x v="0"/>
    <n v="-3321050.96"/>
  </r>
  <r>
    <s v="Deposit"/>
    <n v="0"/>
    <m/>
    <d v="1899-12-30T00:00:00"/>
    <d v="1899-12-30T00:00:00"/>
    <n v="44453"/>
    <s v="Advance"/>
    <s v="Advance"/>
    <s v="Dr.Martens"/>
    <s v="Dr.Martens"/>
    <n v="-334570.84999999998"/>
    <m/>
    <x v="18"/>
    <m/>
    <m/>
    <m/>
    <s v="Депозит DRM SS22"/>
    <m/>
    <m/>
    <m/>
    <m/>
    <m/>
    <x v="0"/>
    <n v="-334570.84999999998"/>
  </r>
  <r>
    <s v="Deposit"/>
    <n v="0"/>
    <m/>
    <d v="1899-12-30T00:00:00"/>
    <d v="1899-12-30T00:00:00"/>
    <n v="44453"/>
    <s v="Advance"/>
    <s v="Advance"/>
    <s v="UGG"/>
    <s v="UGG"/>
    <n v="-828931.38"/>
    <m/>
    <x v="18"/>
    <m/>
    <m/>
    <m/>
    <s v="Депозит UGG AW21"/>
    <m/>
    <m/>
    <m/>
    <m/>
    <m/>
    <x v="0"/>
    <n v="-828931.38"/>
  </r>
  <r>
    <s v="Deposit"/>
    <n v="0"/>
    <m/>
    <d v="1899-12-30T00:00:00"/>
    <d v="1899-12-30T00:00:00"/>
    <n v="44453"/>
    <s v="Advance"/>
    <s v="Advance"/>
    <s v="Converse"/>
    <s v="Converse"/>
    <n v="-384334.6"/>
    <m/>
    <x v="25"/>
    <m/>
    <m/>
    <m/>
    <s v="депозит CON FA21"/>
    <m/>
    <m/>
    <m/>
    <m/>
    <m/>
    <x v="0"/>
    <n v="-384334.6"/>
  </r>
  <r>
    <s v="Deposit"/>
    <n v="0"/>
    <m/>
    <d v="1899-12-30T00:00:00"/>
    <d v="1899-12-30T00:00:00"/>
    <n v="44453"/>
    <s v="Advance"/>
    <s v="Advance"/>
    <s v="Converse"/>
    <s v="Converse"/>
    <n v="-552658.24"/>
    <m/>
    <x v="25"/>
    <m/>
    <m/>
    <m/>
    <s v="Депозит CON SP21"/>
    <m/>
    <m/>
    <m/>
    <m/>
    <m/>
    <x v="0"/>
    <n v="-552658.24"/>
  </r>
  <r>
    <s v="Deposit"/>
    <n v="0"/>
    <m/>
    <d v="1899-12-30T00:00:00"/>
    <d v="1899-12-30T00:00:00"/>
    <n v="44453"/>
    <s v="Advance"/>
    <s v="Advance"/>
    <s v="Converse"/>
    <s v="Converse"/>
    <n v="-134208"/>
    <m/>
    <x v="83"/>
    <m/>
    <m/>
    <m/>
    <s v="Депозит CON SS22"/>
    <m/>
    <m/>
    <m/>
    <m/>
    <m/>
    <x v="0"/>
    <n v="-134208"/>
  </r>
  <r>
    <s v="Deposit"/>
    <n v="0"/>
    <m/>
    <d v="1899-12-30T00:00:00"/>
    <d v="1899-12-30T00:00:00"/>
    <n v="44453"/>
    <s v="Advance"/>
    <s v="Advance"/>
    <s v="Havaianas"/>
    <s v="Havaianas"/>
    <n v="-17188.46"/>
    <m/>
    <x v="83"/>
    <m/>
    <m/>
    <m/>
    <s v="Депозит HAV SS22"/>
    <m/>
    <m/>
    <m/>
    <m/>
    <m/>
    <x v="0"/>
    <n v="-17188.46"/>
  </r>
  <r>
    <s v="Deposit"/>
    <n v="0"/>
    <m/>
    <d v="1899-12-30T00:00:00"/>
    <d v="1899-12-30T00:00:00"/>
    <n v="44453"/>
    <s v="Advance"/>
    <s v="Advance"/>
    <s v="Converse"/>
    <s v="Converse"/>
    <n v="-33289.65"/>
    <m/>
    <x v="84"/>
    <m/>
    <m/>
    <m/>
    <s v="депозит CON FA 21"/>
    <m/>
    <m/>
    <m/>
    <m/>
    <m/>
    <x v="0"/>
    <n v="-33289.65"/>
  </r>
  <r>
    <s v="Deposit"/>
    <n v="0"/>
    <m/>
    <d v="1899-12-30T00:00:00"/>
    <d v="1899-12-30T00:00:00"/>
    <n v="44453"/>
    <s v="Advance"/>
    <s v="Advance"/>
    <s v="Converse"/>
    <s v="Converse"/>
    <n v="-43844.31"/>
    <m/>
    <x v="84"/>
    <m/>
    <m/>
    <m/>
    <s v="Депозит CON SP22"/>
    <m/>
    <m/>
    <m/>
    <m/>
    <m/>
    <x v="0"/>
    <n v="-43844.31"/>
  </r>
  <r>
    <s v="Deposit"/>
    <n v="0"/>
    <m/>
    <d v="1899-12-30T00:00:00"/>
    <d v="1899-12-30T00:00:00"/>
    <n v="44453"/>
    <s v="Advance"/>
    <s v="Advance"/>
    <s v="Dr.Martens"/>
    <s v="Dr.Martens"/>
    <n v="-384036.65"/>
    <m/>
    <x v="84"/>
    <m/>
    <m/>
    <m/>
    <s v="Депозит DRM AW21"/>
    <m/>
    <m/>
    <m/>
    <m/>
    <m/>
    <x v="0"/>
    <n v="-384036.65"/>
  </r>
  <r>
    <s v="Deposit"/>
    <n v="0"/>
    <m/>
    <d v="1899-12-30T00:00:00"/>
    <d v="1899-12-30T00:00:00"/>
    <n v="44453"/>
    <s v="Advance"/>
    <s v="Advance"/>
    <s v="Dr.Martens"/>
    <s v="Dr.Martens"/>
    <n v="-77641"/>
    <m/>
    <x v="84"/>
    <m/>
    <m/>
    <m/>
    <s v="депозит DRM SS22"/>
    <m/>
    <m/>
    <m/>
    <m/>
    <m/>
    <x v="0"/>
    <n v="-77641"/>
  </r>
  <r>
    <s v="Deposit"/>
    <n v="0"/>
    <m/>
    <d v="1899-12-30T00:00:00"/>
    <d v="1899-12-30T00:00:00"/>
    <n v="44453"/>
    <s v="Advance"/>
    <s v="Advance"/>
    <s v="Converse"/>
    <s v="Converse"/>
    <n v="-294350.56"/>
    <m/>
    <x v="85"/>
    <m/>
    <m/>
    <m/>
    <s v="Депозит CON FA21"/>
    <m/>
    <m/>
    <m/>
    <m/>
    <m/>
    <x v="0"/>
    <n v="-294350.56"/>
  </r>
  <r>
    <s v="Deposit"/>
    <n v="0"/>
    <m/>
    <d v="1899-12-30T00:00:00"/>
    <d v="1899-12-30T00:00:00"/>
    <n v="44453"/>
    <s v="Advance"/>
    <s v="Advance"/>
    <s v="Converse"/>
    <s v="Converse"/>
    <n v="-0.12"/>
    <m/>
    <x v="85"/>
    <m/>
    <m/>
    <m/>
    <s v="Депозит CON SP21"/>
    <m/>
    <m/>
    <m/>
    <m/>
    <m/>
    <x v="0"/>
    <n v="-0.12"/>
  </r>
  <r>
    <s v="Deposit"/>
    <n v="0"/>
    <m/>
    <d v="1899-12-30T00:00:00"/>
    <d v="1899-12-30T00:00:00"/>
    <n v="44453"/>
    <s v="Advance"/>
    <s v="Advance"/>
    <s v="Converse"/>
    <s v="Converse"/>
    <n v="-241890.85"/>
    <m/>
    <x v="85"/>
    <m/>
    <m/>
    <m/>
    <s v="Депозит CON SP22"/>
    <m/>
    <m/>
    <m/>
    <m/>
    <m/>
    <x v="0"/>
    <n v="-241890.85"/>
  </r>
  <r>
    <s v="Deposit"/>
    <n v="0"/>
    <m/>
    <d v="1899-12-30T00:00:00"/>
    <d v="1899-12-30T00:00:00"/>
    <n v="44453"/>
    <s v="Advance"/>
    <s v="Advance"/>
    <s v="Dr.Martens"/>
    <s v="Dr.Martens"/>
    <n v="-287183.90999999997"/>
    <m/>
    <x v="85"/>
    <m/>
    <m/>
    <m/>
    <s v="Депозит DRM AW21"/>
    <m/>
    <m/>
    <m/>
    <m/>
    <m/>
    <x v="0"/>
    <n v="-287183.90999999997"/>
  </r>
  <r>
    <s v="Deposit"/>
    <n v="0"/>
    <m/>
    <d v="1899-12-30T00:00:00"/>
    <d v="1899-12-30T00:00:00"/>
    <n v="44453"/>
    <s v="Advance"/>
    <s v="Advance"/>
    <s v="Dr.Martens"/>
    <s v="Dr.Martens"/>
    <n v="-251493.6"/>
    <m/>
    <x v="85"/>
    <m/>
    <m/>
    <m/>
    <s v="Депозит DRM AW21 PEAK"/>
    <m/>
    <m/>
    <m/>
    <m/>
    <m/>
    <x v="0"/>
    <n v="-251493.6"/>
  </r>
  <r>
    <s v="Deposit"/>
    <n v="0"/>
    <m/>
    <d v="1899-12-30T00:00:00"/>
    <d v="1899-12-30T00:00:00"/>
    <n v="44453"/>
    <s v="Advance"/>
    <s v="Advance"/>
    <s v="Dr.Martens"/>
    <s v="Dr.Martens"/>
    <n v="-197942.56"/>
    <m/>
    <x v="85"/>
    <m/>
    <m/>
    <m/>
    <s v="Депозит DRM SS22"/>
    <m/>
    <m/>
    <m/>
    <m/>
    <m/>
    <x v="0"/>
    <n v="-197942.56"/>
  </r>
  <r>
    <s v="Deposit"/>
    <n v="0"/>
    <m/>
    <d v="1899-12-30T00:00:00"/>
    <d v="1899-12-30T00:00:00"/>
    <n v="44453"/>
    <s v="Advance"/>
    <s v="Advance"/>
    <s v="Saucony"/>
    <s v="Saucony"/>
    <n v="-72521.31"/>
    <m/>
    <x v="85"/>
    <m/>
    <m/>
    <m/>
    <s v="Депозит SAU SS22"/>
    <m/>
    <m/>
    <m/>
    <m/>
    <m/>
    <x v="0"/>
    <n v="-72521.31"/>
  </r>
  <r>
    <s v="Deposit"/>
    <n v="0"/>
    <m/>
    <d v="1899-12-30T00:00:00"/>
    <d v="1899-12-30T00:00:00"/>
    <n v="44453"/>
    <s v="Advance"/>
    <s v="Advance"/>
    <s v="Converse"/>
    <s v="Converse"/>
    <n v="-329792.7"/>
    <m/>
    <x v="28"/>
    <m/>
    <m/>
    <m/>
    <s v="Депозит CON SP22"/>
    <m/>
    <m/>
    <m/>
    <m/>
    <m/>
    <x v="0"/>
    <n v="-329792.7"/>
  </r>
  <r>
    <s v="Deposit"/>
    <n v="0"/>
    <m/>
    <d v="1899-12-30T00:00:00"/>
    <d v="1899-12-30T00:00:00"/>
    <n v="44453"/>
    <s v="Advance"/>
    <s v="Advance"/>
    <s v="Dr.Martens"/>
    <s v="Dr.Martens"/>
    <n v="-189464.85"/>
    <m/>
    <x v="28"/>
    <m/>
    <m/>
    <m/>
    <s v="Депозит DRM FW21"/>
    <m/>
    <m/>
    <m/>
    <m/>
    <m/>
    <x v="0"/>
    <n v="-189464.85"/>
  </r>
  <r>
    <s v="Deposit"/>
    <n v="0"/>
    <m/>
    <d v="1899-12-30T00:00:00"/>
    <d v="1899-12-30T00:00:00"/>
    <n v="44453"/>
    <s v="Advance"/>
    <s v="Advance"/>
    <s v="Saucony"/>
    <s v="Saucony"/>
    <n v="-25023.45"/>
    <m/>
    <x v="28"/>
    <m/>
    <m/>
    <m/>
    <s v="депозит SAU FH21"/>
    <m/>
    <m/>
    <m/>
    <m/>
    <m/>
    <x v="0"/>
    <n v="-25023.45"/>
  </r>
  <r>
    <s v="Deposit"/>
    <n v="0"/>
    <m/>
    <d v="1899-12-30T00:00:00"/>
    <d v="1899-12-30T00:00:00"/>
    <n v="44453"/>
    <s v="Advance"/>
    <s v="Advance"/>
    <s v="UGG"/>
    <s v="UGG"/>
    <n v="-85944.35"/>
    <m/>
    <x v="86"/>
    <m/>
    <m/>
    <m/>
    <s v="Депозит UGG AW21"/>
    <m/>
    <m/>
    <m/>
    <m/>
    <m/>
    <x v="0"/>
    <n v="-85944.35"/>
  </r>
  <r>
    <s v="Deposit"/>
    <n v="0"/>
    <m/>
    <d v="1899-12-30T00:00:00"/>
    <d v="1899-12-30T00:00:00"/>
    <n v="44453"/>
    <s v="Advance"/>
    <s v="Advance"/>
    <s v="Converse"/>
    <s v="Converse"/>
    <n v="-2256"/>
    <m/>
    <x v="23"/>
    <m/>
    <m/>
    <m/>
    <s v="Депозит CON SP21"/>
    <m/>
    <m/>
    <m/>
    <m/>
    <m/>
    <x v="0"/>
    <n v="-2256"/>
  </r>
  <r>
    <s v="Deposit"/>
    <n v="0"/>
    <m/>
    <d v="1899-12-30T00:00:00"/>
    <d v="1899-12-30T00:00:00"/>
    <n v="44453"/>
    <s v="Advance"/>
    <s v="Advance"/>
    <s v="Converse"/>
    <s v="Converse"/>
    <n v="-50000"/>
    <m/>
    <x v="23"/>
    <m/>
    <m/>
    <m/>
    <s v="Депозит CON SP22"/>
    <m/>
    <m/>
    <m/>
    <m/>
    <m/>
    <x v="0"/>
    <n v="-50000"/>
  </r>
  <r>
    <s v="Deposit"/>
    <n v="0"/>
    <m/>
    <d v="1899-12-30T00:00:00"/>
    <d v="1899-12-30T00:00:00"/>
    <n v="44453"/>
    <s v="Advance"/>
    <s v="Advance"/>
    <s v="Converse"/>
    <s v="Converse"/>
    <n v="-50000"/>
    <m/>
    <x v="23"/>
    <m/>
    <m/>
    <m/>
    <s v="Депозит CON SU21"/>
    <m/>
    <m/>
    <m/>
    <m/>
    <m/>
    <x v="0"/>
    <n v="-50000"/>
  </r>
  <r>
    <m/>
    <m/>
    <m/>
    <m/>
    <m/>
    <m/>
    <m/>
    <m/>
    <m/>
    <m/>
    <m/>
    <m/>
    <x v="87"/>
    <m/>
    <m/>
    <m/>
    <m/>
    <m/>
    <m/>
    <m/>
    <m/>
    <m/>
    <x v="2"/>
    <m/>
  </r>
  <r>
    <m/>
    <m/>
    <m/>
    <m/>
    <m/>
    <m/>
    <m/>
    <m/>
    <m/>
    <m/>
    <m/>
    <m/>
    <x v="87"/>
    <m/>
    <m/>
    <m/>
    <m/>
    <m/>
    <m/>
    <m/>
    <m/>
    <m/>
    <x v="2"/>
    <m/>
  </r>
  <r>
    <m/>
    <m/>
    <m/>
    <m/>
    <m/>
    <m/>
    <m/>
    <m/>
    <m/>
    <m/>
    <m/>
    <m/>
    <x v="87"/>
    <m/>
    <m/>
    <m/>
    <m/>
    <m/>
    <m/>
    <m/>
    <m/>
    <m/>
    <x v="2"/>
    <m/>
  </r>
  <r>
    <m/>
    <m/>
    <m/>
    <m/>
    <m/>
    <m/>
    <m/>
    <m/>
    <m/>
    <m/>
    <m/>
    <m/>
    <x v="87"/>
    <m/>
    <m/>
    <m/>
    <m/>
    <m/>
    <m/>
    <m/>
    <m/>
    <m/>
    <x v="2"/>
    <m/>
  </r>
  <r>
    <m/>
    <m/>
    <m/>
    <m/>
    <m/>
    <m/>
    <m/>
    <m/>
    <m/>
    <m/>
    <m/>
    <m/>
    <x v="87"/>
    <m/>
    <m/>
    <m/>
    <m/>
    <m/>
    <m/>
    <m/>
    <m/>
    <m/>
    <x v="2"/>
    <m/>
  </r>
  <r>
    <m/>
    <m/>
    <m/>
    <m/>
    <m/>
    <m/>
    <m/>
    <m/>
    <m/>
    <m/>
    <m/>
    <m/>
    <x v="87"/>
    <m/>
    <m/>
    <m/>
    <m/>
    <m/>
    <m/>
    <m/>
    <m/>
    <m/>
    <x v="2"/>
    <m/>
  </r>
  <r>
    <m/>
    <m/>
    <m/>
    <m/>
    <m/>
    <m/>
    <m/>
    <m/>
    <m/>
    <m/>
    <m/>
    <m/>
    <x v="87"/>
    <m/>
    <m/>
    <m/>
    <m/>
    <m/>
    <m/>
    <m/>
    <m/>
    <m/>
    <x v="2"/>
    <m/>
  </r>
  <r>
    <m/>
    <m/>
    <m/>
    <m/>
    <m/>
    <m/>
    <m/>
    <m/>
    <m/>
    <m/>
    <m/>
    <m/>
    <x v="87"/>
    <m/>
    <m/>
    <m/>
    <m/>
    <m/>
    <m/>
    <m/>
    <m/>
    <m/>
    <x v="2"/>
    <m/>
  </r>
  <r>
    <m/>
    <m/>
    <m/>
    <m/>
    <m/>
    <m/>
    <m/>
    <m/>
    <m/>
    <m/>
    <m/>
    <m/>
    <x v="87"/>
    <m/>
    <m/>
    <m/>
    <m/>
    <m/>
    <m/>
    <m/>
    <m/>
    <m/>
    <x v="2"/>
    <m/>
  </r>
  <r>
    <m/>
    <m/>
    <m/>
    <m/>
    <m/>
    <m/>
    <m/>
    <m/>
    <m/>
    <m/>
    <m/>
    <m/>
    <x v="87"/>
    <m/>
    <m/>
    <m/>
    <m/>
    <m/>
    <m/>
    <m/>
    <m/>
    <m/>
    <x v="2"/>
    <m/>
  </r>
  <r>
    <m/>
    <m/>
    <m/>
    <m/>
    <m/>
    <m/>
    <m/>
    <m/>
    <m/>
    <m/>
    <m/>
    <m/>
    <x v="87"/>
    <m/>
    <m/>
    <m/>
    <m/>
    <m/>
    <m/>
    <m/>
    <m/>
    <m/>
    <x v="2"/>
    <m/>
  </r>
  <r>
    <m/>
    <m/>
    <m/>
    <m/>
    <m/>
    <m/>
    <m/>
    <m/>
    <m/>
    <m/>
    <m/>
    <m/>
    <x v="87"/>
    <m/>
    <m/>
    <m/>
    <m/>
    <m/>
    <m/>
    <m/>
    <m/>
    <m/>
    <x v="2"/>
    <m/>
  </r>
  <r>
    <m/>
    <m/>
    <m/>
    <m/>
    <m/>
    <m/>
    <m/>
    <m/>
    <m/>
    <m/>
    <m/>
    <m/>
    <x v="87"/>
    <m/>
    <m/>
    <m/>
    <m/>
    <m/>
    <m/>
    <m/>
    <m/>
    <m/>
    <x v="2"/>
    <m/>
  </r>
  <r>
    <m/>
    <m/>
    <m/>
    <m/>
    <m/>
    <m/>
    <m/>
    <m/>
    <m/>
    <m/>
    <m/>
    <m/>
    <x v="87"/>
    <m/>
    <m/>
    <m/>
    <m/>
    <m/>
    <m/>
    <m/>
    <m/>
    <m/>
    <x v="2"/>
    <m/>
  </r>
  <r>
    <m/>
    <m/>
    <m/>
    <m/>
    <m/>
    <m/>
    <m/>
    <m/>
    <m/>
    <m/>
    <m/>
    <m/>
    <x v="87"/>
    <m/>
    <m/>
    <m/>
    <m/>
    <m/>
    <m/>
    <m/>
    <m/>
    <m/>
    <x v="2"/>
    <m/>
  </r>
  <r>
    <m/>
    <m/>
    <m/>
    <m/>
    <m/>
    <m/>
    <m/>
    <m/>
    <m/>
    <m/>
    <m/>
    <m/>
    <x v="87"/>
    <m/>
    <m/>
    <m/>
    <m/>
    <m/>
    <m/>
    <m/>
    <m/>
    <m/>
    <x v="2"/>
    <m/>
  </r>
  <r>
    <m/>
    <m/>
    <m/>
    <m/>
    <m/>
    <m/>
    <m/>
    <m/>
    <m/>
    <m/>
    <m/>
    <m/>
    <x v="87"/>
    <m/>
    <m/>
    <m/>
    <m/>
    <m/>
    <m/>
    <m/>
    <m/>
    <m/>
    <x v="2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583">
  <r>
    <x v="0"/>
    <n v="0"/>
    <m/>
    <d v="2018-05-07T00:00:00"/>
    <d v="2018-05-07T23:59:59"/>
    <n v="1225.0000115740768"/>
    <x v="0"/>
    <x v="0"/>
    <s v="Сток"/>
    <x v="0"/>
    <n v="-7495"/>
    <x v="0"/>
    <x v="0"/>
    <s v="07.05.2018 23:59:59"/>
    <x v="0"/>
    <s v="Оплата от покупателя"/>
    <x v="0"/>
    <s v="№ 096/2013"/>
    <m/>
    <m/>
    <m/>
    <m/>
    <s v="Negative"/>
    <n v="-7495"/>
  </r>
  <r>
    <x v="0"/>
    <n v="0"/>
    <m/>
    <d v="2018-09-18T00:00:00"/>
    <d v="2018-09-18T23:59:59"/>
    <n v="1091.0000115740768"/>
    <x v="0"/>
    <x v="0"/>
    <s v="Сток Converse"/>
    <x v="1"/>
    <n v="-118621.49"/>
    <x v="1"/>
    <x v="1"/>
    <s v="18.09.2018 23:59:59"/>
    <x v="1"/>
    <s v="Оплата от покупателя"/>
    <x v="1"/>
    <s v="№ 096/2013"/>
    <m/>
    <m/>
    <m/>
    <m/>
    <s v="Negative"/>
    <n v="-118621.49"/>
  </r>
  <r>
    <x v="1"/>
    <n v="0"/>
    <m/>
    <d v="2018-12-03T00:00:00"/>
    <d v="2018-12-03T13:35:35"/>
    <n v="1015.4336226851883"/>
    <x v="0"/>
    <x v="0"/>
    <s v="Сток UGG"/>
    <x v="2"/>
    <n v="-9548"/>
    <x v="2"/>
    <x v="2"/>
    <s v="03.12.2018 13:35:35"/>
    <x v="2"/>
    <m/>
    <x v="2"/>
    <s v="№ 096/2013"/>
    <m/>
    <m/>
    <m/>
    <m/>
    <s v="Negative"/>
    <n v="-9548"/>
  </r>
  <r>
    <x v="0"/>
    <n v="0"/>
    <m/>
    <d v="2019-04-05T00:00:00"/>
    <d v="2019-04-05T23:55:59"/>
    <n v="892.00278935184906"/>
    <x v="0"/>
    <x v="0"/>
    <s v="Сток Saucony"/>
    <x v="3"/>
    <n v="-34032"/>
    <x v="3"/>
    <x v="3"/>
    <s v="05.04.2019 23:55:59"/>
    <x v="3"/>
    <s v="Оплата от покупателя"/>
    <x v="3"/>
    <s v="№ 096/2013"/>
    <m/>
    <m/>
    <m/>
    <m/>
    <s v="Negative"/>
    <n v="-34032"/>
  </r>
  <r>
    <x v="0"/>
    <n v="0"/>
    <m/>
    <d v="2019-10-28T00:00:00"/>
    <d v="2019-10-28T23:59:59"/>
    <n v="686.00001157407678"/>
    <x v="0"/>
    <x v="0"/>
    <s v="Сток Converse"/>
    <x v="1"/>
    <n v="-1000"/>
    <x v="4"/>
    <x v="4"/>
    <s v="28.10.2019 23:59:59"/>
    <x v="1"/>
    <s v="Оплата от покупателя"/>
    <x v="4"/>
    <s v="№ 096/2013"/>
    <m/>
    <m/>
    <m/>
    <m/>
    <s v="Negative"/>
    <n v="-1000"/>
  </r>
  <r>
    <x v="0"/>
    <n v="0"/>
    <m/>
    <d v="2019-11-18T00:00:00"/>
    <d v="2019-11-18T23:59:59"/>
    <n v="665.00001157407678"/>
    <x v="0"/>
    <x v="0"/>
    <s v="Дисконт"/>
    <x v="0"/>
    <n v="-700"/>
    <x v="5"/>
    <x v="5"/>
    <s v="18.11.2019 23:59:59"/>
    <x v="4"/>
    <s v="Оплата от покупателя"/>
    <x v="5"/>
    <s v="№ 096/2013"/>
    <m/>
    <m/>
    <m/>
    <m/>
    <s v="Negative"/>
    <n v="-700"/>
  </r>
  <r>
    <x v="0"/>
    <n v="0"/>
    <m/>
    <d v="2020-01-29T00:00:00"/>
    <d v="2020-01-29T23:59:59"/>
    <n v="593.00001157407678"/>
    <x v="0"/>
    <x v="0"/>
    <s v="UGG"/>
    <x v="2"/>
    <n v="-30000.3"/>
    <x v="6"/>
    <x v="6"/>
    <s v="29.01.2020 23:59:59"/>
    <x v="5"/>
    <s v="Оплата от покупателя"/>
    <x v="6"/>
    <s v="№ 096/2013"/>
    <m/>
    <m/>
    <m/>
    <m/>
    <s v="Negative"/>
    <n v="-30000.3"/>
  </r>
  <r>
    <x v="0"/>
    <n v="65"/>
    <m/>
    <d v="2020-02-11T00:00:00"/>
    <d v="2020-04-16T02:35:59"/>
    <n v="515.89167824073957"/>
    <x v="0"/>
    <x v="0"/>
    <s v="Сток UGG"/>
    <x v="2"/>
    <n v="-0.01"/>
    <x v="7"/>
    <x v="7"/>
    <s v="11.02.2020 2:35:59"/>
    <x v="2"/>
    <s v="Оплата от покупателя"/>
    <x v="7"/>
    <s v="№ 096/2013"/>
    <m/>
    <m/>
    <m/>
    <m/>
    <s v="Negative"/>
    <n v="-0.01"/>
  </r>
  <r>
    <x v="2"/>
    <n v="103"/>
    <m/>
    <d v="2020-02-17T00:00:00"/>
    <d v="2020-05-30T11:38:25"/>
    <n v="471.51498842592264"/>
    <x v="1"/>
    <x v="1"/>
    <s v="Сток Converse"/>
    <x v="1"/>
    <n v="85942.5"/>
    <x v="8"/>
    <x v="8"/>
    <s v="17.02.2020 11:38:25"/>
    <x v="1"/>
    <s v="продажа, комиссия"/>
    <x v="8"/>
    <s v="№ 096/2013"/>
    <m/>
    <m/>
    <m/>
    <m/>
    <s v="Positive"/>
    <n v="85942.5"/>
  </r>
  <r>
    <x v="0"/>
    <n v="0"/>
    <m/>
    <d v="2020-09-22T00:00:00"/>
    <d v="2020-09-22T23:03:50"/>
    <n v="356.03900462963065"/>
    <x v="0"/>
    <x v="0"/>
    <s v="Converse"/>
    <x v="1"/>
    <n v="-1199.95"/>
    <x v="9"/>
    <x v="9"/>
    <s v="22.09.2020 23:03:50"/>
    <x v="6"/>
    <s v="Оплата от покупателя"/>
    <x v="9"/>
    <s v="№ 096/2013"/>
    <m/>
    <m/>
    <m/>
    <m/>
    <s v="Negative"/>
    <n v="-1199.95"/>
  </r>
  <r>
    <x v="2"/>
    <n v="65"/>
    <m/>
    <d v="2020-10-27T00:00:00"/>
    <d v="2020-12-31T18:42:25"/>
    <n v="256.22054398147884"/>
    <x v="1"/>
    <x v="2"/>
    <s v="UGG"/>
    <x v="2"/>
    <n v="5358"/>
    <x v="10"/>
    <x v="7"/>
    <s v="27.10.2020 18:42:25"/>
    <x v="5"/>
    <s v="продажа, комиссия"/>
    <x v="7"/>
    <s v="№ 096/2013"/>
    <m/>
    <m/>
    <m/>
    <m/>
    <s v="Positive"/>
    <n v="5358"/>
  </r>
  <r>
    <x v="0"/>
    <n v="0"/>
    <m/>
    <d v="2020-10-30T00:00:00"/>
    <d v="2020-10-30T17:00:00"/>
    <n v="318.29166666666424"/>
    <x v="0"/>
    <x v="0"/>
    <s v="Converse"/>
    <x v="1"/>
    <n v="-12.07"/>
    <x v="11"/>
    <x v="6"/>
    <s v="30.10.2020 17:00:00"/>
    <x v="6"/>
    <s v="Оплата от покупателя"/>
    <x v="6"/>
    <s v="№ 096/2013"/>
    <m/>
    <m/>
    <m/>
    <m/>
    <s v="Negative"/>
    <n v="-12.07"/>
  </r>
  <r>
    <x v="2"/>
    <n v="65"/>
    <m/>
    <d v="2020-11-30T00:00:00"/>
    <d v="2021-02-03T16:52:35"/>
    <n v="222.29681712963065"/>
    <x v="0"/>
    <x v="0"/>
    <s v="Saucony"/>
    <x v="3"/>
    <n v="-17802"/>
    <x v="12"/>
    <x v="10"/>
    <s v="30.11.2020 16:52:35"/>
    <x v="7"/>
    <s v="продажа, комиссия"/>
    <x v="10"/>
    <s v="№ 321/2017 от 01.11.2017"/>
    <m/>
    <m/>
    <m/>
    <m/>
    <s v="Negative"/>
    <n v="-17802"/>
  </r>
  <r>
    <x v="2"/>
    <n v="65"/>
    <m/>
    <d v="2020-11-30T00:00:00"/>
    <d v="2021-02-03T16:54:56"/>
    <n v="222.29518518518307"/>
    <x v="0"/>
    <x v="0"/>
    <s v="Сток Dr.Martens"/>
    <x v="4"/>
    <n v="-0.1"/>
    <x v="13"/>
    <x v="10"/>
    <s v="30.11.2020 16:54:56"/>
    <x v="8"/>
    <s v="продажа, комиссия"/>
    <x v="10"/>
    <s v="048/2012 от 10 марта 2012"/>
    <m/>
    <m/>
    <m/>
    <m/>
    <s v="Negative"/>
    <n v="-0.1"/>
  </r>
  <r>
    <x v="2"/>
    <n v="65"/>
    <m/>
    <d v="2020-11-30T00:00:00"/>
    <d v="2021-02-03T16:55:25"/>
    <n v="222.2948495370365"/>
    <x v="0"/>
    <x v="0"/>
    <s v="Saucony"/>
    <x v="3"/>
    <n v="-271093"/>
    <x v="14"/>
    <x v="10"/>
    <s v="30.11.2020 16:55:25"/>
    <x v="7"/>
    <s v="продажа, комиссия"/>
    <x v="10"/>
    <s v="№ 346/2018 от 13.06.18"/>
    <m/>
    <m/>
    <m/>
    <m/>
    <s v="Negative"/>
    <n v="-271093"/>
  </r>
  <r>
    <x v="0"/>
    <n v="0"/>
    <m/>
    <d v="2020-12-08T00:00:00"/>
    <d v="2020-12-08T17:00:00"/>
    <n v="279.29166666666424"/>
    <x v="0"/>
    <x v="0"/>
    <s v="Сток Saucony"/>
    <x v="3"/>
    <n v="-3775.8"/>
    <x v="15"/>
    <x v="11"/>
    <s v="08.12.2020 17:00:00"/>
    <x v="3"/>
    <s v="Оплата от покупателя"/>
    <x v="11"/>
    <s v="№ 365/2018 от 30.10.2018"/>
    <m/>
    <m/>
    <m/>
    <m/>
    <s v="Negative"/>
    <n v="-3775.8"/>
  </r>
  <r>
    <x v="2"/>
    <n v="35"/>
    <m/>
    <d v="2020-12-10T00:00:00"/>
    <d v="2021-01-14T14:53:39"/>
    <n v="242.37940972221986"/>
    <x v="1"/>
    <x v="2"/>
    <s v="Сток UGG"/>
    <x v="2"/>
    <n v="0.01"/>
    <x v="16"/>
    <x v="12"/>
    <s v="10.12.2020 14:53:39"/>
    <x v="2"/>
    <s v="продажа, комиссия"/>
    <x v="12"/>
    <s v="№ 381/2019 от 26.03.2019"/>
    <m/>
    <m/>
    <m/>
    <m/>
    <s v="Positive"/>
    <n v="0.01"/>
  </r>
  <r>
    <x v="0"/>
    <n v="65"/>
    <m/>
    <d v="2021-01-15T00:00:00"/>
    <d v="2021-03-21T17:00:00"/>
    <n v="176.29166666666424"/>
    <x v="0"/>
    <x v="0"/>
    <s v="Converse"/>
    <x v="1"/>
    <n v="-170975"/>
    <x v="17"/>
    <x v="10"/>
    <s v="15.01.2021 17:00:00"/>
    <x v="6"/>
    <s v="Оплата от покупателя"/>
    <x v="10"/>
    <s v="251/2015 от 23.07.2015"/>
    <m/>
    <m/>
    <m/>
    <m/>
    <s v="Negative"/>
    <n v="-170975"/>
  </r>
  <r>
    <x v="2"/>
    <n v="95"/>
    <m/>
    <d v="2021-02-05T00:00:00"/>
    <d v="2021-05-11T14:34:05"/>
    <n v="125.39299768518686"/>
    <x v="2"/>
    <x v="3"/>
    <s v="Converse"/>
    <x v="1"/>
    <n v="865831.72"/>
    <x v="18"/>
    <x v="13"/>
    <s v="05.02.2021 14:34:05"/>
    <x v="6"/>
    <s v="продажа, комиссия"/>
    <x v="13"/>
    <s v="251/2015 от 23.07.2015"/>
    <m/>
    <m/>
    <m/>
    <m/>
    <s v="Positive"/>
    <n v="865831.72"/>
  </r>
  <r>
    <x v="2"/>
    <n v="95"/>
    <m/>
    <d v="2021-02-05T00:00:00"/>
    <d v="2021-05-11T14:38:34"/>
    <n v="125.38988425926073"/>
    <x v="2"/>
    <x v="3"/>
    <s v="Converse"/>
    <x v="1"/>
    <n v="1549821"/>
    <x v="19"/>
    <x v="13"/>
    <s v="05.02.2021 14:38:34"/>
    <x v="6"/>
    <s v="продажа, комиссия"/>
    <x v="13"/>
    <s v="№ 379/2019 от 25.02.2019"/>
    <m/>
    <m/>
    <m/>
    <m/>
    <s v="Positive"/>
    <n v="1549821"/>
  </r>
  <r>
    <x v="2"/>
    <n v="65"/>
    <m/>
    <d v="2021-02-12T00:00:00"/>
    <d v="2021-04-18T11:35:17"/>
    <n v="148.51716435185517"/>
    <x v="0"/>
    <x v="0"/>
    <s v="Converse"/>
    <x v="1"/>
    <n v="-139392.09"/>
    <x v="20"/>
    <x v="10"/>
    <s v="12.02.2021 11:35:17"/>
    <x v="6"/>
    <s v="продажа, комиссия"/>
    <x v="10"/>
    <s v="№ 403/2019 от 01.10.2019"/>
    <m/>
    <m/>
    <m/>
    <m/>
    <s v="Negative"/>
    <n v="-139392.09"/>
  </r>
  <r>
    <x v="0"/>
    <n v="65"/>
    <m/>
    <d v="2021-02-12T00:00:00"/>
    <d v="2021-04-18T17:00:00"/>
    <n v="148.29166666666424"/>
    <x v="0"/>
    <x v="0"/>
    <s v="Converse"/>
    <x v="1"/>
    <n v="-263025"/>
    <x v="21"/>
    <x v="10"/>
    <s v="12.02.2021 17:00:00"/>
    <x v="6"/>
    <s v="Оплата от покупателя"/>
    <x v="10"/>
    <s v="Счет-договор №360/2019 от 15.11.19"/>
    <m/>
    <m/>
    <m/>
    <m/>
    <s v="Negative"/>
    <n v="-263025"/>
  </r>
  <r>
    <x v="2"/>
    <n v="95"/>
    <m/>
    <d v="2021-02-15T00:00:00"/>
    <d v="2021-05-21T12:18:01"/>
    <n v="115.48748842592613"/>
    <x v="2"/>
    <x v="3"/>
    <s v="Converse"/>
    <x v="1"/>
    <n v="1005382"/>
    <x v="22"/>
    <x v="13"/>
    <s v="15.02.2021 12:18:01"/>
    <x v="6"/>
    <s v="продажа, комиссия"/>
    <x v="13"/>
    <s v="№ 316/2017 от 01.06.2017"/>
    <m/>
    <m/>
    <m/>
    <m/>
    <s v="Positive"/>
    <n v="1005382"/>
  </r>
  <r>
    <x v="2"/>
    <n v="95"/>
    <m/>
    <d v="2021-02-18T00:00:00"/>
    <d v="2021-05-24T10:47:27"/>
    <n v="112.55038194444205"/>
    <x v="2"/>
    <x v="3"/>
    <s v="Converse"/>
    <x v="1"/>
    <n v="643035.6"/>
    <x v="23"/>
    <x v="13"/>
    <s v="18.02.2021 10:47:27"/>
    <x v="6"/>
    <s v="продажа, комиссия"/>
    <x v="13"/>
    <s v="0067/ДП00039381 от 06.04.2016"/>
    <m/>
    <m/>
    <m/>
    <m/>
    <s v="Positive"/>
    <n v="643035.6"/>
  </r>
  <r>
    <x v="2"/>
    <n v="65"/>
    <m/>
    <d v="2021-02-18T00:00:00"/>
    <d v="2021-04-24T12:28:03"/>
    <n v="142.48052083333459"/>
    <x v="0"/>
    <x v="0"/>
    <s v="Dr.Martens"/>
    <x v="4"/>
    <n v="-7605"/>
    <x v="24"/>
    <x v="10"/>
    <s v="18.02.2021 12:28:03"/>
    <x v="9"/>
    <s v="продажа, комиссия"/>
    <x v="10"/>
    <s v="№ 416/2020 от 4 февраля 2020 года"/>
    <m/>
    <m/>
    <m/>
    <m/>
    <s v="Negative"/>
    <n v="-7605"/>
  </r>
  <r>
    <x v="2"/>
    <n v="95"/>
    <m/>
    <d v="2021-02-26T00:00:00"/>
    <d v="2021-06-01T14:20:48"/>
    <n v="104.40222222221928"/>
    <x v="2"/>
    <x v="3"/>
    <s v="Converse"/>
    <x v="1"/>
    <n v="163888"/>
    <x v="25"/>
    <x v="13"/>
    <s v="26.02.2021 14:20:48"/>
    <x v="6"/>
    <s v="продажа, комиссия"/>
    <x v="13"/>
    <s v="№ 07/11 от 07.11.2016"/>
    <m/>
    <m/>
    <m/>
    <m/>
    <s v="Positive"/>
    <n v="163888"/>
  </r>
  <r>
    <x v="2"/>
    <n v="65"/>
    <m/>
    <d v="2021-03-10T00:00:00"/>
    <d v="2021-05-14T12:07:54"/>
    <n v="122.49451388888701"/>
    <x v="0"/>
    <x v="0"/>
    <s v="UGG"/>
    <x v="2"/>
    <n v="-767000.13"/>
    <x v="26"/>
    <x v="10"/>
    <s v="10.03.2021 12:07:54"/>
    <x v="5"/>
    <s v="продажа, комиссия"/>
    <x v="10"/>
    <s v="№ 173Б/2014 от 01.06.2014"/>
    <m/>
    <m/>
    <m/>
    <m/>
    <s v="Negative"/>
    <n v="-767000.13"/>
  </r>
  <r>
    <x v="2"/>
    <n v="95"/>
    <m/>
    <d v="2021-03-12T00:00:00"/>
    <d v="2021-06-15T13:22:44"/>
    <n v="90.442546296297223"/>
    <x v="2"/>
    <x v="3"/>
    <s v="Converse"/>
    <x v="1"/>
    <n v="19433"/>
    <x v="27"/>
    <x v="13"/>
    <s v="12.03.2021 13:22:44"/>
    <x v="6"/>
    <s v="продажа, комиссия"/>
    <x v="13"/>
    <s v="0067/ДП00039381 от 06.04.2016"/>
    <m/>
    <m/>
    <m/>
    <m/>
    <s v="Positive"/>
    <n v="19433"/>
  </r>
  <r>
    <x v="2"/>
    <n v="95"/>
    <m/>
    <d v="2021-03-18T00:00:00"/>
    <d v="2021-06-21T11:02:50"/>
    <n v="84.539699074077362"/>
    <x v="3"/>
    <x v="4"/>
    <s v="Converse"/>
    <x v="1"/>
    <n v="4185"/>
    <x v="28"/>
    <x v="13"/>
    <s v="18.03.2021 11:02:50"/>
    <x v="6"/>
    <s v="продажа, комиссия"/>
    <x v="13"/>
    <s v="№ 316/2017 от 01.06.2017"/>
    <m/>
    <m/>
    <m/>
    <m/>
    <s v="Positive"/>
    <n v="4185"/>
  </r>
  <r>
    <x v="2"/>
    <n v="95"/>
    <m/>
    <d v="2021-03-19T00:00:00"/>
    <d v="2021-06-22T11:02:30"/>
    <n v="83.539930555554747"/>
    <x v="3"/>
    <x v="4"/>
    <s v="Converse"/>
    <x v="1"/>
    <n v="8281"/>
    <x v="29"/>
    <x v="13"/>
    <s v="19.03.2021 11:02:30"/>
    <x v="6"/>
    <s v="продажа, комиссия"/>
    <x v="13"/>
    <s v="№ 07/11 от 07.11.2016"/>
    <m/>
    <m/>
    <m/>
    <m/>
    <s v="Positive"/>
    <n v="8281"/>
  </r>
  <r>
    <x v="0"/>
    <n v="0"/>
    <m/>
    <d v="2021-03-23T00:00:00"/>
    <d v="2021-03-23T17:00:00"/>
    <n v="174.29166666666424"/>
    <x v="0"/>
    <x v="0"/>
    <s v="Converse"/>
    <x v="1"/>
    <n v="-10200"/>
    <x v="30"/>
    <x v="14"/>
    <s v="23.03.2021 17:00:00"/>
    <x v="6"/>
    <s v="Оплата от покупателя"/>
    <x v="14"/>
    <s v="Договор №032/2012 от 01 марта 2012"/>
    <m/>
    <m/>
    <m/>
    <m/>
    <s v="Negative"/>
    <n v="-10200"/>
  </r>
  <r>
    <x v="2"/>
    <n v="65"/>
    <m/>
    <d v="2021-03-24T00:00:00"/>
    <d v="2021-05-28T17:03:10"/>
    <n v="108.2894675925927"/>
    <x v="0"/>
    <x v="0"/>
    <s v="Converse"/>
    <x v="1"/>
    <n v="-3128"/>
    <x v="31"/>
    <x v="15"/>
    <s v="24.03.2021 17:03:10"/>
    <x v="6"/>
    <s v="продажа, комиссия"/>
    <x v="15"/>
    <s v="Договор №032/2012 от 01 марта 2012"/>
    <m/>
    <m/>
    <m/>
    <m/>
    <s v="Negative"/>
    <n v="-3128"/>
  </r>
  <r>
    <x v="2"/>
    <n v="65"/>
    <m/>
    <d v="2021-03-26T00:00:00"/>
    <d v="2021-05-30T16:22:25"/>
    <n v="106.3177662037051"/>
    <x v="0"/>
    <x v="0"/>
    <s v="Converse"/>
    <x v="1"/>
    <n v="-18400"/>
    <x v="32"/>
    <x v="15"/>
    <s v="26.03.2021 16:22:25"/>
    <x v="6"/>
    <s v="продажа, комиссия"/>
    <x v="15"/>
    <s v="Основной договор"/>
    <m/>
    <m/>
    <m/>
    <m/>
    <s v="Negative"/>
    <n v="-18400"/>
  </r>
  <r>
    <x v="2"/>
    <n v="65"/>
    <m/>
    <d v="2021-03-26T00:00:00"/>
    <d v="2021-05-30T16:25:27"/>
    <n v="106.3156597222187"/>
    <x v="2"/>
    <x v="3"/>
    <s v="Converse"/>
    <x v="1"/>
    <n v="170200"/>
    <x v="33"/>
    <x v="15"/>
    <s v="26.03.2021 16:25:27"/>
    <x v="6"/>
    <s v="продажа, комиссия"/>
    <x v="15"/>
    <s v="№ 221/2015"/>
    <m/>
    <m/>
    <m/>
    <m/>
    <s v="Positive"/>
    <n v="170200"/>
  </r>
  <r>
    <x v="0"/>
    <n v="0"/>
    <m/>
    <d v="2021-04-12T00:00:00"/>
    <d v="2021-04-12T17:00:00"/>
    <n v="154.29166666666424"/>
    <x v="0"/>
    <x v="0"/>
    <s v="Converse"/>
    <x v="1"/>
    <n v="-4628"/>
    <x v="34"/>
    <x v="16"/>
    <s v="12.04.2021 17:00:00"/>
    <x v="6"/>
    <s v="Оплата от покупателя"/>
    <x v="16"/>
    <s v="Договор №032/2012 от 01 марта 2012"/>
    <m/>
    <m/>
    <m/>
    <m/>
    <s v="Negative"/>
    <n v="-4628"/>
  </r>
  <r>
    <x v="0"/>
    <n v="0"/>
    <m/>
    <d v="2021-04-13T00:00:00"/>
    <d v="2021-04-13T23:41:08"/>
    <n v="153.01310185185139"/>
    <x v="0"/>
    <x v="0"/>
    <s v="Сток Converse"/>
    <x v="1"/>
    <n v="-1194"/>
    <x v="35"/>
    <x v="17"/>
    <s v="13.04.2021 23:41:08"/>
    <x v="1"/>
    <s v="Оплата от покупателя"/>
    <x v="17"/>
    <s v="Договор 212/2014 от 01.10.2014"/>
    <m/>
    <m/>
    <m/>
    <m/>
    <s v="Negative"/>
    <n v="-1194"/>
  </r>
  <r>
    <x v="2"/>
    <n v="95"/>
    <m/>
    <d v="2021-04-15T00:00:00"/>
    <d v="2021-07-19T11:24:29"/>
    <n v="56.524664351854881"/>
    <x v="0"/>
    <x v="0"/>
    <s v="Converse"/>
    <x v="1"/>
    <n v="-5087340"/>
    <x v="36"/>
    <x v="18"/>
    <s v="15.04.2021 11:24:29"/>
    <x v="6"/>
    <s v="продажа, комиссия"/>
    <x v="18"/>
    <s v="Договор 212/2014 от 01.10.2014"/>
    <m/>
    <m/>
    <m/>
    <m/>
    <s v="Negative"/>
    <n v="-5087340"/>
  </r>
  <r>
    <x v="2"/>
    <n v="65"/>
    <m/>
    <d v="2021-04-15T00:00:00"/>
    <d v="2021-06-19T18:42:45"/>
    <n v="86.220312500001455"/>
    <x v="0"/>
    <x v="0"/>
    <s v="Converse"/>
    <x v="1"/>
    <n v="-18400"/>
    <x v="37"/>
    <x v="15"/>
    <s v="15.04.2021 18:42:45"/>
    <x v="6"/>
    <s v="продажа, комиссия"/>
    <x v="15"/>
    <s v="Договор №032/2012 от 01 марта 2012"/>
    <m/>
    <m/>
    <m/>
    <m/>
    <s v="Negative"/>
    <n v="-18400"/>
  </r>
  <r>
    <x v="2"/>
    <n v="95"/>
    <m/>
    <d v="2021-04-21T00:00:00"/>
    <d v="2021-07-25T18:33:34"/>
    <n v="50.226689814815472"/>
    <x v="0"/>
    <x v="0"/>
    <s v="Converse"/>
    <x v="1"/>
    <n v="-689792.59"/>
    <x v="38"/>
    <x v="18"/>
    <s v="21.04.2021 18:33:34"/>
    <x v="6"/>
    <s v="продажа, комиссия"/>
    <x v="18"/>
    <s v="Договор №032/2012 от 01 марта 2012"/>
    <m/>
    <m/>
    <m/>
    <m/>
    <s v="Negative"/>
    <n v="-689792.59"/>
  </r>
  <r>
    <x v="0"/>
    <n v="0"/>
    <m/>
    <d v="2021-04-22T00:00:00"/>
    <d v="2021-04-22T17:00:00"/>
    <n v="144.29166666666424"/>
    <x v="0"/>
    <x v="0"/>
    <s v="Сток Converse"/>
    <x v="1"/>
    <n v="-10"/>
    <x v="39"/>
    <x v="19"/>
    <s v="22.04.2021 17:00:00"/>
    <x v="1"/>
    <s v="Оплата от покупателя"/>
    <x v="19"/>
    <s v="Договор 212/2014 от 01.10.2014"/>
    <m/>
    <m/>
    <m/>
    <m/>
    <s v="Negative"/>
    <n v="-10"/>
  </r>
  <r>
    <x v="0"/>
    <n v="65"/>
    <m/>
    <d v="2021-04-23T00:00:00"/>
    <d v="2021-06-27T23:50:07"/>
    <n v="78.006863425922347"/>
    <x v="0"/>
    <x v="0"/>
    <s v="Сток Dr.Martens"/>
    <x v="4"/>
    <n v="-1006499.9"/>
    <x v="40"/>
    <x v="10"/>
    <s v="23.04.2021 23:50:07"/>
    <x v="8"/>
    <s v="Оплата от покупателя"/>
    <x v="10"/>
    <s v="Договор 212/2014 от 01.10.2014"/>
    <m/>
    <m/>
    <m/>
    <m/>
    <s v="Negative"/>
    <n v="-1006499.9"/>
  </r>
  <r>
    <x v="2"/>
    <n v="95"/>
    <m/>
    <d v="2021-04-27T00:00:00"/>
    <d v="2021-07-31T10:41:26"/>
    <n v="44.554560185184528"/>
    <x v="4"/>
    <x v="4"/>
    <s v="Converse"/>
    <x v="1"/>
    <n v="323466.67"/>
    <x v="41"/>
    <x v="20"/>
    <s v="27.04.2021 10:41:26"/>
    <x v="6"/>
    <s v="продажа, комиссия"/>
    <x v="20"/>
    <s v="Договор №032/2012 от 01 марта 2012"/>
    <m/>
    <m/>
    <m/>
    <m/>
    <s v="Positive"/>
    <n v="323466.67"/>
  </r>
  <r>
    <x v="2"/>
    <n v="95"/>
    <m/>
    <d v="2021-04-27T00:00:00"/>
    <d v="2021-07-31T10:41:36"/>
    <n v="44.554444444445835"/>
    <x v="4"/>
    <x v="4"/>
    <s v="Converse"/>
    <x v="1"/>
    <n v="97500"/>
    <x v="42"/>
    <x v="20"/>
    <s v="27.04.2021 10:41:36"/>
    <x v="6"/>
    <s v="продажа, комиссия"/>
    <x v="20"/>
    <s v="Договор 212/2014 от 01.10.2014"/>
    <m/>
    <m/>
    <m/>
    <m/>
    <s v="Positive"/>
    <n v="97500"/>
  </r>
  <r>
    <x v="2"/>
    <n v="65"/>
    <m/>
    <d v="2021-04-28T00:00:00"/>
    <d v="2021-07-02T16:07:29"/>
    <n v="73.32813657407678"/>
    <x v="0"/>
    <x v="0"/>
    <s v="Converse"/>
    <x v="1"/>
    <n v="-3358"/>
    <x v="43"/>
    <x v="15"/>
    <s v="28.04.2021 16:07:29"/>
    <x v="6"/>
    <s v="продажа, комиссия"/>
    <x v="15"/>
    <s v="Договор №032/2012 от 01 марта 2012"/>
    <m/>
    <m/>
    <m/>
    <m/>
    <s v="Negative"/>
    <n v="-3358"/>
  </r>
  <r>
    <x v="2"/>
    <n v="95"/>
    <n v="43"/>
    <d v="2021-04-29T00:00:00"/>
    <d v="2021-09-14T09:56:15"/>
    <n v="-0.4140625"/>
    <x v="5"/>
    <x v="4"/>
    <s v="Dr.Martens"/>
    <x v="4"/>
    <n v="15703.5"/>
    <x v="44"/>
    <x v="21"/>
    <s v="29.04.2021 9:56:15"/>
    <x v="9"/>
    <s v="продажа, комиссия"/>
    <x v="21"/>
    <s v="Договор №032/2012 от 01 марта 2012"/>
    <m/>
    <m/>
    <m/>
    <m/>
    <s v="Positive"/>
    <n v="15703.5"/>
  </r>
  <r>
    <x v="2"/>
    <n v="95"/>
    <n v="43"/>
    <d v="2021-04-29T00:00:00"/>
    <d v="2021-09-14T09:57:11"/>
    <n v="-0.41471064814686542"/>
    <x v="5"/>
    <x v="4"/>
    <s v="Сток Converse"/>
    <x v="1"/>
    <n v="111870"/>
    <x v="45"/>
    <x v="21"/>
    <s v="29.04.2021 9:57:11"/>
    <x v="1"/>
    <s v="продажа, комиссия"/>
    <x v="21"/>
    <s v="Договор №032/2012 от 01 марта 2012"/>
    <m/>
    <m/>
    <m/>
    <m/>
    <s v="Positive"/>
    <n v="111870"/>
  </r>
  <r>
    <x v="2"/>
    <n v="95"/>
    <n v="43"/>
    <d v="2021-04-29T00:00:00"/>
    <d v="2021-09-14T09:58:08"/>
    <n v="-0.4153703703705105"/>
    <x v="5"/>
    <x v="4"/>
    <s v="Сток Converse"/>
    <x v="1"/>
    <n v="9847.4"/>
    <x v="46"/>
    <x v="21"/>
    <s v="29.04.2021 9:58:08"/>
    <x v="1"/>
    <s v="продажа, комиссия"/>
    <x v="21"/>
    <s v="Договор 212/2014 от 01.10.2014"/>
    <m/>
    <m/>
    <m/>
    <m/>
    <s v="Positive"/>
    <n v="9847.4"/>
  </r>
  <r>
    <x v="2"/>
    <n v="95"/>
    <n v="43"/>
    <d v="2021-04-29T00:00:00"/>
    <d v="2021-09-14T09:59:16"/>
    <n v="-0.41615740740962792"/>
    <x v="5"/>
    <x v="4"/>
    <s v="Сток Converse"/>
    <x v="1"/>
    <n v="255870"/>
    <x v="47"/>
    <x v="21"/>
    <s v="29.04.2021 9:59:16"/>
    <x v="1"/>
    <s v="продажа, комиссия"/>
    <x v="21"/>
    <s v="Договор 212/2014 от 01.10.2014"/>
    <m/>
    <m/>
    <m/>
    <m/>
    <s v="Positive"/>
    <n v="255870"/>
  </r>
  <r>
    <x v="2"/>
    <n v="95"/>
    <m/>
    <d v="2021-04-29T00:00:00"/>
    <d v="2021-08-02T23:21:13"/>
    <n v="42.026932870372548"/>
    <x v="4"/>
    <x v="4"/>
    <s v="Converse"/>
    <x v="1"/>
    <n v="47675.5"/>
    <x v="48"/>
    <x v="13"/>
    <s v="29.04.2021 23:21:13"/>
    <x v="6"/>
    <s v="продажа, комиссия"/>
    <x v="13"/>
    <s v="Договор 212/2014 от 01.10.2014"/>
    <m/>
    <m/>
    <m/>
    <m/>
    <s v="Positive"/>
    <n v="47675.5"/>
  </r>
  <r>
    <x v="3"/>
    <n v="45"/>
    <m/>
    <d v="2021-04-30T00:00:00"/>
    <d v="2021-06-14T17:23:13"/>
    <n v="91.275543981479132"/>
    <x v="2"/>
    <x v="3"/>
    <s v="Сток Dr.Martens"/>
    <x v="4"/>
    <n v="2819.91"/>
    <x v="49"/>
    <x v="22"/>
    <s v="30.04.2021 17:23:13"/>
    <x v="8"/>
    <m/>
    <x v="22"/>
    <s v="№ 404/2019 от 08.10.2019"/>
    <m/>
    <m/>
    <m/>
    <m/>
    <s v="Positive"/>
    <n v="2819.91"/>
  </r>
  <r>
    <x v="2"/>
    <n v="95"/>
    <m/>
    <d v="2021-05-11T00:00:00"/>
    <d v="2021-08-14T14:38:55"/>
    <n v="30.38964120370656"/>
    <x v="4"/>
    <x v="4"/>
    <s v="Converse"/>
    <x v="1"/>
    <n v="3255"/>
    <x v="50"/>
    <x v="13"/>
    <s v="11.05.2021 14:38:55"/>
    <x v="6"/>
    <s v="продажа, комиссия"/>
    <x v="13"/>
    <s v="№ 350/2018 от 21.06.18"/>
    <m/>
    <m/>
    <m/>
    <m/>
    <s v="Positive"/>
    <n v="3255"/>
  </r>
  <r>
    <x v="2"/>
    <n v="95"/>
    <m/>
    <d v="2021-05-17T00:00:00"/>
    <d v="2021-08-20T17:40:52"/>
    <n v="24.263287037036207"/>
    <x v="0"/>
    <x v="0"/>
    <s v="Сток Converse"/>
    <x v="1"/>
    <n v="-613559"/>
    <x v="51"/>
    <x v="18"/>
    <s v="17.05.2021 17:40:52"/>
    <x v="1"/>
    <s v="продажа, комиссия"/>
    <x v="18"/>
    <s v="№429/2020 от 22.06.2020"/>
    <m/>
    <m/>
    <m/>
    <m/>
    <s v="Negative"/>
    <n v="-613559"/>
  </r>
  <r>
    <x v="2"/>
    <n v="95"/>
    <m/>
    <d v="2021-05-19T00:00:00"/>
    <d v="2021-08-22T13:34:36"/>
    <n v="22.43430555555824"/>
    <x v="6"/>
    <x v="4"/>
    <s v="Converse"/>
    <x v="1"/>
    <n v="560150"/>
    <x v="52"/>
    <x v="20"/>
    <s v="19.05.2021 13:34:36"/>
    <x v="6"/>
    <s v="продажа, комиссия"/>
    <x v="20"/>
    <s v="№429/2020 от 22.06.2020"/>
    <m/>
    <m/>
    <m/>
    <m/>
    <s v="Positive"/>
    <n v="560150"/>
  </r>
  <r>
    <x v="2"/>
    <n v="95"/>
    <m/>
    <d v="2021-05-20T00:00:00"/>
    <d v="2021-08-23T12:10:50"/>
    <n v="21.492476851854008"/>
    <x v="6"/>
    <x v="4"/>
    <s v="Converse"/>
    <x v="1"/>
    <n v="6860"/>
    <x v="53"/>
    <x v="13"/>
    <s v="20.05.2021 12:10:50"/>
    <x v="6"/>
    <s v="продажа, комиссия"/>
    <x v="13"/>
    <s v="№429/2020 от 22.06.2020"/>
    <m/>
    <m/>
    <m/>
    <m/>
    <s v="Positive"/>
    <n v="6860"/>
  </r>
  <r>
    <x v="2"/>
    <n v="65"/>
    <m/>
    <d v="2021-05-20T00:00:00"/>
    <d v="2021-07-24T16:20:39"/>
    <n v="51.31899305555271"/>
    <x v="0"/>
    <x v="0"/>
    <s v="Converse"/>
    <x v="1"/>
    <n v="-622500"/>
    <x v="54"/>
    <x v="10"/>
    <s v="20.05.2021 16:20:39"/>
    <x v="6"/>
    <s v="продажа, комиссия"/>
    <x v="10"/>
    <s v="Оферта"/>
    <m/>
    <m/>
    <m/>
    <m/>
    <s v="Negative"/>
    <n v="-622500"/>
  </r>
  <r>
    <x v="2"/>
    <n v="95"/>
    <n v="16"/>
    <d v="2021-05-26T00:00:00"/>
    <d v="2021-09-14T12:49:04"/>
    <n v="-0.53407407407212304"/>
    <x v="5"/>
    <x v="4"/>
    <s v="UGG"/>
    <x v="2"/>
    <n v="21525"/>
    <x v="55"/>
    <x v="21"/>
    <s v="26.05.2021 12:49:04"/>
    <x v="5"/>
    <s v="продажа, комиссия"/>
    <x v="21"/>
    <s v="Оферта"/>
    <m/>
    <m/>
    <m/>
    <m/>
    <s v="Positive"/>
    <n v="21525"/>
  </r>
  <r>
    <x v="2"/>
    <n v="95"/>
    <n v="16"/>
    <d v="2021-05-26T00:00:00"/>
    <d v="2021-09-14T12:51:56"/>
    <n v="-0.53606481481256196"/>
    <x v="5"/>
    <x v="4"/>
    <s v="UGG"/>
    <x v="2"/>
    <n v="35850"/>
    <x v="56"/>
    <x v="21"/>
    <s v="26.05.2021 12:51:56"/>
    <x v="5"/>
    <s v="продажа, комиссия"/>
    <x v="21"/>
    <s v="Оферта"/>
    <m/>
    <m/>
    <m/>
    <m/>
    <s v="Positive"/>
    <n v="35850"/>
  </r>
  <r>
    <x v="2"/>
    <n v="95"/>
    <n v="16"/>
    <d v="2021-05-26T00:00:00"/>
    <d v="2021-09-14T12:54:58"/>
    <n v="-0.53817129629896954"/>
    <x v="5"/>
    <x v="4"/>
    <s v="Saucony"/>
    <x v="3"/>
    <n v="66120"/>
    <x v="57"/>
    <x v="21"/>
    <s v="26.05.2021 12:54:58"/>
    <x v="7"/>
    <s v="продажа, комиссия"/>
    <x v="21"/>
    <s v="№429/2020 от 22.06.2020"/>
    <m/>
    <m/>
    <m/>
    <m/>
    <s v="Positive"/>
    <n v="66120"/>
  </r>
  <r>
    <x v="2"/>
    <n v="95"/>
    <n v="16"/>
    <d v="2021-05-26T00:00:00"/>
    <d v="2021-09-14T13:07:48"/>
    <n v="-0.54708333333110204"/>
    <x v="5"/>
    <x v="4"/>
    <s v="Saucony"/>
    <x v="3"/>
    <n v="61800"/>
    <x v="58"/>
    <x v="21"/>
    <s v="26.05.2021 13:07:48"/>
    <x v="7"/>
    <s v="продажа, комиссия"/>
    <x v="21"/>
    <s v="№429/2020 от 22.06.2020"/>
    <m/>
    <m/>
    <m/>
    <m/>
    <s v="Positive"/>
    <n v="61800"/>
  </r>
  <r>
    <x v="2"/>
    <n v="95"/>
    <n v="16"/>
    <d v="2021-05-26T00:00:00"/>
    <d v="2021-09-14T13:08:01"/>
    <n v="-0.54723379629285773"/>
    <x v="5"/>
    <x v="4"/>
    <s v="Dr.Martens"/>
    <x v="4"/>
    <n v="30960"/>
    <x v="59"/>
    <x v="21"/>
    <s v="26.05.2021 13:08:01"/>
    <x v="9"/>
    <s v="продажа, комиссия"/>
    <x v="21"/>
    <s v="№429/2020 от 22.06.2020"/>
    <m/>
    <m/>
    <m/>
    <m/>
    <s v="Positive"/>
    <n v="30960"/>
  </r>
  <r>
    <x v="2"/>
    <n v="95"/>
    <n v="16"/>
    <d v="2021-05-26T00:00:00"/>
    <d v="2021-09-14T13:12:23"/>
    <n v="-0.55026620370335877"/>
    <x v="5"/>
    <x v="4"/>
    <s v="Сток Converse"/>
    <x v="1"/>
    <n v="203895"/>
    <x v="60"/>
    <x v="21"/>
    <s v="26.05.2021 13:12:23"/>
    <x v="1"/>
    <s v="продажа, комиссия"/>
    <x v="21"/>
    <s v="№429/2020 от 22.06.2020"/>
    <m/>
    <m/>
    <m/>
    <m/>
    <s v="Positive"/>
    <n v="203895"/>
  </r>
  <r>
    <x v="2"/>
    <n v="95"/>
    <n v="16"/>
    <d v="2021-05-26T00:00:00"/>
    <d v="2021-09-14T14:59:23"/>
    <n v="-0.62457175926101627"/>
    <x v="5"/>
    <x v="4"/>
    <s v="Сток Converse"/>
    <x v="1"/>
    <n v="394875"/>
    <x v="61"/>
    <x v="21"/>
    <s v="26.05.2021 14:59:23"/>
    <x v="1"/>
    <s v="продажа, комиссия"/>
    <x v="21"/>
    <s v="Договор №032/2012 от 01 марта 2012"/>
    <m/>
    <m/>
    <m/>
    <m/>
    <s v="Positive"/>
    <n v="394875"/>
  </r>
  <r>
    <x v="3"/>
    <n v="45"/>
    <m/>
    <d v="2021-05-31T00:00:00"/>
    <d v="2021-07-15T12:57:59"/>
    <n v="60.459733796298678"/>
    <x v="3"/>
    <x v="4"/>
    <s v="Сток Converse"/>
    <x v="1"/>
    <n v="60074.57"/>
    <x v="62"/>
    <x v="22"/>
    <s v="31.05.2021 12:57:59"/>
    <x v="1"/>
    <m/>
    <x v="22"/>
    <s v="№429/2020 от 22.06.2020"/>
    <m/>
    <m/>
    <m/>
    <m/>
    <s v="Positive"/>
    <n v="60074.57"/>
  </r>
  <r>
    <x v="3"/>
    <n v="45"/>
    <m/>
    <d v="2021-05-31T00:00:00"/>
    <d v="2021-07-15T12:59:11"/>
    <n v="60.458900462959718"/>
    <x v="3"/>
    <x v="4"/>
    <s v="Сток Dr.Martens"/>
    <x v="4"/>
    <n v="30948"/>
    <x v="63"/>
    <x v="22"/>
    <s v="31.05.2021 12:59:11"/>
    <x v="8"/>
    <m/>
    <x v="22"/>
    <s v="№429/2020 от 22.06.2020"/>
    <m/>
    <m/>
    <m/>
    <m/>
    <s v="Positive"/>
    <n v="30948"/>
  </r>
  <r>
    <x v="3"/>
    <n v="45"/>
    <m/>
    <d v="2021-05-31T00:00:00"/>
    <d v="2021-07-15T13:00:28"/>
    <n v="60.458009259258688"/>
    <x v="3"/>
    <x v="4"/>
    <s v="Сток UGG"/>
    <x v="2"/>
    <n v="23169.07"/>
    <x v="64"/>
    <x v="22"/>
    <s v="31.05.2021 13:00:28"/>
    <x v="2"/>
    <m/>
    <x v="22"/>
    <s v="№429/2020 от 22.06.2020"/>
    <m/>
    <m/>
    <m/>
    <m/>
    <s v="Positive"/>
    <n v="23169.07"/>
  </r>
  <r>
    <x v="3"/>
    <n v="45"/>
    <m/>
    <d v="2021-05-31T00:00:00"/>
    <d v="2021-07-15T13:02:17"/>
    <n v="60.45674768518802"/>
    <x v="3"/>
    <x v="4"/>
    <s v="Сток Saucony"/>
    <x v="3"/>
    <n v="53748.32"/>
    <x v="65"/>
    <x v="22"/>
    <s v="31.05.2021 13:02:17"/>
    <x v="3"/>
    <m/>
    <x v="22"/>
    <s v="Договор №032/2012 от 01 марта 2012"/>
    <m/>
    <m/>
    <m/>
    <m/>
    <s v="Positive"/>
    <n v="53748.32"/>
  </r>
  <r>
    <x v="0"/>
    <n v="95"/>
    <m/>
    <d v="2021-06-08T00:00:00"/>
    <d v="2021-09-11T17:00:00"/>
    <n v="2.2916666666642413"/>
    <x v="0"/>
    <x v="0"/>
    <s v="Converse"/>
    <x v="1"/>
    <n v="-1245466"/>
    <x v="66"/>
    <x v="18"/>
    <s v="08.06.2021 17:00:00"/>
    <x v="6"/>
    <s v="Оплата от покупателя"/>
    <x v="18"/>
    <s v="Договор №032/2012 от 01 марта 2012"/>
    <m/>
    <m/>
    <m/>
    <m/>
    <s v="Negative"/>
    <n v="-1245466"/>
  </r>
  <r>
    <x v="0"/>
    <n v="0"/>
    <m/>
    <d v="2021-06-08T00:00:00"/>
    <d v="2021-06-08T17:00:00"/>
    <n v="97.291666666664241"/>
    <x v="0"/>
    <x v="0"/>
    <s v="Сток Converse"/>
    <x v="1"/>
    <n v="-0.76"/>
    <x v="67"/>
    <x v="23"/>
    <s v="08.06.2021 17:00:00"/>
    <x v="1"/>
    <s v="Оплата от покупателя"/>
    <x v="23"/>
    <s v="Основной договор 306/2017"/>
    <m/>
    <m/>
    <m/>
    <m/>
    <s v="Negative"/>
    <n v="-0.76"/>
  </r>
  <r>
    <x v="2"/>
    <n v="95"/>
    <n v="1"/>
    <d v="2021-06-10T00:00:00"/>
    <d v="2021-09-14T10:46:49"/>
    <n v="-0.44917824074218515"/>
    <x v="5"/>
    <x v="4"/>
    <s v="Saucony"/>
    <x v="3"/>
    <n v="139840"/>
    <x v="68"/>
    <x v="21"/>
    <s v="10.06.2021 10:46:49"/>
    <x v="7"/>
    <s v="продажа, комиссия"/>
    <x v="21"/>
    <s v="№ 018/2012 от 19 марта 2012"/>
    <m/>
    <m/>
    <m/>
    <m/>
    <s v="Positive"/>
    <n v="139840"/>
  </r>
  <r>
    <x v="2"/>
    <n v="95"/>
    <n v="1"/>
    <d v="2021-06-10T00:00:00"/>
    <d v="2021-09-14T10:52:56"/>
    <n v="-0.45342592592351139"/>
    <x v="5"/>
    <x v="4"/>
    <s v="Dr.Martens"/>
    <x v="4"/>
    <n v="141480"/>
    <x v="69"/>
    <x v="21"/>
    <s v="10.06.2021 10:52:56"/>
    <x v="9"/>
    <s v="продажа, комиссия"/>
    <x v="21"/>
    <s v="ИР-П 215/15 от 21.04.2015"/>
    <m/>
    <m/>
    <m/>
    <m/>
    <s v="Positive"/>
    <n v="141480"/>
  </r>
  <r>
    <x v="2"/>
    <n v="95"/>
    <n v="1"/>
    <d v="2021-06-10T00:00:00"/>
    <d v="2021-09-14T13:34:25"/>
    <n v="-0.56556712962628808"/>
    <x v="5"/>
    <x v="4"/>
    <s v="Сток Dr.Martens"/>
    <x v="4"/>
    <n v="95400"/>
    <x v="70"/>
    <x v="21"/>
    <s v="10.06.2021 13:34:25"/>
    <x v="8"/>
    <s v="продажа, комиссия"/>
    <x v="21"/>
    <s v="№429/2020 от 22.06.2020"/>
    <m/>
    <m/>
    <m/>
    <m/>
    <s v="Positive"/>
    <n v="95400"/>
  </r>
  <r>
    <x v="2"/>
    <n v="95"/>
    <n v="1"/>
    <d v="2021-06-10T00:00:00"/>
    <d v="2021-09-14T13:35:04"/>
    <n v="-0.56601851851883112"/>
    <x v="5"/>
    <x v="4"/>
    <s v="Сток Dr.Martens"/>
    <x v="4"/>
    <n v="95400"/>
    <x v="71"/>
    <x v="21"/>
    <s v="10.06.2021 13:35:04"/>
    <x v="8"/>
    <s v="продажа, комиссия"/>
    <x v="21"/>
    <s v="№429/2020 от 22.06.2020"/>
    <m/>
    <m/>
    <m/>
    <m/>
    <s v="Positive"/>
    <n v="95400"/>
  </r>
  <r>
    <x v="2"/>
    <n v="95"/>
    <n v="1"/>
    <d v="2021-06-10T00:00:00"/>
    <d v="2021-09-14T14:08:05"/>
    <n v="-0.58894675925694173"/>
    <x v="5"/>
    <x v="4"/>
    <s v="Сток Saucony"/>
    <x v="3"/>
    <n v="92468"/>
    <x v="72"/>
    <x v="21"/>
    <s v="10.06.2021 14:08:05"/>
    <x v="3"/>
    <s v="продажа, комиссия"/>
    <x v="21"/>
    <s v="№429/2020 от 22.06.2020"/>
    <m/>
    <m/>
    <m/>
    <m/>
    <s v="Positive"/>
    <n v="92468"/>
  </r>
  <r>
    <x v="2"/>
    <n v="95"/>
    <n v="1"/>
    <d v="2021-06-10T00:00:00"/>
    <d v="2021-09-14T15:20:44"/>
    <n v="-0.63939814814511919"/>
    <x v="5"/>
    <x v="4"/>
    <s v="Saucony"/>
    <x v="3"/>
    <n v="214600"/>
    <x v="73"/>
    <x v="21"/>
    <s v="10.06.2021 15:20:44"/>
    <x v="7"/>
    <s v="продажа, комиссия"/>
    <x v="21"/>
    <s v="№429/2020 от 22.06.2020"/>
    <m/>
    <m/>
    <m/>
    <m/>
    <s v="Positive"/>
    <n v="214600"/>
  </r>
  <r>
    <x v="2"/>
    <n v="95"/>
    <m/>
    <d v="2021-06-11T00:00:00"/>
    <d v="2021-09-14T12:40:27"/>
    <n v="-0.52809027778130258"/>
    <x v="5"/>
    <x v="4"/>
    <s v="Сток Converse"/>
    <x v="1"/>
    <n v="32025"/>
    <x v="74"/>
    <x v="21"/>
    <s v="11.06.2021 12:40:27"/>
    <x v="1"/>
    <s v="продажа, комиссия"/>
    <x v="21"/>
    <s v="№429/2020 от 22.06.2020"/>
    <m/>
    <m/>
    <m/>
    <m/>
    <s v="Positive"/>
    <n v="32025"/>
  </r>
  <r>
    <x v="2"/>
    <n v="95"/>
    <m/>
    <d v="2021-06-11T00:00:00"/>
    <d v="2021-09-14T12:43:25"/>
    <n v="-0.53015046296059154"/>
    <x v="5"/>
    <x v="4"/>
    <s v="Сток Converse"/>
    <x v="1"/>
    <n v="263214.65999999997"/>
    <x v="75"/>
    <x v="21"/>
    <s v="11.06.2021 12:43:25"/>
    <x v="1"/>
    <s v="продажа, комиссия"/>
    <x v="21"/>
    <s v="№429/2020 от 22.06.2020"/>
    <m/>
    <m/>
    <m/>
    <m/>
    <s v="Positive"/>
    <n v="263214.65999999997"/>
  </r>
  <r>
    <x v="2"/>
    <n v="95"/>
    <m/>
    <d v="2021-06-11T00:00:00"/>
    <d v="2021-09-14T14:50:07"/>
    <n v="-0.61813657407765277"/>
    <x v="5"/>
    <x v="4"/>
    <s v="Сток Converse"/>
    <x v="1"/>
    <n v="199930.5"/>
    <x v="76"/>
    <x v="21"/>
    <s v="11.06.2021 14:50:07"/>
    <x v="1"/>
    <s v="продажа, комиссия"/>
    <x v="21"/>
    <s v="№429/2020 от 22.06.2020"/>
    <m/>
    <m/>
    <m/>
    <m/>
    <s v="Positive"/>
    <n v="199930.5"/>
  </r>
  <r>
    <x v="2"/>
    <n v="95"/>
    <m/>
    <d v="2021-06-11T00:00:00"/>
    <d v="2021-09-14T15:49:46"/>
    <n v="-0.65956018518772908"/>
    <x v="5"/>
    <x v="4"/>
    <s v="Сток Converse"/>
    <x v="1"/>
    <n v="21241.5"/>
    <x v="77"/>
    <x v="21"/>
    <s v="11.06.2021 15:49:46"/>
    <x v="1"/>
    <s v="продажа, комиссия"/>
    <x v="21"/>
    <s v="№429/2020 от 22.06.2020"/>
    <m/>
    <m/>
    <m/>
    <m/>
    <s v="Positive"/>
    <n v="21241.5"/>
  </r>
  <r>
    <x v="0"/>
    <n v="65"/>
    <m/>
    <d v="2021-06-11T00:00:00"/>
    <d v="2021-08-15T17:00:00"/>
    <n v="29.291666666664241"/>
    <x v="0"/>
    <x v="0"/>
    <s v="Converse"/>
    <x v="1"/>
    <n v="-200607.93"/>
    <x v="78"/>
    <x v="10"/>
    <s v="11.06.2021 17:00:00"/>
    <x v="6"/>
    <s v="Оплата от покупателя"/>
    <x v="10"/>
    <s v="Договор № 195/2014 от 01.08.2014"/>
    <m/>
    <m/>
    <m/>
    <m/>
    <s v="Negative"/>
    <n v="-200607.93"/>
  </r>
  <r>
    <x v="2"/>
    <n v="65"/>
    <m/>
    <d v="2021-06-21T00:00:00"/>
    <d v="2021-08-25T20:51:10"/>
    <n v="19.131134259259852"/>
    <x v="0"/>
    <x v="0"/>
    <s v="Сток Converse"/>
    <x v="1"/>
    <n v="-25740"/>
    <x v="79"/>
    <x v="10"/>
    <s v="21.06.2021 20:51:10"/>
    <x v="1"/>
    <s v="продажа, комиссия"/>
    <x v="10"/>
    <s v="Договор №032/2012 от 01 марта 2012"/>
    <m/>
    <m/>
    <m/>
    <m/>
    <s v="Negative"/>
    <n v="-25740"/>
  </r>
  <r>
    <x v="0"/>
    <n v="0"/>
    <m/>
    <d v="2021-06-22T00:00:00"/>
    <d v="2021-06-22T17:00:00"/>
    <n v="83.291666666664241"/>
    <x v="0"/>
    <x v="0"/>
    <s v="Converse"/>
    <x v="1"/>
    <n v="-4250"/>
    <x v="80"/>
    <x v="24"/>
    <s v="22.06.2021 17:00:00"/>
    <x v="6"/>
    <s v="Оплата от покупателя"/>
    <x v="24"/>
    <s v="Договор № 195/2014 от 01.08.2014"/>
    <m/>
    <m/>
    <m/>
    <m/>
    <s v="Negative"/>
    <n v="-4250"/>
  </r>
  <r>
    <x v="0"/>
    <n v="0"/>
    <m/>
    <d v="2021-06-29T00:00:00"/>
    <d v="2021-06-29T17:00:00"/>
    <n v="76.291666666664241"/>
    <x v="0"/>
    <x v="0"/>
    <s v="Сток Converse"/>
    <x v="1"/>
    <n v="-67520"/>
    <x v="81"/>
    <x v="24"/>
    <s v="29.06.2021 17:00:00"/>
    <x v="1"/>
    <s v="Оплата от покупателя"/>
    <x v="24"/>
    <s v="Договор № 195/2014 от 01.08.2014"/>
    <m/>
    <m/>
    <m/>
    <m/>
    <s v="Negative"/>
    <n v="-67520"/>
  </r>
  <r>
    <x v="3"/>
    <n v="45"/>
    <m/>
    <d v="2021-06-30T00:00:00"/>
    <d v="2021-08-14T19:02:46"/>
    <n v="30.20641203703417"/>
    <x v="4"/>
    <x v="4"/>
    <s v="Сток Converse"/>
    <x v="1"/>
    <n v="92655.62"/>
    <x v="82"/>
    <x v="22"/>
    <s v="30.06.2021 19:02:46"/>
    <x v="1"/>
    <m/>
    <x v="22"/>
    <s v="258/2015 от 21.08.2015"/>
    <m/>
    <m/>
    <m/>
    <m/>
    <s v="Positive"/>
    <n v="92655.62"/>
  </r>
  <r>
    <x v="3"/>
    <n v="45"/>
    <m/>
    <d v="2021-06-30T00:00:00"/>
    <d v="2021-08-14T19:04:30"/>
    <n v="30.205208333332848"/>
    <x v="4"/>
    <x v="4"/>
    <s v="Сток Dr.Martens"/>
    <x v="4"/>
    <n v="12387"/>
    <x v="83"/>
    <x v="22"/>
    <s v="30.06.2021 19:04:30"/>
    <x v="8"/>
    <m/>
    <x v="22"/>
    <s v="Договор №032/2012 от 01 марта 2012"/>
    <m/>
    <m/>
    <m/>
    <m/>
    <s v="Positive"/>
    <n v="12387"/>
  </r>
  <r>
    <x v="3"/>
    <n v="45"/>
    <m/>
    <d v="2021-06-30T00:00:00"/>
    <d v="2021-08-14T19:05:27"/>
    <n v="30.204548611109203"/>
    <x v="4"/>
    <x v="4"/>
    <s v="Сток Saucony"/>
    <x v="3"/>
    <n v="496538.8"/>
    <x v="84"/>
    <x v="22"/>
    <s v="30.06.2021 19:05:27"/>
    <x v="3"/>
    <m/>
    <x v="22"/>
    <s v="№ 435/2020 от 16.09.2020"/>
    <m/>
    <m/>
    <m/>
    <m/>
    <s v="Positive"/>
    <n v="496538.8"/>
  </r>
  <r>
    <x v="3"/>
    <n v="45"/>
    <m/>
    <d v="2021-06-30T00:00:00"/>
    <d v="2021-08-14T19:06:26"/>
    <n v="30.203865740739275"/>
    <x v="4"/>
    <x v="4"/>
    <s v="Сток UGG"/>
    <x v="2"/>
    <n v="187068"/>
    <x v="85"/>
    <x v="22"/>
    <s v="30.06.2021 19:06:26"/>
    <x v="2"/>
    <m/>
    <x v="22"/>
    <s v="№ 435/2020 от 16.09.2020"/>
    <m/>
    <m/>
    <m/>
    <m/>
    <s v="Positive"/>
    <n v="187068"/>
  </r>
  <r>
    <x v="2"/>
    <n v="95"/>
    <m/>
    <d v="2021-07-01T00:00:00"/>
    <d v="2021-10-04T12:33:37"/>
    <n v="-20.523344907407591"/>
    <x v="5"/>
    <x v="4"/>
    <s v="Сток Converse"/>
    <x v="1"/>
    <n v="334305"/>
    <x v="86"/>
    <x v="21"/>
    <s v="01.07.2021 12:33:37"/>
    <x v="1"/>
    <s v="продажа, комиссия"/>
    <x v="21"/>
    <s v="ИР-П 215/15 от 21.04.2015"/>
    <m/>
    <m/>
    <m/>
    <m/>
    <s v="Positive"/>
    <n v="334305"/>
  </r>
  <r>
    <x v="2"/>
    <n v="95"/>
    <m/>
    <d v="2021-07-01T00:00:00"/>
    <d v="2021-10-04T12:47:17"/>
    <n v="-20.532835648147739"/>
    <x v="5"/>
    <x v="4"/>
    <s v="Сток Converse"/>
    <x v="1"/>
    <n v="15505"/>
    <x v="87"/>
    <x v="21"/>
    <s v="01.07.2021 12:47:17"/>
    <x v="1"/>
    <s v="продажа, комиссия"/>
    <x v="21"/>
    <s v="ИР-П 215/15 от 21.04.2015"/>
    <m/>
    <m/>
    <m/>
    <m/>
    <s v="Positive"/>
    <n v="15505"/>
  </r>
  <r>
    <x v="2"/>
    <n v="95"/>
    <m/>
    <d v="2021-07-01T00:00:00"/>
    <d v="2021-10-04T13:12:35"/>
    <n v="-20.550405092595611"/>
    <x v="5"/>
    <x v="4"/>
    <s v="Сток Converse"/>
    <x v="1"/>
    <n v="36225"/>
    <x v="88"/>
    <x v="21"/>
    <s v="01.07.2021 13:12:35"/>
    <x v="1"/>
    <s v="продажа, комиссия"/>
    <x v="21"/>
    <s v="№429/2020 от 22.06.2020"/>
    <m/>
    <m/>
    <m/>
    <m/>
    <s v="Positive"/>
    <n v="36225"/>
  </r>
  <r>
    <x v="2"/>
    <n v="95"/>
    <m/>
    <d v="2021-07-01T00:00:00"/>
    <d v="2021-10-04T13:17:30"/>
    <n v="-20.553819444445253"/>
    <x v="5"/>
    <x v="4"/>
    <s v="UGG"/>
    <x v="2"/>
    <n v="68200"/>
    <x v="89"/>
    <x v="21"/>
    <s v="01.07.2021 13:17:30"/>
    <x v="5"/>
    <s v="продажа, комиссия"/>
    <x v="21"/>
    <s v="№429/2020 от 22.06.2020"/>
    <m/>
    <m/>
    <m/>
    <m/>
    <s v="Positive"/>
    <n v="68200"/>
  </r>
  <r>
    <x v="2"/>
    <n v="95"/>
    <m/>
    <d v="2021-07-01T00:00:00"/>
    <d v="2021-10-04T13:26:34"/>
    <n v="-20.56011574074364"/>
    <x v="5"/>
    <x v="4"/>
    <s v="Сток Converse"/>
    <x v="1"/>
    <n v="2478195"/>
    <x v="90"/>
    <x v="18"/>
    <s v="01.07.2021 13:26:34"/>
    <x v="1"/>
    <s v="продажа, комиссия"/>
    <x v="18"/>
    <s v="№429/2020 от 22.06.2020"/>
    <m/>
    <m/>
    <m/>
    <m/>
    <s v="Positive"/>
    <n v="2478195"/>
  </r>
  <r>
    <x v="2"/>
    <n v="95"/>
    <m/>
    <d v="2021-07-01T00:00:00"/>
    <d v="2021-10-04T14:02:40"/>
    <n v="-20.585185185183946"/>
    <x v="5"/>
    <x v="4"/>
    <s v="Сток Converse"/>
    <x v="1"/>
    <n v="275220"/>
    <x v="91"/>
    <x v="21"/>
    <s v="01.07.2021 14:02:40"/>
    <x v="1"/>
    <s v="продажа, комиссия"/>
    <x v="21"/>
    <s v="№429/2020 от 22.06.2020"/>
    <m/>
    <m/>
    <m/>
    <m/>
    <s v="Positive"/>
    <n v="275220"/>
  </r>
  <r>
    <x v="2"/>
    <n v="95"/>
    <m/>
    <d v="2021-07-01T00:00:00"/>
    <d v="2021-10-04T14:38:05"/>
    <n v="-20.6097800925927"/>
    <x v="5"/>
    <x v="4"/>
    <s v="Dr.Martens"/>
    <x v="4"/>
    <n v="10320"/>
    <x v="92"/>
    <x v="21"/>
    <s v="01.07.2021 14:38:05"/>
    <x v="9"/>
    <s v="продажа, комиссия"/>
    <x v="21"/>
    <s v="№429/2020 от 22.06.2020"/>
    <m/>
    <m/>
    <m/>
    <m/>
    <s v="Positive"/>
    <n v="10320"/>
  </r>
  <r>
    <x v="2"/>
    <n v="95"/>
    <m/>
    <d v="2021-07-01T00:00:00"/>
    <d v="2021-10-04T14:40:45"/>
    <n v="-20.611631944440887"/>
    <x v="5"/>
    <x v="4"/>
    <s v="Saucony"/>
    <x v="3"/>
    <n v="9360"/>
    <x v="93"/>
    <x v="21"/>
    <s v="01.07.2021 14:40:45"/>
    <x v="7"/>
    <s v="продажа, комиссия"/>
    <x v="21"/>
    <s v="№429/2020 от 22.06.2020"/>
    <m/>
    <m/>
    <m/>
    <m/>
    <s v="Positive"/>
    <n v="9360"/>
  </r>
  <r>
    <x v="2"/>
    <n v="95"/>
    <m/>
    <d v="2021-07-01T00:00:00"/>
    <d v="2021-10-04T15:33:57"/>
    <n v="-20.648576388892252"/>
    <x v="5"/>
    <x v="4"/>
    <s v="Saucony"/>
    <x v="3"/>
    <n v="34080"/>
    <x v="94"/>
    <x v="21"/>
    <s v="01.07.2021 15:33:57"/>
    <x v="7"/>
    <s v="продажа, комиссия"/>
    <x v="21"/>
    <s v="№429/2020 от 22.06.2020"/>
    <m/>
    <m/>
    <m/>
    <m/>
    <s v="Positive"/>
    <n v="34080"/>
  </r>
  <r>
    <x v="2"/>
    <n v="95"/>
    <m/>
    <d v="2021-07-01T00:00:00"/>
    <d v="2021-10-04T17:19:34"/>
    <n v="-20.721921296295477"/>
    <x v="5"/>
    <x v="4"/>
    <s v="Сток Dr.Martens"/>
    <x v="4"/>
    <n v="44520"/>
    <x v="95"/>
    <x v="21"/>
    <s v="01.07.2021 17:19:34"/>
    <x v="8"/>
    <s v="продажа, комиссия"/>
    <x v="21"/>
    <s v="№429/2020 от 22.06.2020"/>
    <m/>
    <m/>
    <m/>
    <m/>
    <s v="Positive"/>
    <n v="44520"/>
  </r>
  <r>
    <x v="2"/>
    <n v="95"/>
    <m/>
    <d v="2021-07-08T00:00:00"/>
    <d v="2021-10-11T13:49:28"/>
    <n v="-27.576018518520868"/>
    <x v="5"/>
    <x v="4"/>
    <s v="Converse"/>
    <x v="1"/>
    <n v="162378"/>
    <x v="96"/>
    <x v="13"/>
    <s v="08.07.2021 13:49:28"/>
    <x v="6"/>
    <s v="продажа, комиссия"/>
    <x v="13"/>
    <s v="№429/2020 от 22.06.2020"/>
    <m/>
    <m/>
    <m/>
    <m/>
    <s v="Positive"/>
    <n v="162378"/>
  </r>
  <r>
    <x v="2"/>
    <n v="65"/>
    <m/>
    <d v="2021-07-14T00:00:00"/>
    <d v="2021-09-17T13:18:35"/>
    <n v="-3.5545717592613073"/>
    <x v="5"/>
    <x v="4"/>
    <s v="Converse"/>
    <x v="1"/>
    <n v="0.13"/>
    <x v="97"/>
    <x v="10"/>
    <s v="14.07.2021 13:18:35"/>
    <x v="6"/>
    <s v="продажа, комиссия"/>
    <x v="10"/>
    <s v="Договор 212/2014 от 01.10.2014"/>
    <m/>
    <m/>
    <m/>
    <m/>
    <s v="Positive"/>
    <n v="0.13"/>
  </r>
  <r>
    <x v="2"/>
    <n v="95"/>
    <m/>
    <d v="2021-07-16T00:00:00"/>
    <d v="2021-10-19T10:37:31"/>
    <n v="-35.442719907405262"/>
    <x v="5"/>
    <x v="4"/>
    <s v="Сток Converse"/>
    <x v="1"/>
    <n v="683958"/>
    <x v="98"/>
    <x v="18"/>
    <s v="16.07.2021 10:37:31"/>
    <x v="1"/>
    <s v="продажа, комиссия"/>
    <x v="18"/>
    <s v="Договор 212/2014 от 01.10.2014"/>
    <m/>
    <m/>
    <m/>
    <m/>
    <s v="Positive"/>
    <n v="683958"/>
  </r>
  <r>
    <x v="2"/>
    <n v="95"/>
    <m/>
    <d v="2021-07-16T00:00:00"/>
    <d v="2021-10-19T10:39:17"/>
    <n v="-35.443946759260143"/>
    <x v="5"/>
    <x v="4"/>
    <s v="Converse"/>
    <x v="1"/>
    <n v="3441892"/>
    <x v="99"/>
    <x v="18"/>
    <s v="16.07.2021 10:39:17"/>
    <x v="6"/>
    <s v="продажа, комиссия"/>
    <x v="18"/>
    <s v="Договор № 195/2014 от 01.08.2014"/>
    <m/>
    <m/>
    <m/>
    <m/>
    <s v="Positive"/>
    <n v="3441892"/>
  </r>
  <r>
    <x v="2"/>
    <n v="65"/>
    <m/>
    <d v="2021-07-19T00:00:00"/>
    <d v="2021-09-22T13:52:21"/>
    <n v="-8.578020833330811"/>
    <x v="0"/>
    <x v="0"/>
    <s v="Сток Converse"/>
    <x v="1"/>
    <n v="-51660"/>
    <x v="100"/>
    <x v="25"/>
    <s v="19.07.2021 13:52:21"/>
    <x v="1"/>
    <s v="продажа, комиссия"/>
    <x v="25"/>
    <s v="Договор № 195/2014 от 01.08.2014"/>
    <m/>
    <m/>
    <m/>
    <m/>
    <s v="Negative"/>
    <n v="-51660"/>
  </r>
  <r>
    <x v="2"/>
    <n v="65"/>
    <m/>
    <d v="2021-07-19T00:00:00"/>
    <d v="2021-09-22T16:45:35"/>
    <n v="-8.6983217592569417"/>
    <x v="5"/>
    <x v="4"/>
    <s v="Converse"/>
    <x v="1"/>
    <n v="2134890"/>
    <x v="101"/>
    <x v="10"/>
    <s v="19.07.2021 16:45:35"/>
    <x v="6"/>
    <s v="продажа, комиссия"/>
    <x v="10"/>
    <s v="№ К 130-04-20 от 7 мая 2020 г."/>
    <m/>
    <m/>
    <m/>
    <m/>
    <s v="Positive"/>
    <n v="2134890"/>
  </r>
  <r>
    <x v="2"/>
    <n v="0"/>
    <m/>
    <d v="2021-07-21T00:00:00"/>
    <d v="2021-07-21T11:42:32"/>
    <n v="54.512129629627452"/>
    <x v="0"/>
    <x v="0"/>
    <s v="Сток Converse"/>
    <x v="1"/>
    <n v="-398"/>
    <x v="102"/>
    <x v="24"/>
    <s v="21.07.2021 11:42:32"/>
    <x v="1"/>
    <s v="продажа, комиссия"/>
    <x v="24"/>
    <s v="№ К 130-04-20 от 7 мая 2020 г."/>
    <m/>
    <m/>
    <m/>
    <m/>
    <s v="Negative"/>
    <n v="-398"/>
  </r>
  <r>
    <x v="2"/>
    <n v="95"/>
    <m/>
    <d v="2021-07-22T00:00:00"/>
    <d v="2021-10-25T15:18:36"/>
    <n v="-41.63791666666657"/>
    <x v="5"/>
    <x v="4"/>
    <s v="Сток Converse"/>
    <x v="1"/>
    <n v="4657005"/>
    <x v="103"/>
    <x v="18"/>
    <s v="22.07.2021 15:18:36"/>
    <x v="1"/>
    <s v="продажа, комиссия"/>
    <x v="18"/>
    <s v="Оферта"/>
    <m/>
    <m/>
    <m/>
    <m/>
    <s v="Positive"/>
    <n v="4657005"/>
  </r>
  <r>
    <x v="2"/>
    <n v="65"/>
    <m/>
    <d v="2021-07-28T00:00:00"/>
    <d v="2021-10-01T15:40:27"/>
    <n v="-17.653090277781303"/>
    <x v="5"/>
    <x v="4"/>
    <s v="Converse"/>
    <x v="1"/>
    <n v="1149888.8"/>
    <x v="104"/>
    <x v="10"/>
    <s v="28.07.2021 15:40:27"/>
    <x v="6"/>
    <s v="продажа, комиссия"/>
    <x v="10"/>
    <s v="Оферта"/>
    <m/>
    <m/>
    <m/>
    <m/>
    <s v="Positive"/>
    <n v="1149888.8"/>
  </r>
  <r>
    <x v="2"/>
    <n v="95"/>
    <m/>
    <d v="2021-07-29T00:00:00"/>
    <d v="2021-11-01T14:02:12"/>
    <n v="-48.584861111114151"/>
    <x v="5"/>
    <x v="4"/>
    <s v="Converse"/>
    <x v="1"/>
    <n v="16982721"/>
    <x v="105"/>
    <x v="18"/>
    <s v="29.07.2021 14:02:12"/>
    <x v="6"/>
    <s v="продажа, комиссия"/>
    <x v="18"/>
    <s v="Оферта"/>
    <m/>
    <m/>
    <m/>
    <m/>
    <s v="Positive"/>
    <n v="16982721"/>
  </r>
  <r>
    <x v="2"/>
    <n v="65"/>
    <m/>
    <d v="2021-07-29T00:00:00"/>
    <d v="2021-10-02T17:02:08"/>
    <n v="-18.709814814814308"/>
    <x v="5"/>
    <x v="4"/>
    <s v="Converse"/>
    <x v="1"/>
    <n v="210450"/>
    <x v="106"/>
    <x v="15"/>
    <s v="29.07.2021 17:02:08"/>
    <x v="6"/>
    <s v="продажа, комиссия"/>
    <x v="15"/>
    <s v="Договор №032/2012 от 01 марта 2012"/>
    <m/>
    <m/>
    <m/>
    <m/>
    <s v="Positive"/>
    <n v="210450"/>
  </r>
  <r>
    <x v="2"/>
    <n v="65"/>
    <m/>
    <d v="2021-07-29T00:00:00"/>
    <d v="2021-10-02T17:03:35"/>
    <n v="-18.710821759261307"/>
    <x v="5"/>
    <x v="4"/>
    <s v="Converse"/>
    <x v="1"/>
    <n v="453302.4"/>
    <x v="107"/>
    <x v="15"/>
    <s v="29.07.2021 17:03:35"/>
    <x v="6"/>
    <s v="продажа, комиссия"/>
    <x v="15"/>
    <s v="Договор № 195/2014 от 01.08.2014"/>
    <m/>
    <m/>
    <m/>
    <m/>
    <s v="Positive"/>
    <n v="453302.4"/>
  </r>
  <r>
    <x v="2"/>
    <n v="65"/>
    <m/>
    <d v="2021-07-29T00:00:00"/>
    <d v="2021-10-02T17:07:48"/>
    <n v="-18.713750000002619"/>
    <x v="5"/>
    <x v="4"/>
    <s v="Converse"/>
    <x v="1"/>
    <n v="657478"/>
    <x v="108"/>
    <x v="15"/>
    <s v="29.07.2021 17:07:48"/>
    <x v="6"/>
    <s v="продажа, комиссия"/>
    <x v="15"/>
    <s v="Договор № 195/2014 от 01.08.2014"/>
    <m/>
    <m/>
    <m/>
    <m/>
    <s v="Positive"/>
    <n v="657478"/>
  </r>
  <r>
    <x v="2"/>
    <n v="0"/>
    <m/>
    <d v="2021-07-30T00:00:00"/>
    <d v="2021-07-30T15:00:13"/>
    <n v="45.374849537038244"/>
    <x v="3"/>
    <x v="4"/>
    <s v="Сток Dr.Martens"/>
    <x v="4"/>
    <n v="0.8"/>
    <x v="109"/>
    <x v="26"/>
    <s v="30.07.2021 15:00:13"/>
    <x v="8"/>
    <s v="продажа, комиссия"/>
    <x v="26"/>
    <s v="Договор 212/2014 от 01.10.2014"/>
    <m/>
    <m/>
    <m/>
    <m/>
    <s v="Positive"/>
    <n v="0.8"/>
  </r>
  <r>
    <x v="0"/>
    <n v="0"/>
    <m/>
    <d v="2021-07-30T00:00:00"/>
    <d v="2021-07-30T17:00:00"/>
    <n v="45.291666666664241"/>
    <x v="0"/>
    <x v="0"/>
    <s v="Сток Converse"/>
    <x v="1"/>
    <n v="-5200"/>
    <x v="110"/>
    <x v="27"/>
    <s v="30.07.2021 17:00:00"/>
    <x v="1"/>
    <s v="Оплата от покупателя"/>
    <x v="11"/>
    <s v="Договор №032/2012 от 01 марта 2012"/>
    <m/>
    <m/>
    <m/>
    <m/>
    <s v="Negative"/>
    <n v="-5200"/>
  </r>
  <r>
    <x v="3"/>
    <n v="45"/>
    <m/>
    <d v="2021-07-31T00:00:00"/>
    <d v="2021-09-14T16:27:49"/>
    <n v="-0.68598379629838746"/>
    <x v="5"/>
    <x v="4"/>
    <s v="Сток Converse"/>
    <x v="1"/>
    <n v="47143"/>
    <x v="111"/>
    <x v="22"/>
    <s v="31.07.2021 16:27:49"/>
    <x v="1"/>
    <m/>
    <x v="22"/>
    <s v="Договор №032/2012 от 01 марта 2012"/>
    <m/>
    <m/>
    <m/>
    <m/>
    <s v="Positive"/>
    <n v="47143"/>
  </r>
  <r>
    <x v="3"/>
    <n v="45"/>
    <m/>
    <d v="2021-07-31T00:00:00"/>
    <d v="2021-09-14T16:29:01"/>
    <n v="-0.68681712963007158"/>
    <x v="5"/>
    <x v="4"/>
    <s v="Сток Dr.Martens"/>
    <x v="4"/>
    <n v="5317"/>
    <x v="112"/>
    <x v="22"/>
    <s v="31.07.2021 16:29:01"/>
    <x v="8"/>
    <m/>
    <x v="22"/>
    <s v="Договор № 195/2014 от 01.08.2014"/>
    <m/>
    <m/>
    <m/>
    <m/>
    <s v="Positive"/>
    <n v="5317"/>
  </r>
  <r>
    <x v="3"/>
    <n v="45"/>
    <m/>
    <d v="2021-07-31T00:00:00"/>
    <d v="2021-09-14T16:30:07"/>
    <n v="-0.68758101851562969"/>
    <x v="5"/>
    <x v="4"/>
    <s v="Сток Saucony"/>
    <x v="3"/>
    <n v="348477.93"/>
    <x v="113"/>
    <x v="22"/>
    <s v="31.07.2021 16:30:07"/>
    <x v="3"/>
    <m/>
    <x v="22"/>
    <s v="Договор № 195/2014 от 01.08.2014"/>
    <m/>
    <m/>
    <m/>
    <m/>
    <s v="Positive"/>
    <n v="348477.93"/>
  </r>
  <r>
    <x v="3"/>
    <n v="45"/>
    <m/>
    <d v="2021-07-31T00:00:00"/>
    <d v="2021-09-14T16:30:58"/>
    <n v="-0.68817129629314877"/>
    <x v="5"/>
    <x v="4"/>
    <s v="Сток UGG"/>
    <x v="2"/>
    <n v="332261"/>
    <x v="114"/>
    <x v="22"/>
    <s v="31.07.2021 16:30:58"/>
    <x v="2"/>
    <m/>
    <x v="22"/>
    <s v="Договор № 195/2014 от 01.08.2014"/>
    <m/>
    <m/>
    <m/>
    <m/>
    <s v="Positive"/>
    <n v="332261"/>
  </r>
  <r>
    <x v="3"/>
    <n v="38"/>
    <m/>
    <d v="2021-07-31T00:00:00"/>
    <d v="2021-09-07T17:04:41"/>
    <n v="6.2884143518531346"/>
    <x v="7"/>
    <x v="4"/>
    <s v="Сток Havaianas"/>
    <x v="5"/>
    <n v="6879.23"/>
    <x v="115"/>
    <x v="13"/>
    <s v="31.07.2021 17:04:41"/>
    <x v="10"/>
    <m/>
    <x v="27"/>
    <s v="№ 435/2020 от 16.09.2020"/>
    <m/>
    <m/>
    <m/>
    <m/>
    <s v="Positive"/>
    <n v="6879.23"/>
  </r>
  <r>
    <x v="2"/>
    <n v="65"/>
    <m/>
    <d v="2021-08-05T00:00:00"/>
    <d v="2021-10-09T12:34:40"/>
    <n v="-25.524074074077362"/>
    <x v="5"/>
    <x v="4"/>
    <s v="UGG"/>
    <x v="2"/>
    <n v="3267308"/>
    <x v="116"/>
    <x v="10"/>
    <s v="05.08.2021 12:34:40"/>
    <x v="5"/>
    <s v="продажа, комиссия"/>
    <x v="10"/>
    <s v="Договор 212/2014 от 01.10.2014"/>
    <m/>
    <m/>
    <m/>
    <m/>
    <s v="Positive"/>
    <n v="3267308"/>
  </r>
  <r>
    <x v="2"/>
    <n v="65"/>
    <m/>
    <d v="2021-08-05T00:00:00"/>
    <d v="2021-10-09T12:36:39"/>
    <n v="-25.525451388886722"/>
    <x v="5"/>
    <x v="4"/>
    <s v="Converse"/>
    <x v="1"/>
    <n v="5276835"/>
    <x v="117"/>
    <x v="10"/>
    <s v="05.08.2021 12:36:39"/>
    <x v="6"/>
    <s v="продажа, комиссия"/>
    <x v="10"/>
    <s v="ИР-П 215/15 от 21.04.2015"/>
    <m/>
    <m/>
    <m/>
    <m/>
    <s v="Positive"/>
    <n v="5276835"/>
  </r>
  <r>
    <x v="2"/>
    <n v="65"/>
    <m/>
    <d v="2021-08-05T00:00:00"/>
    <d v="2021-10-09T13:10:51"/>
    <n v="-25.549201388887013"/>
    <x v="5"/>
    <x v="4"/>
    <s v="UGG"/>
    <x v="2"/>
    <n v="2612808"/>
    <x v="118"/>
    <x v="10"/>
    <s v="05.08.2021 13:10:51"/>
    <x v="5"/>
    <s v="продажа, комиссия"/>
    <x v="10"/>
    <s v="ИР-П 215/15 от 21.04.2015"/>
    <m/>
    <m/>
    <m/>
    <m/>
    <s v="Positive"/>
    <n v="2612808"/>
  </r>
  <r>
    <x v="2"/>
    <n v="65"/>
    <m/>
    <d v="2021-08-12T00:00:00"/>
    <d v="2021-10-16T13:37:54"/>
    <n v="-32.567986111112987"/>
    <x v="5"/>
    <x v="4"/>
    <s v="Converse"/>
    <x v="1"/>
    <n v="4173210"/>
    <x v="119"/>
    <x v="10"/>
    <s v="12.08.2021 13:37:54"/>
    <x v="6"/>
    <s v="продажа, комиссия"/>
    <x v="10"/>
    <s v="Договор №032/2012 от 01 марта 2012"/>
    <m/>
    <m/>
    <m/>
    <m/>
    <s v="Positive"/>
    <n v="4173210"/>
  </r>
  <r>
    <x v="0"/>
    <n v="0"/>
    <m/>
    <d v="2021-08-14T00:00:00"/>
    <d v="2021-08-14T17:00:00"/>
    <n v="30.291666666664241"/>
    <x v="0"/>
    <x v="0"/>
    <s v="Сток Converse"/>
    <x v="1"/>
    <n v="-64.540000000000006"/>
    <x v="120"/>
    <x v="23"/>
    <s v="14.08.2021 17:00:00"/>
    <x v="1"/>
    <s v="Оплата от покупателя"/>
    <x v="23"/>
    <s v="Договор №032/2012 от 01 марта 2012"/>
    <m/>
    <m/>
    <m/>
    <m/>
    <s v="Negative"/>
    <n v="-64.540000000000006"/>
  </r>
  <r>
    <x v="2"/>
    <n v="73"/>
    <m/>
    <d v="2021-08-16T00:00:00"/>
    <d v="2021-10-28T10:40:16"/>
    <n v="-44.444629629630072"/>
    <x v="5"/>
    <x v="4"/>
    <s v="Converse"/>
    <x v="1"/>
    <n v="440214.4"/>
    <x v="121"/>
    <x v="28"/>
    <s v="16.08.2021 10:40:16"/>
    <x v="6"/>
    <s v="продажа, комиссия"/>
    <x v="28"/>
    <s v="№ 295/2016 от 14.12.2016"/>
    <m/>
    <m/>
    <m/>
    <m/>
    <s v="Positive"/>
    <n v="440214.4"/>
  </r>
  <r>
    <x v="2"/>
    <n v="65"/>
    <m/>
    <d v="2021-08-20T00:00:00"/>
    <d v="2021-10-24T00:00:00"/>
    <n v="-40"/>
    <x v="5"/>
    <x v="4"/>
    <s v="Сток Converse"/>
    <x v="1"/>
    <n v="1305045"/>
    <x v="122"/>
    <x v="10"/>
    <s v="20.08.2021 0:00:00"/>
    <x v="1"/>
    <s v="продажа, комиссия"/>
    <x v="10"/>
    <s v="Договор № 195/2014 от 01.08.2014"/>
    <m/>
    <m/>
    <m/>
    <m/>
    <s v="Positive"/>
    <n v="1305045"/>
  </r>
  <r>
    <x v="2"/>
    <n v="95"/>
    <m/>
    <d v="2021-08-20T00:00:00"/>
    <d v="2021-11-23T11:33:02"/>
    <n v="-70.481273148150649"/>
    <x v="5"/>
    <x v="4"/>
    <s v="Сток Saucony"/>
    <x v="3"/>
    <n v="82992"/>
    <x v="123"/>
    <x v="21"/>
    <s v="20.08.2021 11:33:02"/>
    <x v="3"/>
    <s v="продажа, комиссия"/>
    <x v="21"/>
    <s v="Договор № 195/2014 от 01.08.2014"/>
    <m/>
    <m/>
    <m/>
    <m/>
    <s v="Positive"/>
    <n v="82992"/>
  </r>
  <r>
    <x v="2"/>
    <n v="95"/>
    <m/>
    <d v="2021-08-20T00:00:00"/>
    <d v="2021-11-23T11:36:30"/>
    <n v="-70.483680555553292"/>
    <x v="5"/>
    <x v="4"/>
    <s v="Сток Saucony"/>
    <x v="3"/>
    <n v="132080"/>
    <x v="124"/>
    <x v="21"/>
    <s v="20.08.2021 11:36:30"/>
    <x v="3"/>
    <s v="продажа, комиссия"/>
    <x v="21"/>
    <s v="Договор № 195/2014 от 01.08.2014"/>
    <m/>
    <m/>
    <m/>
    <m/>
    <s v="Positive"/>
    <n v="132080"/>
  </r>
  <r>
    <x v="2"/>
    <n v="95"/>
    <m/>
    <d v="2021-08-20T00:00:00"/>
    <d v="2021-11-23T11:39:00"/>
    <n v="-70.485416666670062"/>
    <x v="5"/>
    <x v="4"/>
    <s v="Saucony"/>
    <x v="3"/>
    <n v="187120"/>
    <x v="125"/>
    <x v="21"/>
    <s v="20.08.2021 11:39:00"/>
    <x v="7"/>
    <s v="продажа, комиссия"/>
    <x v="21"/>
    <s v="№429/2020 от 22.06.2020"/>
    <m/>
    <m/>
    <m/>
    <m/>
    <s v="Positive"/>
    <n v="187120"/>
  </r>
  <r>
    <x v="2"/>
    <n v="95"/>
    <m/>
    <d v="2021-08-20T00:00:00"/>
    <d v="2021-11-23T11:40:29"/>
    <n v="-70.486446759256069"/>
    <x v="5"/>
    <x v="4"/>
    <s v="Saucony"/>
    <x v="3"/>
    <n v="115400"/>
    <x v="126"/>
    <x v="21"/>
    <s v="20.08.2021 11:40:29"/>
    <x v="7"/>
    <s v="продажа, комиссия"/>
    <x v="21"/>
    <s v="№429/2020 от 22.06.2020"/>
    <m/>
    <m/>
    <m/>
    <m/>
    <s v="Positive"/>
    <n v="115400"/>
  </r>
  <r>
    <x v="2"/>
    <n v="95"/>
    <m/>
    <d v="2021-08-20T00:00:00"/>
    <d v="2021-11-23T11:51:07"/>
    <n v="-70.493831018517085"/>
    <x v="5"/>
    <x v="4"/>
    <s v="Dr.Martens"/>
    <x v="4"/>
    <n v="132080"/>
    <x v="127"/>
    <x v="21"/>
    <s v="20.08.2021 11:51:07"/>
    <x v="9"/>
    <s v="продажа, комиссия"/>
    <x v="21"/>
    <s v="№429/2020 от 22.06.2020"/>
    <m/>
    <m/>
    <m/>
    <m/>
    <s v="Positive"/>
    <n v="132080"/>
  </r>
  <r>
    <x v="2"/>
    <n v="95"/>
    <m/>
    <d v="2021-08-20T00:00:00"/>
    <d v="2021-11-23T12:00:00"/>
    <n v="-70.5"/>
    <x v="5"/>
    <x v="4"/>
    <s v="Dr.Martens"/>
    <x v="4"/>
    <n v="354480"/>
    <x v="128"/>
    <x v="21"/>
    <s v="20.08.2021 12:00:00"/>
    <x v="9"/>
    <s v="продажа, комиссия"/>
    <x v="21"/>
    <s v="№429/2020 от 22.06.2020"/>
    <m/>
    <m/>
    <m/>
    <m/>
    <s v="Positive"/>
    <n v="354480"/>
  </r>
  <r>
    <x v="2"/>
    <n v="95"/>
    <m/>
    <d v="2021-08-20T00:00:00"/>
    <d v="2021-11-23T12:27:52"/>
    <n v="-70.519351851849933"/>
    <x v="5"/>
    <x v="4"/>
    <s v="Сток Converse"/>
    <x v="1"/>
    <n v="93677.5"/>
    <x v="129"/>
    <x v="21"/>
    <s v="20.08.2021 12:27:52"/>
    <x v="1"/>
    <s v="продажа, комиссия"/>
    <x v="21"/>
    <s v="№429/2020 от 22.06.2020"/>
    <m/>
    <m/>
    <m/>
    <m/>
    <s v="Positive"/>
    <n v="93677.5"/>
  </r>
  <r>
    <x v="2"/>
    <n v="95"/>
    <m/>
    <d v="2021-08-20T00:00:00"/>
    <d v="2021-11-23T12:34:11"/>
    <n v="-70.523738425923511"/>
    <x v="5"/>
    <x v="4"/>
    <s v="Сток Converse"/>
    <x v="1"/>
    <n v="104877.5"/>
    <x v="130"/>
    <x v="21"/>
    <s v="20.08.2021 12:34:11"/>
    <x v="1"/>
    <s v="продажа, комиссия"/>
    <x v="21"/>
    <s v="№429/2020 от 22.06.2020"/>
    <m/>
    <m/>
    <m/>
    <m/>
    <s v="Positive"/>
    <n v="104877.5"/>
  </r>
  <r>
    <x v="2"/>
    <n v="95"/>
    <m/>
    <d v="2021-08-20T00:00:00"/>
    <d v="2021-11-23T12:42:12"/>
    <n v="-70.529305555552128"/>
    <x v="5"/>
    <x v="4"/>
    <s v="Converse"/>
    <x v="1"/>
    <n v="33660"/>
    <x v="131"/>
    <x v="21"/>
    <s v="20.08.2021 12:42:12"/>
    <x v="6"/>
    <s v="продажа, комиссия"/>
    <x v="21"/>
    <s v="№429/2020 от 22.06.2020"/>
    <m/>
    <m/>
    <m/>
    <m/>
    <s v="Positive"/>
    <n v="33660"/>
  </r>
  <r>
    <x v="2"/>
    <n v="95"/>
    <m/>
    <d v="2021-08-20T00:00:00"/>
    <d v="2021-11-23T12:45:40"/>
    <n v="-70.531712962962047"/>
    <x v="5"/>
    <x v="4"/>
    <s v="Сток Converse"/>
    <x v="1"/>
    <n v="297405"/>
    <x v="132"/>
    <x v="21"/>
    <s v="20.08.2021 12:45:40"/>
    <x v="1"/>
    <s v="продажа, комиссия"/>
    <x v="21"/>
    <s v="ИР-П 215/15 от 21.04.2015"/>
    <m/>
    <m/>
    <m/>
    <m/>
    <s v="Positive"/>
    <n v="297405"/>
  </r>
  <r>
    <x v="2"/>
    <n v="95"/>
    <m/>
    <d v="2021-08-20T00:00:00"/>
    <d v="2021-11-23T14:11:33"/>
    <n v="-70.591354166666861"/>
    <x v="5"/>
    <x v="4"/>
    <s v="Сток Converse"/>
    <x v="1"/>
    <n v="81515"/>
    <x v="133"/>
    <x v="21"/>
    <s v="20.08.2021 14:11:33"/>
    <x v="1"/>
    <s v="продажа, комиссия"/>
    <x v="21"/>
    <s v="ИР-П 215/15 от 21.04.2015"/>
    <m/>
    <m/>
    <m/>
    <m/>
    <s v="Positive"/>
    <n v="81515"/>
  </r>
  <r>
    <x v="2"/>
    <n v="65"/>
    <m/>
    <d v="2021-08-23T00:00:00"/>
    <d v="2021-10-27T11:51:43"/>
    <n v="-43.494247685186565"/>
    <x v="5"/>
    <x v="4"/>
    <s v="UGG"/>
    <x v="2"/>
    <n v="6765792"/>
    <x v="134"/>
    <x v="10"/>
    <s v="23.08.2021 11:51:43"/>
    <x v="5"/>
    <s v="продажа, комиссия"/>
    <x v="10"/>
    <s v="№ 236/2015 от 27.04.2015"/>
    <m/>
    <m/>
    <m/>
    <m/>
    <s v="Positive"/>
    <n v="6765792"/>
  </r>
  <r>
    <x v="2"/>
    <n v="65"/>
    <m/>
    <d v="2021-08-23T00:00:00"/>
    <d v="2021-10-27T11:54:34"/>
    <n v="-43.496226851850224"/>
    <x v="5"/>
    <x v="4"/>
    <s v="UGG"/>
    <x v="2"/>
    <n v="10590272"/>
    <x v="135"/>
    <x v="10"/>
    <s v="23.08.2021 11:54:34"/>
    <x v="5"/>
    <s v="продажа, комиссия"/>
    <x v="10"/>
    <s v="№ К 130-04-20 от 7 мая 2020 г."/>
    <m/>
    <m/>
    <m/>
    <m/>
    <s v="Positive"/>
    <n v="10590272"/>
  </r>
  <r>
    <x v="2"/>
    <n v="65"/>
    <m/>
    <d v="2021-08-23T00:00:00"/>
    <d v="2021-10-27T11:56:13"/>
    <n v="-43.497372685182199"/>
    <x v="5"/>
    <x v="4"/>
    <s v="UGG"/>
    <x v="2"/>
    <n v="348480"/>
    <x v="136"/>
    <x v="10"/>
    <s v="23.08.2021 11:56:13"/>
    <x v="5"/>
    <s v="продажа, комиссия"/>
    <x v="10"/>
    <s v="№ К 130-04-20 от 7 мая 2020 г."/>
    <m/>
    <m/>
    <m/>
    <m/>
    <s v="Positive"/>
    <n v="348480"/>
  </r>
  <r>
    <x v="2"/>
    <n v="65"/>
    <m/>
    <d v="2021-08-23T00:00:00"/>
    <d v="2021-10-27T12:00:08"/>
    <n v="-43.500092592592409"/>
    <x v="5"/>
    <x v="4"/>
    <s v="UGG"/>
    <x v="2"/>
    <n v="1496176"/>
    <x v="137"/>
    <x v="10"/>
    <s v="23.08.2021 12:00:08"/>
    <x v="5"/>
    <s v="продажа, комиссия"/>
    <x v="10"/>
    <s v="№ К 130-04-20 от 7 мая 2020 г."/>
    <m/>
    <m/>
    <m/>
    <m/>
    <s v="Positive"/>
    <n v="1496176"/>
  </r>
  <r>
    <x v="2"/>
    <n v="65"/>
    <m/>
    <d v="2021-08-23T00:00:00"/>
    <d v="2021-10-27T12:01:54"/>
    <n v="-43.50131944444729"/>
    <x v="5"/>
    <x v="4"/>
    <s v="Dr.Martens"/>
    <x v="4"/>
    <n v="10728585"/>
    <x v="138"/>
    <x v="10"/>
    <s v="23.08.2021 12:01:54"/>
    <x v="9"/>
    <s v="продажа, комиссия"/>
    <x v="10"/>
    <s v="№ К 130-04-20 от 7 мая 2020 г."/>
    <m/>
    <m/>
    <m/>
    <m/>
    <s v="Positive"/>
    <n v="10728585"/>
  </r>
  <r>
    <x v="2"/>
    <n v="95"/>
    <m/>
    <d v="2021-08-24T00:00:00"/>
    <d v="2021-11-27T11:54:22"/>
    <n v="-74.496087962965248"/>
    <x v="5"/>
    <x v="4"/>
    <s v="Сток Converse"/>
    <x v="1"/>
    <n v="279414"/>
    <x v="139"/>
    <x v="18"/>
    <s v="24.08.2021 11:54:22"/>
    <x v="1"/>
    <s v="продажа, комиссия"/>
    <x v="18"/>
    <s v="Оферта"/>
    <m/>
    <m/>
    <m/>
    <m/>
    <s v="Positive"/>
    <n v="279414"/>
  </r>
  <r>
    <x v="2"/>
    <n v="95"/>
    <m/>
    <d v="2021-08-24T00:00:00"/>
    <d v="2021-11-27T11:56:09"/>
    <n v="-74.497326388889633"/>
    <x v="5"/>
    <x v="4"/>
    <s v="Converse"/>
    <x v="1"/>
    <n v="355911"/>
    <x v="140"/>
    <x v="18"/>
    <s v="24.08.2021 11:56:09"/>
    <x v="6"/>
    <s v="продажа, комиссия"/>
    <x v="18"/>
    <s v="Оферта"/>
    <m/>
    <m/>
    <m/>
    <m/>
    <s v="Positive"/>
    <n v="355911"/>
  </r>
  <r>
    <x v="2"/>
    <n v="65"/>
    <m/>
    <d v="2021-08-25T00:00:00"/>
    <d v="2021-10-29T13:35:23"/>
    <n v="-45.566238425926713"/>
    <x v="5"/>
    <x v="4"/>
    <s v="Converse"/>
    <x v="1"/>
    <n v="2282290"/>
    <x v="141"/>
    <x v="15"/>
    <s v="25.08.2021 13:35:23"/>
    <x v="6"/>
    <s v="продажа, комиссия"/>
    <x v="15"/>
    <s v="Оферта"/>
    <m/>
    <m/>
    <m/>
    <m/>
    <s v="Positive"/>
    <n v="2282290"/>
  </r>
  <r>
    <x v="2"/>
    <n v="65"/>
    <m/>
    <d v="2021-08-25T00:00:00"/>
    <d v="2021-10-29T17:19:55"/>
    <n v="-45.722164351849642"/>
    <x v="5"/>
    <x v="4"/>
    <s v="Converse"/>
    <x v="1"/>
    <n v="332267.2"/>
    <x v="142"/>
    <x v="15"/>
    <s v="25.08.2021 17:19:55"/>
    <x v="6"/>
    <s v="продажа, комиссия"/>
    <x v="15"/>
    <s v="Договор №032/2012 от 01 марта 2012"/>
    <m/>
    <m/>
    <m/>
    <m/>
    <s v="Positive"/>
    <n v="332267.2"/>
  </r>
  <r>
    <x v="2"/>
    <n v="45"/>
    <m/>
    <d v="2021-08-26T00:00:00"/>
    <d v="2021-10-10T11:33:57"/>
    <n v="-26.481909722220735"/>
    <x v="5"/>
    <x v="4"/>
    <s v="Dr.Martens"/>
    <x v="4"/>
    <n v="384048"/>
    <x v="143"/>
    <x v="29"/>
    <s v="26.08.2021 11:33:57"/>
    <x v="9"/>
    <s v="продажа, комиссия"/>
    <x v="29"/>
    <s v="Договор №032/2012 от 01 марта 2012"/>
    <m/>
    <m/>
    <m/>
    <m/>
    <s v="Positive"/>
    <n v="384048"/>
  </r>
  <r>
    <x v="2"/>
    <n v="45"/>
    <m/>
    <d v="2021-08-26T00:00:00"/>
    <d v="2021-10-10T11:35:20"/>
    <n v="-26.482870370367891"/>
    <x v="5"/>
    <x v="4"/>
    <s v="UGG"/>
    <x v="2"/>
    <n v="502600"/>
    <x v="144"/>
    <x v="29"/>
    <s v="26.08.2021 11:35:20"/>
    <x v="5"/>
    <s v="продажа, комиссия"/>
    <x v="29"/>
    <s v="№ 236/2015 от 27.04.2015"/>
    <m/>
    <m/>
    <m/>
    <m/>
    <s v="Positive"/>
    <n v="502600"/>
  </r>
  <r>
    <x v="2"/>
    <n v="95"/>
    <m/>
    <d v="2021-08-27T00:00:00"/>
    <d v="2021-11-30T09:57:25"/>
    <n v="-77.414872685185401"/>
    <x v="5"/>
    <x v="4"/>
    <s v="Converse"/>
    <x v="1"/>
    <n v="7556605"/>
    <x v="145"/>
    <x v="18"/>
    <s v="27.08.2021 9:57:25"/>
    <x v="6"/>
    <s v="продажа, комиссия"/>
    <x v="18"/>
    <s v="№ 236/2015 от 27.04.2015"/>
    <m/>
    <m/>
    <m/>
    <m/>
    <s v="Positive"/>
    <n v="7556605"/>
  </r>
  <r>
    <x v="2"/>
    <n v="95"/>
    <m/>
    <d v="2021-08-27T00:00:00"/>
    <d v="2021-11-30T11:25:08"/>
    <n v="-77.475787037037662"/>
    <x v="5"/>
    <x v="4"/>
    <s v="Dr.Martens"/>
    <x v="4"/>
    <n v="6373080"/>
    <x v="146"/>
    <x v="18"/>
    <s v="27.08.2021 11:25:08"/>
    <x v="9"/>
    <s v="продажа, комиссия"/>
    <x v="18"/>
    <s v="Договор № 195/2014 от 01.08.2014"/>
    <m/>
    <m/>
    <m/>
    <m/>
    <s v="Positive"/>
    <n v="6373080"/>
  </r>
  <r>
    <x v="2"/>
    <n v="73"/>
    <m/>
    <d v="2021-08-27T00:00:00"/>
    <d v="2021-11-08T11:31:15"/>
    <n v="-55.480034722218988"/>
    <x v="5"/>
    <x v="4"/>
    <s v="Сток Converse"/>
    <x v="1"/>
    <n v="71687"/>
    <x v="147"/>
    <x v="28"/>
    <s v="27.08.2021 11:31:15"/>
    <x v="1"/>
    <s v="продажа, комиссия"/>
    <x v="28"/>
    <s v="№242/2015 от 18.06.2015"/>
    <m/>
    <m/>
    <m/>
    <m/>
    <s v="Positive"/>
    <n v="71687"/>
  </r>
  <r>
    <x v="2"/>
    <n v="73"/>
    <m/>
    <d v="2021-08-27T00:00:00"/>
    <d v="2021-11-08T11:32:09"/>
    <n v="-55.480659722219571"/>
    <x v="5"/>
    <x v="4"/>
    <s v="Dr.Martens"/>
    <x v="4"/>
    <n v="95040"/>
    <x v="148"/>
    <x v="28"/>
    <s v="27.08.2021 11:32:09"/>
    <x v="9"/>
    <s v="продажа, комиссия"/>
    <x v="28"/>
    <s v="Основной договор"/>
    <m/>
    <m/>
    <m/>
    <m/>
    <s v="Positive"/>
    <n v="95040"/>
  </r>
  <r>
    <x v="2"/>
    <n v="73"/>
    <m/>
    <d v="2021-08-27T00:00:00"/>
    <d v="2021-11-08T11:33:14"/>
    <n v="-55.481412037035625"/>
    <x v="5"/>
    <x v="4"/>
    <s v="Converse"/>
    <x v="1"/>
    <n v="78204"/>
    <x v="149"/>
    <x v="28"/>
    <s v="27.08.2021 11:33:14"/>
    <x v="6"/>
    <s v="продажа, комиссия"/>
    <x v="28"/>
    <s v="Основной договор"/>
    <m/>
    <m/>
    <m/>
    <m/>
    <s v="Positive"/>
    <n v="78204"/>
  </r>
  <r>
    <x v="2"/>
    <n v="73"/>
    <m/>
    <d v="2021-08-27T00:00:00"/>
    <d v="2021-11-08T11:34:04"/>
    <n v="-55.48199074074364"/>
    <x v="5"/>
    <x v="4"/>
    <s v="Сток Dr.Martens"/>
    <x v="4"/>
    <n v="53424"/>
    <x v="150"/>
    <x v="28"/>
    <s v="27.08.2021 11:34:04"/>
    <x v="8"/>
    <s v="продажа, комиссия"/>
    <x v="28"/>
    <s v="Основной договор"/>
    <m/>
    <m/>
    <m/>
    <m/>
    <s v="Positive"/>
    <n v="53424"/>
  </r>
  <r>
    <x v="2"/>
    <n v="73"/>
    <m/>
    <d v="2021-08-27T00:00:00"/>
    <d v="2021-11-08T11:35:03"/>
    <n v="-55.482673611113569"/>
    <x v="5"/>
    <x v="4"/>
    <s v="Сток Dr.Martens"/>
    <x v="4"/>
    <n v="30480"/>
    <x v="151"/>
    <x v="28"/>
    <s v="27.08.2021 11:35:03"/>
    <x v="8"/>
    <s v="продажа, комиссия"/>
    <x v="28"/>
    <s v="Основной договор"/>
    <m/>
    <m/>
    <m/>
    <m/>
    <s v="Positive"/>
    <n v="30480"/>
  </r>
  <r>
    <x v="0"/>
    <n v="0"/>
    <m/>
    <d v="2021-08-27T00:00:00"/>
    <d v="2021-08-27T17:00:00"/>
    <n v="17.291666666664241"/>
    <x v="0"/>
    <x v="0"/>
    <s v="Сток Converse"/>
    <x v="1"/>
    <n v="-245.97"/>
    <x v="152"/>
    <x v="30"/>
    <s v="27.08.2021 17:00:00"/>
    <x v="1"/>
    <s v="Оплата от покупателя"/>
    <x v="30"/>
    <s v="Основной договор"/>
    <m/>
    <m/>
    <m/>
    <m/>
    <s v="Negative"/>
    <n v="-245.97"/>
  </r>
  <r>
    <x v="0"/>
    <n v="0"/>
    <m/>
    <d v="2021-08-27T00:00:00"/>
    <d v="2021-08-27T17:00:00"/>
    <n v="17.291666666664241"/>
    <x v="0"/>
    <x v="0"/>
    <s v="Сток Havaianas"/>
    <x v="5"/>
    <n v="-869.5"/>
    <x v="153"/>
    <x v="31"/>
    <s v="27.08.2021 17:00:00"/>
    <x v="10"/>
    <s v="Оплата от покупателя"/>
    <x v="31"/>
    <s v="№429/2020 от 22.06.2020"/>
    <m/>
    <m/>
    <m/>
    <m/>
    <s v="Negative"/>
    <n v="-869.5"/>
  </r>
  <r>
    <x v="3"/>
    <n v="45"/>
    <m/>
    <d v="2021-08-31T00:00:00"/>
    <d v="2021-10-15T14:48:58"/>
    <n v="-31.617337962961756"/>
    <x v="5"/>
    <x v="4"/>
    <s v="Сток Converse"/>
    <x v="1"/>
    <n v="32647.66"/>
    <x v="154"/>
    <x v="22"/>
    <s v="31.08.2021 14:48:58"/>
    <x v="1"/>
    <m/>
    <x v="22"/>
    <s v="№429/2020 от 22.06.2020"/>
    <m/>
    <m/>
    <m/>
    <m/>
    <s v="Positive"/>
    <n v="32647.66"/>
  </r>
  <r>
    <x v="3"/>
    <n v="45"/>
    <m/>
    <d v="2021-08-31T00:00:00"/>
    <d v="2021-10-15T14:49:46"/>
    <n v="-31.617893518516212"/>
    <x v="5"/>
    <x v="4"/>
    <s v="Сток Dr.Martens"/>
    <x v="4"/>
    <n v="12623"/>
    <x v="155"/>
    <x v="22"/>
    <s v="31.08.2021 14:49:46"/>
    <x v="8"/>
    <m/>
    <x v="22"/>
    <s v="№ 236/2015 от 27.04.2015"/>
    <m/>
    <m/>
    <m/>
    <m/>
    <s v="Positive"/>
    <n v="12623"/>
  </r>
  <r>
    <x v="3"/>
    <n v="45"/>
    <m/>
    <d v="2021-08-31T00:00:00"/>
    <d v="2021-10-15T14:50:46"/>
    <n v="-31.61858796296292"/>
    <x v="5"/>
    <x v="4"/>
    <s v="Сток Saucony"/>
    <x v="3"/>
    <n v="112767.7"/>
    <x v="156"/>
    <x v="22"/>
    <s v="31.08.2021 14:50:46"/>
    <x v="3"/>
    <m/>
    <x v="22"/>
    <s v="№429/2020 от 22.06.2020"/>
    <m/>
    <m/>
    <m/>
    <m/>
    <s v="Positive"/>
    <n v="112767.7"/>
  </r>
  <r>
    <x v="3"/>
    <n v="45"/>
    <m/>
    <d v="2021-08-31T00:00:00"/>
    <d v="2021-10-15T14:51:32"/>
    <n v="-31.619120370371093"/>
    <x v="5"/>
    <x v="4"/>
    <s v="Сток UGG"/>
    <x v="2"/>
    <n v="119944.8"/>
    <x v="157"/>
    <x v="22"/>
    <s v="31.08.2021 14:51:32"/>
    <x v="2"/>
    <m/>
    <x v="22"/>
    <s v="№429/2020 от 22.06.2020"/>
    <m/>
    <m/>
    <m/>
    <m/>
    <s v="Positive"/>
    <n v="119944.8"/>
  </r>
  <r>
    <x v="3"/>
    <n v="38"/>
    <m/>
    <d v="2021-08-31T00:00:00"/>
    <d v="2021-10-08T16:10:41"/>
    <n v="-24.674085648148321"/>
    <x v="5"/>
    <x v="4"/>
    <s v="Сток Saucony"/>
    <x v="3"/>
    <n v="1509504.37"/>
    <x v="158"/>
    <x v="13"/>
    <s v="31.08.2021 16:10:41"/>
    <x v="3"/>
    <m/>
    <x v="27"/>
    <s v="№429/2020 от 22.06.2020"/>
    <m/>
    <m/>
    <m/>
    <m/>
    <s v="Positive"/>
    <n v="1509504.37"/>
  </r>
  <r>
    <x v="3"/>
    <n v="38"/>
    <m/>
    <d v="2021-08-31T00:00:00"/>
    <d v="2021-10-08T16:14:22"/>
    <n v="-24.676643518519995"/>
    <x v="5"/>
    <x v="4"/>
    <s v="Сток Havaianas"/>
    <x v="5"/>
    <n v="548708.49"/>
    <x v="159"/>
    <x v="13"/>
    <s v="31.08.2021 16:14:22"/>
    <x v="10"/>
    <m/>
    <x v="27"/>
    <s v="№429/2020 от 22.06.2020"/>
    <m/>
    <m/>
    <m/>
    <m/>
    <s v="Positive"/>
    <n v="548708.49"/>
  </r>
  <r>
    <x v="3"/>
    <n v="38"/>
    <m/>
    <d v="2021-08-31T00:00:00"/>
    <d v="2021-10-08T16:30:46"/>
    <n v="-24.688032407408173"/>
    <x v="5"/>
    <x v="4"/>
    <s v="Сток Converse"/>
    <x v="1"/>
    <n v="7064949.4800000004"/>
    <x v="160"/>
    <x v="13"/>
    <s v="31.08.2021 16:30:46"/>
    <x v="1"/>
    <m/>
    <x v="27"/>
    <s v="Договор №032/2012 от 01 марта 2012"/>
    <m/>
    <m/>
    <m/>
    <m/>
    <s v="Positive"/>
    <n v="7064949.4800000004"/>
  </r>
  <r>
    <x v="3"/>
    <n v="38"/>
    <m/>
    <d v="2021-08-31T00:00:00"/>
    <d v="2021-10-08T16:35:09"/>
    <n v="-24.691076388888177"/>
    <x v="5"/>
    <x v="4"/>
    <s v="Сток Converse"/>
    <x v="1"/>
    <n v="58791.37"/>
    <x v="161"/>
    <x v="13"/>
    <s v="31.08.2021 16:35:09"/>
    <x v="1"/>
    <m/>
    <x v="27"/>
    <s v="№429/2020 от 22.06.2020"/>
    <m/>
    <m/>
    <m/>
    <m/>
    <s v="Positive"/>
    <n v="58791.37"/>
  </r>
  <r>
    <x v="3"/>
    <n v="38"/>
    <m/>
    <d v="2021-08-31T00:00:00"/>
    <d v="2021-10-08T16:46:33"/>
    <n v="-24.698993055557366"/>
    <x v="5"/>
    <x v="4"/>
    <s v="Сток Havaianas"/>
    <x v="5"/>
    <n v="67841.850000000006"/>
    <x v="162"/>
    <x v="13"/>
    <s v="31.08.2021 16:46:33"/>
    <x v="10"/>
    <m/>
    <x v="27"/>
    <s v="№429/2020 от 22.06.2020"/>
    <m/>
    <m/>
    <m/>
    <m/>
    <s v="Positive"/>
    <n v="67841.850000000006"/>
  </r>
  <r>
    <x v="3"/>
    <n v="38"/>
    <m/>
    <d v="2021-08-31T00:00:00"/>
    <d v="2021-10-08T17:08:57"/>
    <n v="-24.71454861111124"/>
    <x v="5"/>
    <x v="4"/>
    <s v="Сток Havaianas"/>
    <x v="5"/>
    <n v="29488.71"/>
    <x v="163"/>
    <x v="13"/>
    <s v="31.08.2021 17:08:57"/>
    <x v="10"/>
    <m/>
    <x v="27"/>
    <s v="№429/2020 от 22.06.2020"/>
    <m/>
    <m/>
    <m/>
    <m/>
    <s v="Positive"/>
    <n v="29488.71"/>
  </r>
  <r>
    <x v="3"/>
    <n v="38"/>
    <m/>
    <d v="2021-08-31T00:00:00"/>
    <d v="2021-10-08T17:43:09"/>
    <n v="-24.738298611111531"/>
    <x v="5"/>
    <x v="4"/>
    <s v="Сток Saucony"/>
    <x v="3"/>
    <n v="153970.73000000001"/>
    <x v="164"/>
    <x v="13"/>
    <s v="31.08.2021 17:43:09"/>
    <x v="3"/>
    <m/>
    <x v="27"/>
    <s v="№429/2020 от 22.06.2020"/>
    <m/>
    <m/>
    <m/>
    <m/>
    <s v="Positive"/>
    <n v="153970.73000000001"/>
  </r>
  <r>
    <x v="3"/>
    <n v="38"/>
    <m/>
    <d v="2021-08-31T00:00:00"/>
    <d v="2021-10-08T17:57:34"/>
    <n v="-24.748310185183072"/>
    <x v="5"/>
    <x v="4"/>
    <s v="Сток Saucony"/>
    <x v="3"/>
    <n v="78844.87"/>
    <x v="165"/>
    <x v="13"/>
    <s v="31.08.2021 17:57:34"/>
    <x v="3"/>
    <m/>
    <x v="27"/>
    <s v="Договор №032/2012 от 01 марта 2012"/>
    <m/>
    <m/>
    <m/>
    <m/>
    <s v="Positive"/>
    <n v="78844.87"/>
  </r>
  <r>
    <x v="2"/>
    <n v="65"/>
    <m/>
    <d v="2021-09-01T00:00:00"/>
    <d v="2021-11-05T00:00:00"/>
    <n v="-52"/>
    <x v="0"/>
    <x v="0"/>
    <s v="Сток Dr.Martens"/>
    <x v="4"/>
    <n v="-35978.400000000001"/>
    <x v="166"/>
    <x v="10"/>
    <s v="01.09.2021 0:00:00"/>
    <x v="8"/>
    <s v="продажа, комиссия"/>
    <x v="10"/>
    <s v="№ 283/2016 от 18.05.2016"/>
    <m/>
    <m/>
    <m/>
    <m/>
    <s v="Negative"/>
    <n v="-35978.400000000001"/>
  </r>
  <r>
    <x v="2"/>
    <n v="65"/>
    <m/>
    <d v="2021-09-01T00:00:00"/>
    <d v="2021-11-05T00:00:00"/>
    <n v="-52"/>
    <x v="5"/>
    <x v="4"/>
    <s v="Dr.Martens"/>
    <x v="4"/>
    <n v="6174630"/>
    <x v="167"/>
    <x v="10"/>
    <s v="01.09.2021 0:00:00"/>
    <x v="9"/>
    <s v="продажа, комиссия"/>
    <x v="10"/>
    <s v="Договор №032/2012 от 01 марта 2012"/>
    <m/>
    <m/>
    <m/>
    <m/>
    <s v="Positive"/>
    <n v="6174630"/>
  </r>
  <r>
    <x v="2"/>
    <n v="65"/>
    <m/>
    <d v="2021-09-01T00:00:00"/>
    <d v="2021-11-05T00:00:00"/>
    <n v="-52"/>
    <x v="5"/>
    <x v="4"/>
    <s v="Dr.Martens"/>
    <x v="4"/>
    <n v="4907385"/>
    <x v="168"/>
    <x v="10"/>
    <s v="01.09.2021 0:00:00"/>
    <x v="9"/>
    <s v="продажа, комиссия"/>
    <x v="10"/>
    <s v="418/2020 от 10.02.20"/>
    <m/>
    <m/>
    <m/>
    <m/>
    <s v="Positive"/>
    <n v="4907385"/>
  </r>
  <r>
    <x v="2"/>
    <n v="65"/>
    <m/>
    <d v="2021-09-01T00:00:00"/>
    <d v="2021-11-05T00:00:00"/>
    <n v="-52"/>
    <x v="5"/>
    <x v="4"/>
    <s v="Сток Converse"/>
    <x v="1"/>
    <n v="100080"/>
    <x v="169"/>
    <x v="10"/>
    <s v="01.09.2021 0:00:00"/>
    <x v="1"/>
    <s v="продажа, комиссия"/>
    <x v="32"/>
    <s v="418/2020 от 10.02.20"/>
    <m/>
    <m/>
    <m/>
    <m/>
    <s v="Positive"/>
    <n v="100080"/>
  </r>
  <r>
    <x v="2"/>
    <n v="65"/>
    <m/>
    <d v="2021-09-01T00:00:00"/>
    <d v="2021-11-05T00:00:00"/>
    <n v="-52"/>
    <x v="5"/>
    <x v="4"/>
    <s v="Сток Converse"/>
    <x v="1"/>
    <n v="459495"/>
    <x v="170"/>
    <x v="10"/>
    <s v="01.09.2021 0:00:00"/>
    <x v="1"/>
    <s v="продажа, комиссия"/>
    <x v="10"/>
    <s v="№ 385/2019 от 27.05.2019"/>
    <m/>
    <m/>
    <m/>
    <m/>
    <s v="Positive"/>
    <n v="459495"/>
  </r>
  <r>
    <x v="2"/>
    <n v="65"/>
    <m/>
    <d v="2021-09-01T00:00:00"/>
    <d v="2021-11-05T00:00:00"/>
    <n v="-52"/>
    <x v="5"/>
    <x v="4"/>
    <s v="Сток Converse"/>
    <x v="1"/>
    <n v="711990"/>
    <x v="171"/>
    <x v="10"/>
    <s v="01.09.2021 0:00:00"/>
    <x v="1"/>
    <s v="продажа, комиссия"/>
    <x v="10"/>
    <s v="Договор №032/2012 от 01 марта 2012"/>
    <m/>
    <m/>
    <m/>
    <m/>
    <s v="Positive"/>
    <n v="711990"/>
  </r>
  <r>
    <x v="2"/>
    <n v="95"/>
    <m/>
    <d v="2021-09-02T00:00:00"/>
    <d v="2021-12-06T14:14:41"/>
    <n v="-83.593530092592118"/>
    <x v="5"/>
    <x v="4"/>
    <s v="Dr.Martens"/>
    <x v="4"/>
    <n v="424800"/>
    <x v="172"/>
    <x v="21"/>
    <s v="02.09.2021 14:14:41"/>
    <x v="9"/>
    <s v="продажа, комиссия"/>
    <x v="21"/>
    <s v="061/2012 от 15 июня 2012"/>
    <m/>
    <m/>
    <m/>
    <m/>
    <s v="Positive"/>
    <n v="424800"/>
  </r>
  <r>
    <x v="2"/>
    <n v="95"/>
    <m/>
    <d v="2021-09-02T00:00:00"/>
    <d v="2021-12-06T14:19:06"/>
    <n v="-83.596597222225682"/>
    <x v="5"/>
    <x v="4"/>
    <s v="Dr.Martens"/>
    <x v="4"/>
    <n v="424800"/>
    <x v="173"/>
    <x v="21"/>
    <s v="02.09.2021 14:19:06"/>
    <x v="9"/>
    <s v="продажа, комиссия"/>
    <x v="21"/>
    <s v="№ 236/2015 от 27.04.2015"/>
    <m/>
    <m/>
    <m/>
    <m/>
    <s v="Positive"/>
    <n v="424800"/>
  </r>
  <r>
    <x v="2"/>
    <n v="95"/>
    <m/>
    <d v="2021-09-02T00:00:00"/>
    <d v="2021-12-06T14:20:40"/>
    <n v="-83.597685185188311"/>
    <x v="5"/>
    <x v="4"/>
    <s v="Converse"/>
    <x v="1"/>
    <n v="153144"/>
    <x v="174"/>
    <x v="21"/>
    <s v="02.09.2021 14:20:40"/>
    <x v="6"/>
    <s v="продажа, комиссия"/>
    <x v="21"/>
    <s v="№ 236/2015 от 27.04.2015"/>
    <m/>
    <m/>
    <m/>
    <m/>
    <s v="Positive"/>
    <n v="153144"/>
  </r>
  <r>
    <x v="0"/>
    <n v="0"/>
    <m/>
    <d v="2021-09-02T00:00:00"/>
    <d v="2021-09-02T17:00:00"/>
    <n v="11.291666666664241"/>
    <x v="0"/>
    <x v="0"/>
    <s v="Сток UGG"/>
    <x v="2"/>
    <n v="-36451"/>
    <x v="175"/>
    <x v="32"/>
    <s v="02.09.2021 17:00:00"/>
    <x v="2"/>
    <s v="Оплата от покупателя"/>
    <x v="33"/>
    <s v="№ 236/2015 от 27.04.2015"/>
    <m/>
    <m/>
    <m/>
    <m/>
    <s v="Negative"/>
    <n v="-36451"/>
  </r>
  <r>
    <x v="2"/>
    <n v="73"/>
    <m/>
    <d v="2021-09-03T00:00:00"/>
    <d v="2021-11-15T14:43:02"/>
    <n v="-62.613217592595902"/>
    <x v="5"/>
    <x v="4"/>
    <s v="Сток Converse"/>
    <x v="1"/>
    <n v="60074"/>
    <x v="176"/>
    <x v="28"/>
    <s v="03.09.2021 14:43:02"/>
    <x v="1"/>
    <s v="продажа, комиссия"/>
    <x v="28"/>
    <s v="№149/2013 От 01.10.2013"/>
    <m/>
    <m/>
    <m/>
    <m/>
    <s v="Positive"/>
    <n v="60074"/>
  </r>
  <r>
    <x v="2"/>
    <n v="73"/>
    <m/>
    <d v="2021-09-03T00:00:00"/>
    <d v="2021-11-15T14:46:06"/>
    <n v="-62.615347222221317"/>
    <x v="5"/>
    <x v="4"/>
    <s v="Converse"/>
    <x v="1"/>
    <n v="18228"/>
    <x v="177"/>
    <x v="28"/>
    <s v="03.09.2021 14:46:06"/>
    <x v="6"/>
    <s v="продажа, комиссия"/>
    <x v="28"/>
    <s v="ИР-П 215/15 от 21.04.2015"/>
    <m/>
    <m/>
    <m/>
    <m/>
    <s v="Positive"/>
    <n v="18228"/>
  </r>
  <r>
    <x v="2"/>
    <n v="73"/>
    <m/>
    <d v="2021-09-03T00:00:00"/>
    <d v="2021-11-15T14:46:44"/>
    <n v="-62.61578703703708"/>
    <x v="5"/>
    <x v="4"/>
    <s v="Dr.Martens"/>
    <x v="4"/>
    <n v="63504"/>
    <x v="178"/>
    <x v="28"/>
    <s v="03.09.2021 14:46:44"/>
    <x v="9"/>
    <s v="продажа, комиссия"/>
    <x v="28"/>
    <s v="061/2012 от 15 июня 2012"/>
    <m/>
    <m/>
    <m/>
    <m/>
    <s v="Positive"/>
    <n v="63504"/>
  </r>
  <r>
    <x v="2"/>
    <n v="19"/>
    <m/>
    <d v="2021-09-03T00:00:00"/>
    <d v="2021-09-22T17:07:43"/>
    <n v="-8.713692129625997"/>
    <x v="5"/>
    <x v="4"/>
    <s v="UGG"/>
    <x v="2"/>
    <n v="11596614"/>
    <x v="179"/>
    <x v="33"/>
    <s v="03.09.2021 17:07:43"/>
    <x v="5"/>
    <s v="продажа, комиссия"/>
    <x v="34"/>
    <s v="№452/2021 от 03.03.21"/>
    <m/>
    <m/>
    <m/>
    <m/>
    <s v="Positive"/>
    <n v="11596614"/>
  </r>
  <r>
    <x v="2"/>
    <n v="19"/>
    <m/>
    <d v="2021-09-03T00:00:00"/>
    <d v="2021-09-22T17:09:58"/>
    <n v="-8.7152546296274522"/>
    <x v="5"/>
    <x v="4"/>
    <s v="UGG"/>
    <x v="2"/>
    <n v="2521920"/>
    <x v="180"/>
    <x v="33"/>
    <s v="03.09.2021 17:09:58"/>
    <x v="5"/>
    <s v="продажа, комиссия"/>
    <x v="34"/>
    <s v="№ 342/2018 от 01.06.18"/>
    <m/>
    <m/>
    <m/>
    <m/>
    <s v="Positive"/>
    <n v="2521920"/>
  </r>
  <r>
    <x v="2"/>
    <n v="19"/>
    <m/>
    <d v="2021-09-03T00:00:00"/>
    <d v="2021-09-22T17:11:00"/>
    <n v="-8.7159722222204437"/>
    <x v="5"/>
    <x v="4"/>
    <s v="UGG"/>
    <x v="2"/>
    <n v="2180706"/>
    <x v="181"/>
    <x v="33"/>
    <s v="03.09.2021 17:11:00"/>
    <x v="5"/>
    <s v="продажа, комиссия"/>
    <x v="34"/>
    <s v="№ К 130-04-20 от 7 мая 2020 г."/>
    <m/>
    <m/>
    <m/>
    <m/>
    <s v="Positive"/>
    <n v="2180706"/>
  </r>
  <r>
    <x v="2"/>
    <n v="65"/>
    <m/>
    <d v="2021-09-03T00:00:00"/>
    <d v="2021-11-07T17:31:46"/>
    <n v="-54.730393518519122"/>
    <x v="5"/>
    <x v="4"/>
    <s v="UGG"/>
    <x v="2"/>
    <n v="78432"/>
    <x v="182"/>
    <x v="7"/>
    <s v="03.09.2021 17:31:46"/>
    <x v="5"/>
    <s v="продажа, комиссия"/>
    <x v="7"/>
    <s v="№ К 130-04-20 от 7 мая 2020 г."/>
    <m/>
    <m/>
    <m/>
    <m/>
    <s v="Positive"/>
    <n v="78432"/>
  </r>
  <r>
    <x v="2"/>
    <n v="65"/>
    <m/>
    <d v="2021-09-03T00:00:00"/>
    <d v="2021-11-07T17:33:14"/>
    <n v="-54.731412037035625"/>
    <x v="5"/>
    <x v="4"/>
    <s v="UGG"/>
    <x v="2"/>
    <n v="707104"/>
    <x v="183"/>
    <x v="7"/>
    <s v="03.09.2021 17:33:14"/>
    <x v="5"/>
    <s v="продажа, комиссия"/>
    <x v="7"/>
    <s v="№ К 130-04-20 от 7 мая 2020 г."/>
    <m/>
    <m/>
    <m/>
    <m/>
    <s v="Positive"/>
    <n v="707104"/>
  </r>
  <r>
    <x v="2"/>
    <n v="65"/>
    <m/>
    <d v="2021-09-03T00:00:00"/>
    <d v="2021-11-07T17:34:35"/>
    <n v="-54.732349537036498"/>
    <x v="5"/>
    <x v="4"/>
    <s v="UGG"/>
    <x v="2"/>
    <n v="570874"/>
    <x v="184"/>
    <x v="7"/>
    <s v="03.09.2021 17:34:35"/>
    <x v="5"/>
    <s v="продажа, комиссия"/>
    <x v="7"/>
    <s v="№ К 130-04-20 от 7 мая 2020 г."/>
    <m/>
    <m/>
    <m/>
    <m/>
    <s v="Positive"/>
    <n v="570874"/>
  </r>
  <r>
    <x v="2"/>
    <n v="65"/>
    <m/>
    <d v="2021-09-03T00:00:00"/>
    <d v="2021-11-07T17:37:04"/>
    <n v="-54.734074074076489"/>
    <x v="5"/>
    <x v="4"/>
    <s v="UGG"/>
    <x v="2"/>
    <n v="761064"/>
    <x v="185"/>
    <x v="7"/>
    <s v="03.09.2021 17:37:04"/>
    <x v="5"/>
    <s v="продажа, комиссия"/>
    <x v="7"/>
    <s v="Оферта"/>
    <m/>
    <m/>
    <m/>
    <m/>
    <s v="Positive"/>
    <n v="761064"/>
  </r>
  <r>
    <x v="2"/>
    <n v="65"/>
    <m/>
    <d v="2021-09-03T00:00:00"/>
    <d v="2021-11-07T17:39:09"/>
    <n v="-54.735520833331975"/>
    <x v="5"/>
    <x v="4"/>
    <s v="UGG"/>
    <x v="2"/>
    <n v="509580"/>
    <x v="186"/>
    <x v="7"/>
    <s v="03.09.2021 17:39:09"/>
    <x v="5"/>
    <s v="продажа, комиссия"/>
    <x v="7"/>
    <s v="Оферта"/>
    <m/>
    <m/>
    <m/>
    <m/>
    <s v="Positive"/>
    <n v="509580"/>
  </r>
  <r>
    <x v="2"/>
    <n v="65"/>
    <m/>
    <d v="2021-09-03T00:00:00"/>
    <d v="2021-11-07T17:40:00"/>
    <n v="-54.736111111109494"/>
    <x v="5"/>
    <x v="4"/>
    <s v="UGG"/>
    <x v="2"/>
    <n v="169860"/>
    <x v="187"/>
    <x v="7"/>
    <s v="03.09.2021 17:40:00"/>
    <x v="5"/>
    <s v="продажа, комиссия"/>
    <x v="7"/>
    <s v="Оферта"/>
    <m/>
    <m/>
    <m/>
    <m/>
    <s v="Positive"/>
    <n v="169860"/>
  </r>
  <r>
    <x v="2"/>
    <n v="65"/>
    <m/>
    <d v="2021-09-03T00:00:00"/>
    <d v="2021-11-07T17:41:20"/>
    <n v="-54.737037037033588"/>
    <x v="5"/>
    <x v="4"/>
    <s v="UGG"/>
    <x v="2"/>
    <n v="490428"/>
    <x v="188"/>
    <x v="7"/>
    <s v="03.09.2021 17:41:20"/>
    <x v="5"/>
    <s v="продажа, комиссия"/>
    <x v="7"/>
    <s v="Оферта"/>
    <m/>
    <m/>
    <m/>
    <m/>
    <s v="Positive"/>
    <n v="490428"/>
  </r>
  <r>
    <x v="2"/>
    <n v="65"/>
    <m/>
    <d v="2021-09-03T00:00:00"/>
    <d v="2021-11-07T17:49:57"/>
    <n v="-54.743020833331684"/>
    <x v="5"/>
    <x v="4"/>
    <s v="UGG"/>
    <x v="2"/>
    <n v="549860"/>
    <x v="189"/>
    <x v="7"/>
    <s v="03.09.2021 17:49:57"/>
    <x v="5"/>
    <s v="продажа, комиссия"/>
    <x v="7"/>
    <s v="№ 236/2015 от 27.04.2015"/>
    <m/>
    <m/>
    <m/>
    <m/>
    <s v="Positive"/>
    <n v="549860"/>
  </r>
  <r>
    <x v="2"/>
    <n v="65"/>
    <m/>
    <d v="2021-09-03T00:00:00"/>
    <d v="2021-11-07T17:52:34"/>
    <n v="-54.744837962964084"/>
    <x v="5"/>
    <x v="4"/>
    <s v="UGG"/>
    <x v="2"/>
    <n v="1181648"/>
    <x v="190"/>
    <x v="7"/>
    <s v="03.09.2021 17:52:34"/>
    <x v="5"/>
    <s v="продажа, комиссия"/>
    <x v="7"/>
    <s v="№ 236/2015 от 27.04.2015"/>
    <m/>
    <m/>
    <m/>
    <m/>
    <s v="Positive"/>
    <n v="1181648"/>
  </r>
  <r>
    <x v="2"/>
    <n v="19"/>
    <m/>
    <d v="2021-09-06T00:00:00"/>
    <d v="2021-09-25T10:25:41"/>
    <n v="-11.434502314812562"/>
    <x v="5"/>
    <x v="4"/>
    <s v="Dr.Martens"/>
    <x v="4"/>
    <n v="15368340"/>
    <x v="191"/>
    <x v="33"/>
    <s v="06.09.2021 10:25:41"/>
    <x v="9"/>
    <s v="продажа, комиссия"/>
    <x v="34"/>
    <s v="№429/2020 от 22.06.2020"/>
    <m/>
    <m/>
    <m/>
    <m/>
    <s v="Positive"/>
    <n v="15368340"/>
  </r>
  <r>
    <x v="2"/>
    <n v="35"/>
    <m/>
    <d v="2021-09-06T00:00:00"/>
    <d v="2021-10-11T12:43:36"/>
    <n v="-27.530277777776064"/>
    <x v="5"/>
    <x v="4"/>
    <s v="Converse"/>
    <x v="1"/>
    <n v="940525"/>
    <x v="192"/>
    <x v="34"/>
    <s v="06.09.2021 12:43:36"/>
    <x v="6"/>
    <s v="продажа, комиссия"/>
    <x v="11"/>
    <s v="№429/2020 от 22.06.2020"/>
    <m/>
    <m/>
    <m/>
    <m/>
    <s v="Positive"/>
    <n v="940525"/>
  </r>
  <r>
    <x v="2"/>
    <n v="65"/>
    <m/>
    <d v="2021-09-06T00:00:00"/>
    <d v="2021-11-10T17:21:03"/>
    <n v="-57.72295138888876"/>
    <x v="5"/>
    <x v="4"/>
    <s v="Dr.Martens"/>
    <x v="4"/>
    <n v="2008682"/>
    <x v="193"/>
    <x v="15"/>
    <s v="06.09.2021 17:21:03"/>
    <x v="9"/>
    <s v="продажа, комиссия"/>
    <x v="15"/>
    <s v="№429/2020 от 22.06.2020"/>
    <m/>
    <m/>
    <m/>
    <m/>
    <s v="Positive"/>
    <n v="2008682"/>
  </r>
  <r>
    <x v="2"/>
    <n v="65"/>
    <m/>
    <d v="2021-09-06T00:00:00"/>
    <d v="2021-11-10T19:49:41"/>
    <n v="-57.826168981482624"/>
    <x v="5"/>
    <x v="4"/>
    <s v="Dr.Martens"/>
    <x v="4"/>
    <n v="821192"/>
    <x v="194"/>
    <x v="15"/>
    <s v="06.09.2021 19:49:41"/>
    <x v="9"/>
    <s v="продажа, комиссия"/>
    <x v="15"/>
    <s v="№429/2020 от 22.06.2020"/>
    <m/>
    <m/>
    <m/>
    <m/>
    <s v="Positive"/>
    <n v="821192"/>
  </r>
  <r>
    <x v="2"/>
    <n v="65"/>
    <m/>
    <d v="2021-09-06T00:00:00"/>
    <d v="2021-11-10T19:52:42"/>
    <n v="-57.828263888892252"/>
    <x v="5"/>
    <x v="4"/>
    <s v="Dr.Martens"/>
    <x v="4"/>
    <n v="601956"/>
    <x v="195"/>
    <x v="15"/>
    <s v="06.09.2021 19:52:42"/>
    <x v="9"/>
    <s v="продажа, комиссия"/>
    <x v="15"/>
    <s v="Договор № 195/2014 от 01.08.2014"/>
    <m/>
    <m/>
    <m/>
    <m/>
    <s v="Positive"/>
    <n v="601956"/>
  </r>
  <r>
    <x v="0"/>
    <n v="0"/>
    <m/>
    <d v="2021-09-07T00:00:00"/>
    <d v="2021-09-07T17:00:00"/>
    <n v="6.2916666666642413"/>
    <x v="0"/>
    <x v="0"/>
    <s v="Converse"/>
    <x v="1"/>
    <n v="-6650"/>
    <x v="196"/>
    <x v="35"/>
    <s v="07.09.2021 17:00:00"/>
    <x v="6"/>
    <s v="Оплата от покупателя"/>
    <x v="35"/>
    <s v="№ 236/2015 от 27.04.2015"/>
    <m/>
    <m/>
    <m/>
    <m/>
    <s v="Negative"/>
    <n v="-6650"/>
  </r>
  <r>
    <x v="2"/>
    <n v="73"/>
    <m/>
    <d v="2021-09-09T00:00:00"/>
    <d v="2021-11-21T00:00:00"/>
    <n v="-68"/>
    <x v="5"/>
    <x v="4"/>
    <s v="Converse"/>
    <x v="1"/>
    <n v="78400"/>
    <x v="197"/>
    <x v="28"/>
    <s v="09.09.2021 0:00:00"/>
    <x v="6"/>
    <s v="продажа, комиссия"/>
    <x v="28"/>
    <s v="№429/2020 от 22.06.2020"/>
    <m/>
    <m/>
    <m/>
    <m/>
    <s v="Positive"/>
    <n v="78400"/>
  </r>
  <r>
    <x v="2"/>
    <n v="65"/>
    <m/>
    <d v="2021-09-09T00:00:00"/>
    <d v="2021-11-13T11:50:22"/>
    <n v="-60.493310185185692"/>
    <x v="5"/>
    <x v="4"/>
    <s v="Converse"/>
    <x v="1"/>
    <n v="546872.06999999995"/>
    <x v="198"/>
    <x v="25"/>
    <s v="09.09.2021 11:50:22"/>
    <x v="6"/>
    <s v="продажа, комиссия"/>
    <x v="25"/>
    <s v="№429/2020 от 22.06.2020"/>
    <m/>
    <m/>
    <m/>
    <m/>
    <s v="Positive"/>
    <n v="546872.06999999995"/>
  </r>
  <r>
    <x v="2"/>
    <n v="65"/>
    <m/>
    <d v="2021-09-09T00:00:00"/>
    <d v="2021-11-13T12:11:50"/>
    <n v="-60.5082175925927"/>
    <x v="5"/>
    <x v="4"/>
    <s v="Dr.Martens"/>
    <x v="4"/>
    <n v="8322"/>
    <x v="199"/>
    <x v="25"/>
    <s v="09.09.2021 12:11:50"/>
    <x v="9"/>
    <s v="продажа, комиссия"/>
    <x v="25"/>
    <s v="№429/2020 от 22.06.2020"/>
    <m/>
    <m/>
    <m/>
    <m/>
    <s v="Positive"/>
    <n v="8322"/>
  </r>
  <r>
    <x v="2"/>
    <n v="65"/>
    <m/>
    <d v="2021-09-09T00:00:00"/>
    <d v="2021-11-13T12:12:36"/>
    <n v="-60.508750000000873"/>
    <x v="5"/>
    <x v="4"/>
    <s v="Сток Dr.Martens"/>
    <x v="4"/>
    <n v="10800"/>
    <x v="200"/>
    <x v="25"/>
    <s v="09.09.2021 12:12:36"/>
    <x v="8"/>
    <s v="продажа, комиссия"/>
    <x v="25"/>
    <s v="№429/2020 от 22.06.2020"/>
    <m/>
    <m/>
    <m/>
    <m/>
    <s v="Positive"/>
    <n v="10800"/>
  </r>
  <r>
    <x v="2"/>
    <n v="73"/>
    <m/>
    <d v="2021-09-09T00:00:00"/>
    <d v="2021-11-21T12:47:05"/>
    <n v="-68.532696759262762"/>
    <x v="5"/>
    <x v="4"/>
    <s v="Converse"/>
    <x v="1"/>
    <n v="93296"/>
    <x v="201"/>
    <x v="28"/>
    <s v="09.09.2021 12:47:05"/>
    <x v="6"/>
    <s v="продажа, комиссия"/>
    <x v="28"/>
    <s v="№429/2020 от 22.06.2020"/>
    <m/>
    <m/>
    <m/>
    <m/>
    <s v="Positive"/>
    <n v="93296"/>
  </r>
  <r>
    <x v="2"/>
    <n v="73"/>
    <m/>
    <d v="2021-09-09T00:00:00"/>
    <d v="2021-11-21T13:40:59"/>
    <n v="-68.570127314815181"/>
    <x v="5"/>
    <x v="4"/>
    <s v="Saucony"/>
    <x v="3"/>
    <n v="49784"/>
    <x v="202"/>
    <x v="28"/>
    <s v="09.09.2021 13:40:59"/>
    <x v="7"/>
    <s v="продажа, комиссия"/>
    <x v="28"/>
    <s v="№ 342/2018 от 01.06.18"/>
    <m/>
    <m/>
    <m/>
    <m/>
    <s v="Positive"/>
    <n v="49784"/>
  </r>
  <r>
    <x v="2"/>
    <n v="73"/>
    <m/>
    <d v="2021-09-09T00:00:00"/>
    <d v="2021-11-21T13:42:42"/>
    <n v="-68.571319444446999"/>
    <x v="5"/>
    <x v="4"/>
    <s v="Dr.Martens"/>
    <x v="4"/>
    <n v="166128"/>
    <x v="203"/>
    <x v="28"/>
    <s v="09.09.2021 13:42:42"/>
    <x v="9"/>
    <s v="продажа, комиссия"/>
    <x v="28"/>
    <s v="№452/2021 от 03.03.21"/>
    <m/>
    <m/>
    <m/>
    <m/>
    <s v="Positive"/>
    <n v="166128"/>
  </r>
  <r>
    <x v="2"/>
    <n v="73"/>
    <m/>
    <d v="2021-09-09T00:00:00"/>
    <d v="2021-11-21T13:43:56"/>
    <n v="-68.572175925924967"/>
    <x v="5"/>
    <x v="4"/>
    <s v="Сток Converse"/>
    <x v="1"/>
    <n v="71883"/>
    <x v="204"/>
    <x v="28"/>
    <s v="09.09.2021 13:43:56"/>
    <x v="1"/>
    <s v="продажа, комиссия"/>
    <x v="28"/>
    <s v="Основной договор"/>
    <m/>
    <m/>
    <m/>
    <m/>
    <s v="Positive"/>
    <n v="71883"/>
  </r>
  <r>
    <x v="2"/>
    <n v="95"/>
    <m/>
    <d v="2021-09-09T00:00:00"/>
    <d v="2021-12-13T16:03:59"/>
    <n v="-90.669432870367018"/>
    <x v="5"/>
    <x v="4"/>
    <s v="Сток Converse"/>
    <x v="1"/>
    <n v="3027375"/>
    <x v="205"/>
    <x v="18"/>
    <s v="09.09.2021 16:03:59"/>
    <x v="1"/>
    <s v="продажа, комиссия"/>
    <x v="18"/>
    <s v="№432/2020 от 12.08.2020"/>
    <m/>
    <m/>
    <m/>
    <m/>
    <s v="Positive"/>
    <n v="3027375"/>
  </r>
  <r>
    <x v="2"/>
    <n v="95"/>
    <m/>
    <d v="2021-09-09T00:00:00"/>
    <d v="2021-12-13T16:05:43"/>
    <n v="-90.670636574075615"/>
    <x v="5"/>
    <x v="4"/>
    <s v="Converse"/>
    <x v="1"/>
    <n v="1188305"/>
    <x v="206"/>
    <x v="18"/>
    <s v="09.09.2021 16:05:43"/>
    <x v="6"/>
    <s v="продажа, комиссия"/>
    <x v="18"/>
    <s v="061/2012 от 15 июня 2012"/>
    <m/>
    <m/>
    <m/>
    <m/>
    <s v="Positive"/>
    <n v="1188305"/>
  </r>
  <r>
    <x v="0"/>
    <n v="35"/>
    <m/>
    <d v="2021-09-09T00:00:00"/>
    <d v="2021-10-14T17:00:00"/>
    <n v="-30.708333333335759"/>
    <x v="0"/>
    <x v="0"/>
    <s v="Saucony"/>
    <x v="3"/>
    <n v="-288000"/>
    <x v="207"/>
    <x v="36"/>
    <s v="09.09.2021 17:00:00"/>
    <x v="7"/>
    <s v="Оплата от покупателя"/>
    <x v="36"/>
    <s v="№432/2020 от 12.08.2020"/>
    <m/>
    <m/>
    <m/>
    <m/>
    <s v="Negative"/>
    <n v="-288000"/>
  </r>
  <r>
    <x v="2"/>
    <n v="45"/>
    <m/>
    <d v="2021-09-09T00:00:00"/>
    <d v="2021-10-24T18:32:37"/>
    <n v="-40.772650462960883"/>
    <x v="5"/>
    <x v="4"/>
    <s v="UGG"/>
    <x v="2"/>
    <n v="155232"/>
    <x v="208"/>
    <x v="29"/>
    <s v="09.09.2021 18:32:37"/>
    <x v="5"/>
    <s v="продажа, комиссия"/>
    <x v="29"/>
    <s v="Депозит CON FA21"/>
    <m/>
    <m/>
    <m/>
    <m/>
    <s v="Positive"/>
    <n v="155232"/>
  </r>
  <r>
    <x v="2"/>
    <n v="45"/>
    <m/>
    <d v="2021-09-09T00:00:00"/>
    <d v="2021-10-24T18:35:19"/>
    <n v="-40.774525462962629"/>
    <x v="5"/>
    <x v="4"/>
    <s v="Dr.Martens"/>
    <x v="4"/>
    <n v="2341584"/>
    <x v="209"/>
    <x v="29"/>
    <s v="09.09.2021 18:35:19"/>
    <x v="9"/>
    <s v="продажа, комиссия"/>
    <x v="29"/>
    <s v="депозит SAU FW21"/>
    <m/>
    <m/>
    <m/>
    <m/>
    <s v="Positive"/>
    <n v="2341584"/>
  </r>
  <r>
    <x v="2"/>
    <n v="95"/>
    <m/>
    <d v="2021-09-10T00:00:00"/>
    <d v="2021-12-14T12:03:22"/>
    <n v="-91.502337962963793"/>
    <x v="5"/>
    <x v="4"/>
    <s v="Dr.Martens"/>
    <x v="4"/>
    <n v="935550"/>
    <x v="210"/>
    <x v="18"/>
    <s v="10.09.2021 12:03:22"/>
    <x v="9"/>
    <s v="продажа, комиссия"/>
    <x v="18"/>
    <s v="Депозит CON FA20"/>
    <m/>
    <m/>
    <m/>
    <m/>
    <s v="Positive"/>
    <n v="935550"/>
  </r>
  <r>
    <x v="2"/>
    <n v="65"/>
    <m/>
    <d v="2021-09-10T00:00:00"/>
    <d v="2021-11-14T12:08:45"/>
    <n v="-61.506076388890506"/>
    <x v="5"/>
    <x v="4"/>
    <s v="Dr.Martens"/>
    <x v="4"/>
    <n v="10493100"/>
    <x v="211"/>
    <x v="10"/>
    <s v="10.09.2021 12:08:45"/>
    <x v="9"/>
    <s v="продажа, комиссия"/>
    <x v="10"/>
    <s v="Депозит CON FW21"/>
    <m/>
    <m/>
    <m/>
    <m/>
    <s v="Positive"/>
    <n v="10493100"/>
  </r>
  <r>
    <x v="2"/>
    <n v="125"/>
    <m/>
    <d v="2021-09-10T00:00:00"/>
    <d v="2022-01-13T13:37:05"/>
    <n v="-121.56741898148175"/>
    <x v="5"/>
    <x v="4"/>
    <s v="Saucony"/>
    <x v="3"/>
    <n v="2832880"/>
    <x v="212"/>
    <x v="18"/>
    <s v="10.09.2021 13:37:05"/>
    <x v="7"/>
    <s v="продажа, комиссия"/>
    <x v="18"/>
    <s v="Депозит CON SP21"/>
    <m/>
    <m/>
    <m/>
    <m/>
    <s v="Positive"/>
    <n v="2832880"/>
  </r>
  <r>
    <x v="2"/>
    <n v="19"/>
    <m/>
    <d v="2021-09-13T00:00:00"/>
    <d v="2021-10-02T11:24:02"/>
    <n v="-18.475023148144828"/>
    <x v="5"/>
    <x v="4"/>
    <s v="Converse"/>
    <x v="1"/>
    <n v="4091256"/>
    <x v="213"/>
    <x v="33"/>
    <s v="13.09.2021 11:24:02"/>
    <x v="6"/>
    <s v="продажа, комиссия"/>
    <x v="34"/>
    <s v="Депозит CON SU21"/>
    <m/>
    <m/>
    <m/>
    <m/>
    <s v="Positive"/>
    <n v="4091256"/>
  </r>
  <r>
    <x v="2"/>
    <n v="19"/>
    <m/>
    <d v="2021-09-13T00:00:00"/>
    <d v="2021-10-02T11:30:09"/>
    <n v="-18.47927083333343"/>
    <x v="5"/>
    <x v="4"/>
    <s v="Dr.Martens"/>
    <x v="4"/>
    <n v="7031427"/>
    <x v="214"/>
    <x v="33"/>
    <s v="13.09.2021 11:30:09"/>
    <x v="9"/>
    <s v="продажа, комиссия"/>
    <x v="34"/>
    <s v="депозит DRM AW21"/>
    <m/>
    <m/>
    <m/>
    <m/>
    <s v="Positive"/>
    <n v="7031427"/>
  </r>
  <r>
    <x v="0"/>
    <n v="0"/>
    <m/>
    <d v="2021-09-13T00:00:00"/>
    <d v="2021-09-13T17:00:00"/>
    <n v="0.29166666666424135"/>
    <x v="0"/>
    <x v="0"/>
    <s v="Dr.Martens"/>
    <x v="4"/>
    <n v="-375100"/>
    <x v="215"/>
    <x v="37"/>
    <s v="13.09.2021 17:00:00"/>
    <x v="9"/>
    <s v="Оплата от покупателя"/>
    <x v="37"/>
    <s v="Депозит DRM SS21"/>
    <m/>
    <m/>
    <m/>
    <m/>
    <s v="Negative"/>
    <n v="-375100"/>
  </r>
  <r>
    <x v="0"/>
    <n v="45"/>
    <m/>
    <d v="2021-09-13T00:00:00"/>
    <d v="2021-10-28T17:00:00"/>
    <n v="-44.708333333335759"/>
    <x v="0"/>
    <x v="0"/>
    <s v="UGG"/>
    <x v="2"/>
    <n v="-53"/>
    <x v="216"/>
    <x v="38"/>
    <s v="13.09.2021 17:00:00"/>
    <x v="5"/>
    <s v="Оплата от покупателя"/>
    <x v="38"/>
    <s v="Депозит SAU AW21"/>
    <m/>
    <m/>
    <m/>
    <m/>
    <s v="Negative"/>
    <n v="-53"/>
  </r>
  <r>
    <x v="0"/>
    <n v="0"/>
    <m/>
    <d v="2021-09-13T00:00:00"/>
    <d v="2021-09-13T17:00:00"/>
    <n v="0.29166666666424135"/>
    <x v="0"/>
    <x v="0"/>
    <s v="Сток Converse"/>
    <x v="1"/>
    <n v="-90550"/>
    <x v="217"/>
    <x v="24"/>
    <s v="13.09.2021 17:00:00"/>
    <x v="1"/>
    <s v="Оплата от покупателя"/>
    <x v="24"/>
    <s v="Депозит SAU SS22"/>
    <m/>
    <m/>
    <m/>
    <m/>
    <s v="Negative"/>
    <n v="-90550"/>
  </r>
  <r>
    <x v="0"/>
    <n v="45"/>
    <m/>
    <d v="2021-09-13T00:00:00"/>
    <d v="2021-10-28T17:00:00"/>
    <n v="-44.708333333335759"/>
    <x v="0"/>
    <x v="0"/>
    <s v="Dr.Martens"/>
    <x v="4"/>
    <n v="-30096"/>
    <x v="218"/>
    <x v="29"/>
    <s v="13.09.2021 17:00:00"/>
    <x v="9"/>
    <s v="Оплата от покупателя"/>
    <x v="29"/>
    <s v="Депозит CON FA21"/>
    <m/>
    <m/>
    <m/>
    <m/>
    <s v="Negative"/>
    <n v="-30096"/>
  </r>
  <r>
    <x v="0"/>
    <n v="38"/>
    <m/>
    <d v="2021-09-13T00:00:00"/>
    <d v="2021-10-21T23:59:59"/>
    <n v="-37.99998842592322"/>
    <x v="0"/>
    <x v="0"/>
    <s v="Hush Puppies"/>
    <x v="6"/>
    <n v="-8839"/>
    <x v="219"/>
    <x v="13"/>
    <s v="13.09.2021 23:59:59"/>
    <x v="11"/>
    <s v="Оплата от покупателя"/>
    <x v="27"/>
    <s v="Депозит DRM AW21"/>
    <m/>
    <m/>
    <m/>
    <m/>
    <s v="Negative"/>
    <n v="-8839"/>
  </r>
  <r>
    <x v="0"/>
    <n v="35"/>
    <m/>
    <d v="2021-09-14T00:00:00"/>
    <d v="2021-10-19T17:00:00"/>
    <n v="-35.708333333335759"/>
    <x v="0"/>
    <x v="0"/>
    <s v="Converse"/>
    <x v="1"/>
    <n v="-1252890"/>
    <x v="220"/>
    <x v="36"/>
    <s v="14.09.2021 17:00:00"/>
    <x v="6"/>
    <s v="Оплата от покупателя"/>
    <x v="36"/>
    <s v="Депозит SAU SS22"/>
    <m/>
    <m/>
    <m/>
    <m/>
    <s v="Negative"/>
    <n v="-1252890"/>
  </r>
  <r>
    <x v="0"/>
    <n v="0"/>
    <m/>
    <d v="2021-09-14T00:00:00"/>
    <d v="2021-09-14T17:00:00"/>
    <n v="-0.70833333333575865"/>
    <x v="0"/>
    <x v="0"/>
    <s v="Converse"/>
    <x v="1"/>
    <n v="-229152"/>
    <x v="221"/>
    <x v="39"/>
    <s v="14.09.2021 17:00:00"/>
    <x v="6"/>
    <s v="Оплата от покупателя"/>
    <x v="39"/>
    <s v="Депозит CON FA21"/>
    <m/>
    <m/>
    <m/>
    <m/>
    <s v="Negative"/>
    <n v="-229152"/>
  </r>
  <r>
    <x v="0"/>
    <n v="0"/>
    <m/>
    <d v="2021-09-14T00:00:00"/>
    <d v="2021-09-14T17:00:00"/>
    <n v="-0.70833333333575865"/>
    <x v="0"/>
    <x v="0"/>
    <s v="Converse"/>
    <x v="1"/>
    <n v="-112625"/>
    <x v="222"/>
    <x v="23"/>
    <s v="14.09.2021 17:00:00"/>
    <x v="6"/>
    <s v="Оплата от покупателя"/>
    <x v="23"/>
    <s v="Депозит CON SP21"/>
    <m/>
    <m/>
    <m/>
    <m/>
    <s v="Negative"/>
    <n v="-112625"/>
  </r>
  <r>
    <x v="0"/>
    <n v="0"/>
    <m/>
    <d v="2021-09-14T00:00:00"/>
    <d v="2021-09-14T17:00:00"/>
    <n v="-0.70833333333575865"/>
    <x v="0"/>
    <x v="0"/>
    <s v="Сток Converse"/>
    <x v="1"/>
    <n v="-58194"/>
    <x v="223"/>
    <x v="23"/>
    <s v="14.09.2021 17:00:00"/>
    <x v="1"/>
    <s v="Оплата от покупателя"/>
    <x v="23"/>
    <s v="Депозит DRM AW21"/>
    <m/>
    <m/>
    <m/>
    <m/>
    <s v="Negative"/>
    <n v="-58194"/>
  </r>
  <r>
    <x v="4"/>
    <n v="0"/>
    <m/>
    <d v="1899-12-30T00:00:00"/>
    <d v="1899-12-30T00:00:00"/>
    <n v="44453"/>
    <x v="0"/>
    <x v="0"/>
    <s v="Converse"/>
    <x v="1"/>
    <n v="-40070"/>
    <x v="224"/>
    <x v="40"/>
    <m/>
    <x v="12"/>
    <m/>
    <x v="40"/>
    <s v="Депозит DRM SS21"/>
    <m/>
    <m/>
    <m/>
    <m/>
    <s v="Negative"/>
    <n v="-40070"/>
  </r>
  <r>
    <x v="4"/>
    <n v="0"/>
    <m/>
    <d v="1899-12-30T00:00:00"/>
    <d v="1899-12-30T00:00:00"/>
    <n v="44453"/>
    <x v="0"/>
    <x v="0"/>
    <s v="Converse"/>
    <x v="1"/>
    <n v="-158051"/>
    <x v="224"/>
    <x v="40"/>
    <m/>
    <x v="12"/>
    <m/>
    <x v="41"/>
    <s v="Депозит HAV SS21"/>
    <m/>
    <m/>
    <m/>
    <m/>
    <s v="Negative"/>
    <n v="-158051"/>
  </r>
  <r>
    <x v="4"/>
    <n v="0"/>
    <m/>
    <d v="1899-12-30T00:00:00"/>
    <d v="1899-12-30T00:00:00"/>
    <n v="44453"/>
    <x v="0"/>
    <x v="0"/>
    <s v="Saucony"/>
    <x v="3"/>
    <n v="-169458.16"/>
    <x v="224"/>
    <x v="20"/>
    <m/>
    <x v="12"/>
    <m/>
    <x v="42"/>
    <s v="Депозит SAU AW21"/>
    <m/>
    <m/>
    <m/>
    <m/>
    <s v="Negative"/>
    <n v="-169458.16"/>
  </r>
  <r>
    <x v="4"/>
    <n v="0"/>
    <m/>
    <d v="1899-12-30T00:00:00"/>
    <d v="1899-12-30T00:00:00"/>
    <n v="44453"/>
    <x v="0"/>
    <x v="0"/>
    <s v="Converse"/>
    <x v="1"/>
    <n v="-95438.37"/>
    <x v="224"/>
    <x v="41"/>
    <m/>
    <x v="12"/>
    <m/>
    <x v="41"/>
    <s v="Депозит SAU SS21"/>
    <m/>
    <m/>
    <m/>
    <m/>
    <s v="Negative"/>
    <n v="-95438.37"/>
  </r>
  <r>
    <x v="4"/>
    <n v="0"/>
    <m/>
    <d v="1899-12-30T00:00:00"/>
    <d v="1899-12-30T00:00:00"/>
    <n v="44453"/>
    <x v="0"/>
    <x v="0"/>
    <s v="Converse"/>
    <x v="1"/>
    <n v="-170134.17"/>
    <x v="224"/>
    <x v="42"/>
    <m/>
    <x v="12"/>
    <m/>
    <x v="43"/>
    <s v="Депозит UGG FW21"/>
    <m/>
    <m/>
    <m/>
    <m/>
    <s v="Negative"/>
    <n v="-170134.17"/>
  </r>
  <r>
    <x v="4"/>
    <n v="0"/>
    <m/>
    <d v="1899-12-30T00:00:00"/>
    <d v="1899-12-30T00:00:00"/>
    <n v="44453"/>
    <x v="0"/>
    <x v="0"/>
    <s v="Converse"/>
    <x v="1"/>
    <n v="-182855.13"/>
    <x v="224"/>
    <x v="42"/>
    <m/>
    <x v="12"/>
    <m/>
    <x v="44"/>
    <s v="депозит CON FA21"/>
    <m/>
    <m/>
    <m/>
    <m/>
    <s v="Negative"/>
    <n v="-182855.13"/>
  </r>
  <r>
    <x v="4"/>
    <n v="0"/>
    <m/>
    <d v="1899-12-30T00:00:00"/>
    <d v="1899-12-30T00:00:00"/>
    <n v="44453"/>
    <x v="0"/>
    <x v="0"/>
    <s v="Converse"/>
    <x v="1"/>
    <n v="-245363.62"/>
    <x v="224"/>
    <x v="42"/>
    <m/>
    <x v="12"/>
    <m/>
    <x v="41"/>
    <s v="Депозит DRM AW21"/>
    <m/>
    <m/>
    <m/>
    <m/>
    <s v="Negative"/>
    <n v="-245363.62"/>
  </r>
  <r>
    <x v="4"/>
    <n v="0"/>
    <m/>
    <d v="1899-12-30T00:00:00"/>
    <d v="1899-12-30T00:00:00"/>
    <n v="44453"/>
    <x v="0"/>
    <x v="0"/>
    <s v="Converse"/>
    <x v="1"/>
    <n v="-97248.78"/>
    <x v="224"/>
    <x v="42"/>
    <m/>
    <x v="12"/>
    <m/>
    <x v="45"/>
    <s v="депозит DRM FH20"/>
    <m/>
    <m/>
    <m/>
    <m/>
    <s v="Negative"/>
    <n v="-97248.78"/>
  </r>
  <r>
    <x v="4"/>
    <n v="0"/>
    <m/>
    <d v="1899-12-30T00:00:00"/>
    <d v="1899-12-30T00:00:00"/>
    <n v="44453"/>
    <x v="0"/>
    <x v="0"/>
    <s v="Dr.Martens"/>
    <x v="4"/>
    <n v="-1240850.1399999999"/>
    <x v="224"/>
    <x v="42"/>
    <m/>
    <x v="12"/>
    <m/>
    <x v="46"/>
    <s v="Депозит UGG AW21"/>
    <m/>
    <m/>
    <m/>
    <m/>
    <s v="Negative"/>
    <n v="-1240850.1399999999"/>
  </r>
  <r>
    <x v="4"/>
    <n v="0"/>
    <m/>
    <d v="1899-12-30T00:00:00"/>
    <d v="1899-12-30T00:00:00"/>
    <n v="44453"/>
    <x v="0"/>
    <x v="0"/>
    <s v="Dr.Martens"/>
    <x v="4"/>
    <n v="-375778.75"/>
    <x v="224"/>
    <x v="42"/>
    <m/>
    <x v="12"/>
    <m/>
    <x v="47"/>
    <s v="Депозит CON FA21"/>
    <m/>
    <m/>
    <m/>
    <m/>
    <s v="Negative"/>
    <n v="-375778.75"/>
  </r>
  <r>
    <x v="4"/>
    <n v="0"/>
    <m/>
    <d v="1899-12-30T00:00:00"/>
    <d v="1899-12-30T00:00:00"/>
    <n v="44453"/>
    <x v="0"/>
    <x v="0"/>
    <s v="Saucony"/>
    <x v="3"/>
    <n v="-448843.37"/>
    <x v="224"/>
    <x v="42"/>
    <m/>
    <x v="12"/>
    <m/>
    <x v="48"/>
    <s v="Депозит CON SU21"/>
    <m/>
    <m/>
    <m/>
    <m/>
    <s v="Negative"/>
    <n v="-448843.37"/>
  </r>
  <r>
    <x v="4"/>
    <n v="0"/>
    <m/>
    <d v="1899-12-30T00:00:00"/>
    <d v="1899-12-30T00:00:00"/>
    <n v="44453"/>
    <x v="0"/>
    <x v="0"/>
    <s v="Saucony"/>
    <x v="3"/>
    <n v="-440491.9"/>
    <x v="224"/>
    <x v="42"/>
    <m/>
    <x v="12"/>
    <m/>
    <x v="49"/>
    <s v="Депозит DRM AW21"/>
    <m/>
    <m/>
    <m/>
    <m/>
    <s v="Negative"/>
    <n v="-440491.9"/>
  </r>
  <r>
    <x v="4"/>
    <n v="0"/>
    <m/>
    <d v="1899-12-30T00:00:00"/>
    <d v="1899-12-30T00:00:00"/>
    <n v="44453"/>
    <x v="0"/>
    <x v="0"/>
    <s v="Converse"/>
    <x v="1"/>
    <n v="-2306405.39"/>
    <x v="224"/>
    <x v="43"/>
    <m/>
    <x v="12"/>
    <m/>
    <x v="40"/>
    <s v="Депозит SAU SS19"/>
    <m/>
    <m/>
    <m/>
    <m/>
    <s v="Negative"/>
    <n v="-2306405.39"/>
  </r>
  <r>
    <x v="4"/>
    <n v="0"/>
    <m/>
    <d v="1899-12-30T00:00:00"/>
    <d v="1899-12-30T00:00:00"/>
    <n v="44453"/>
    <x v="0"/>
    <x v="0"/>
    <s v="Converse"/>
    <x v="1"/>
    <n v="-6516518.8300000001"/>
    <x v="224"/>
    <x v="43"/>
    <m/>
    <x v="12"/>
    <m/>
    <x v="41"/>
    <s v="Депозит DRM AW21"/>
    <m/>
    <m/>
    <m/>
    <m/>
    <s v="Negative"/>
    <n v="-6516518.8300000001"/>
  </r>
  <r>
    <x v="4"/>
    <n v="0"/>
    <m/>
    <d v="1899-12-30T00:00:00"/>
    <d v="1899-12-30T00:00:00"/>
    <n v="44453"/>
    <x v="0"/>
    <x v="0"/>
    <s v="Dr.Martens"/>
    <x v="4"/>
    <n v="-9349156.1199999992"/>
    <x v="224"/>
    <x v="43"/>
    <m/>
    <x v="12"/>
    <m/>
    <x v="46"/>
    <s v="Депозит UGG AW21"/>
    <m/>
    <m/>
    <m/>
    <m/>
    <s v="Negative"/>
    <n v="-9349156.1199999992"/>
  </r>
  <r>
    <x v="4"/>
    <n v="0"/>
    <m/>
    <d v="1899-12-30T00:00:00"/>
    <d v="1899-12-30T00:00:00"/>
    <n v="44453"/>
    <x v="0"/>
    <x v="0"/>
    <s v="Dr.Martens"/>
    <x v="4"/>
    <n v="-658615.67000000004"/>
    <x v="224"/>
    <x v="43"/>
    <m/>
    <x v="12"/>
    <m/>
    <x v="47"/>
    <s v="Депозит CON SP17"/>
    <m/>
    <m/>
    <m/>
    <m/>
    <s v="Negative"/>
    <n v="-658615.67000000004"/>
  </r>
  <r>
    <x v="4"/>
    <n v="0"/>
    <m/>
    <d v="1899-12-30T00:00:00"/>
    <d v="1899-12-30T00:00:00"/>
    <n v="44453"/>
    <x v="0"/>
    <x v="0"/>
    <s v="Havaianas"/>
    <x v="5"/>
    <n v="-147697.51999999999"/>
    <x v="224"/>
    <x v="43"/>
    <m/>
    <x v="12"/>
    <m/>
    <x v="50"/>
    <s v="Депозит CON SP20"/>
    <m/>
    <m/>
    <m/>
    <m/>
    <s v="Negative"/>
    <n v="-147697.51999999999"/>
  </r>
  <r>
    <x v="4"/>
    <n v="0"/>
    <m/>
    <d v="1899-12-30T00:00:00"/>
    <d v="1899-12-30T00:00:00"/>
    <n v="44453"/>
    <x v="0"/>
    <x v="0"/>
    <s v="Saucony"/>
    <x v="3"/>
    <n v="-637085.55000000005"/>
    <x v="224"/>
    <x v="43"/>
    <m/>
    <x v="12"/>
    <m/>
    <x v="49"/>
    <s v="Депозит CON SP21"/>
    <m/>
    <m/>
    <m/>
    <m/>
    <s v="Negative"/>
    <n v="-637085.55000000005"/>
  </r>
  <r>
    <x v="4"/>
    <n v="0"/>
    <m/>
    <d v="1899-12-30T00:00:00"/>
    <d v="1899-12-30T00:00:00"/>
    <n v="44453"/>
    <x v="0"/>
    <x v="0"/>
    <s v="Converse"/>
    <x v="1"/>
    <n v="-807310.42"/>
    <x v="224"/>
    <x v="15"/>
    <m/>
    <x v="12"/>
    <m/>
    <x v="40"/>
    <s v="депозит DRM AW21"/>
    <m/>
    <m/>
    <m/>
    <m/>
    <s v="Negative"/>
    <n v="-807310.42"/>
  </r>
  <r>
    <x v="4"/>
    <n v="0"/>
    <m/>
    <d v="1899-12-30T00:00:00"/>
    <d v="1899-12-30T00:00:00"/>
    <n v="44453"/>
    <x v="0"/>
    <x v="0"/>
    <s v="Converse"/>
    <x v="1"/>
    <n v="-1487268.94"/>
    <x v="224"/>
    <x v="15"/>
    <m/>
    <x v="12"/>
    <m/>
    <x v="44"/>
    <s v="Депозит SAU SS22"/>
    <m/>
    <m/>
    <m/>
    <m/>
    <s v="Negative"/>
    <n v="-1487268.94"/>
  </r>
  <r>
    <x v="4"/>
    <n v="0"/>
    <m/>
    <d v="1899-12-30T00:00:00"/>
    <d v="1899-12-30T00:00:00"/>
    <n v="44453"/>
    <x v="0"/>
    <x v="0"/>
    <s v="Converse"/>
    <x v="1"/>
    <n v="-2224397.5099999998"/>
    <x v="224"/>
    <x v="15"/>
    <m/>
    <x v="12"/>
    <m/>
    <x v="41"/>
    <s v="Депозит DRM FH18"/>
    <m/>
    <m/>
    <m/>
    <m/>
    <s v="Negative"/>
    <n v="-2224397.5099999998"/>
  </r>
  <r>
    <x v="4"/>
    <n v="0"/>
    <m/>
    <d v="1899-12-30T00:00:00"/>
    <d v="1899-12-30T00:00:00"/>
    <n v="44453"/>
    <x v="0"/>
    <x v="0"/>
    <s v="Dr.Martens"/>
    <x v="4"/>
    <n v="-1530002.96"/>
    <x v="224"/>
    <x v="15"/>
    <m/>
    <x v="12"/>
    <m/>
    <x v="46"/>
    <s v="Депозит SAU SS22"/>
    <m/>
    <m/>
    <m/>
    <m/>
    <s v="Negative"/>
    <n v="-1530002.96"/>
  </r>
  <r>
    <x v="4"/>
    <n v="0"/>
    <m/>
    <d v="1899-12-30T00:00:00"/>
    <d v="1899-12-30T00:00:00"/>
    <n v="44453"/>
    <x v="0"/>
    <x v="0"/>
    <s v="Havaianas"/>
    <x v="5"/>
    <n v="-230964.89"/>
    <x v="224"/>
    <x v="15"/>
    <m/>
    <x v="12"/>
    <m/>
    <x v="50"/>
    <s v="Депозит UGG AW21"/>
    <m/>
    <m/>
    <m/>
    <m/>
    <s v="Negative"/>
    <n v="-230964.89"/>
  </r>
  <r>
    <x v="4"/>
    <n v="0"/>
    <m/>
    <d v="1899-12-30T00:00:00"/>
    <d v="1899-12-30T00:00:00"/>
    <n v="44453"/>
    <x v="0"/>
    <x v="0"/>
    <s v="Saucony"/>
    <x v="3"/>
    <n v="-451454.78"/>
    <x v="224"/>
    <x v="15"/>
    <m/>
    <x v="12"/>
    <m/>
    <x v="48"/>
    <s v="Депозит CON SP20"/>
    <m/>
    <m/>
    <m/>
    <m/>
    <s v="Negative"/>
    <n v="-451454.78"/>
  </r>
  <r>
    <x v="4"/>
    <n v="0"/>
    <m/>
    <d v="1899-12-30T00:00:00"/>
    <d v="1899-12-30T00:00:00"/>
    <n v="44453"/>
    <x v="0"/>
    <x v="0"/>
    <s v="Saucony"/>
    <x v="3"/>
    <n v="-421283.43"/>
    <x v="224"/>
    <x v="15"/>
    <m/>
    <x v="12"/>
    <m/>
    <x v="49"/>
    <s v="Депозит CON FA21"/>
    <m/>
    <m/>
    <m/>
    <m/>
    <s v="Negative"/>
    <n v="-421283.43"/>
  </r>
  <r>
    <x v="4"/>
    <n v="0"/>
    <m/>
    <d v="1899-12-30T00:00:00"/>
    <d v="1899-12-30T00:00:00"/>
    <n v="44453"/>
    <x v="0"/>
    <x v="0"/>
    <s v="UGG"/>
    <x v="2"/>
    <n v="-4525122.43"/>
    <x v="224"/>
    <x v="15"/>
    <m/>
    <x v="12"/>
    <m/>
    <x v="51"/>
    <s v="депозит DRM FH20"/>
    <m/>
    <m/>
    <m/>
    <m/>
    <s v="Negative"/>
    <n v="-4525122.43"/>
  </r>
  <r>
    <x v="4"/>
    <n v="0"/>
    <m/>
    <d v="1899-12-30T00:00:00"/>
    <d v="1899-12-30T00:00:00"/>
    <n v="44453"/>
    <x v="0"/>
    <x v="0"/>
    <s v="Converse"/>
    <x v="1"/>
    <n v="-95259.43"/>
    <x v="224"/>
    <x v="35"/>
    <m/>
    <x v="12"/>
    <m/>
    <x v="40"/>
    <s v="Депозит SAU FW21"/>
    <m/>
    <m/>
    <m/>
    <m/>
    <s v="Negative"/>
    <n v="-95259.43"/>
  </r>
  <r>
    <x v="4"/>
    <n v="0"/>
    <m/>
    <d v="1899-12-30T00:00:00"/>
    <d v="1899-12-30T00:00:00"/>
    <n v="44453"/>
    <x v="0"/>
    <x v="0"/>
    <s v="Converse"/>
    <x v="1"/>
    <n v="-74760.47"/>
    <x v="224"/>
    <x v="35"/>
    <m/>
    <x v="12"/>
    <m/>
    <x v="41"/>
    <s v="Депозит CON SU18"/>
    <m/>
    <m/>
    <m/>
    <m/>
    <s v="Negative"/>
    <n v="-74760.47"/>
  </r>
  <r>
    <x v="4"/>
    <n v="0"/>
    <m/>
    <d v="1899-12-30T00:00:00"/>
    <d v="1899-12-30T00:00:00"/>
    <n v="44453"/>
    <x v="0"/>
    <x v="0"/>
    <s v="Dr.Martens"/>
    <x v="4"/>
    <n v="-220329.27"/>
    <x v="224"/>
    <x v="35"/>
    <m/>
    <x v="12"/>
    <m/>
    <x v="46"/>
    <s v="депозит DRM AW21"/>
    <m/>
    <m/>
    <m/>
    <m/>
    <s v="Negative"/>
    <n v="-220329.27"/>
  </r>
  <r>
    <x v="4"/>
    <n v="0"/>
    <m/>
    <d v="1899-12-30T00:00:00"/>
    <d v="1899-12-30T00:00:00"/>
    <n v="44453"/>
    <x v="0"/>
    <x v="0"/>
    <s v="Dr.Martens"/>
    <x v="4"/>
    <n v="-86569.63"/>
    <x v="224"/>
    <x v="35"/>
    <m/>
    <x v="12"/>
    <m/>
    <x v="47"/>
    <s v="Депозит CON FA21"/>
    <m/>
    <m/>
    <m/>
    <m/>
    <s v="Negative"/>
    <n v="-86569.63"/>
  </r>
  <r>
    <x v="4"/>
    <n v="0"/>
    <m/>
    <d v="1899-12-30T00:00:00"/>
    <d v="1899-12-30T00:00:00"/>
    <n v="44453"/>
    <x v="0"/>
    <x v="0"/>
    <s v="UGG"/>
    <x v="2"/>
    <n v="-377357.64"/>
    <x v="224"/>
    <x v="35"/>
    <m/>
    <x v="12"/>
    <m/>
    <x v="52"/>
    <s v="депозит DRM FH20"/>
    <m/>
    <m/>
    <m/>
    <m/>
    <s v="Negative"/>
    <n v="-377357.64"/>
  </r>
  <r>
    <x v="4"/>
    <n v="0"/>
    <m/>
    <d v="1899-12-30T00:00:00"/>
    <d v="1899-12-30T00:00:00"/>
    <n v="44453"/>
    <x v="0"/>
    <x v="0"/>
    <s v="Converse"/>
    <x v="1"/>
    <n v="-45319"/>
    <x v="224"/>
    <x v="17"/>
    <m/>
    <x v="12"/>
    <m/>
    <x v="41"/>
    <s v="Депозит DRM AW21"/>
    <m/>
    <m/>
    <m/>
    <m/>
    <s v="Negative"/>
    <n v="-45319"/>
  </r>
  <r>
    <x v="4"/>
    <n v="0"/>
    <m/>
    <d v="1899-12-30T00:00:00"/>
    <d v="1899-12-30T00:00:00"/>
    <n v="44453"/>
    <x v="0"/>
    <x v="0"/>
    <s v="Converse"/>
    <x v="1"/>
    <n v="-40000"/>
    <x v="224"/>
    <x v="17"/>
    <m/>
    <x v="12"/>
    <m/>
    <x v="53"/>
    <s v="Депозит SAU AW21"/>
    <m/>
    <m/>
    <m/>
    <m/>
    <s v="Negative"/>
    <n v="-40000"/>
  </r>
  <r>
    <x v="4"/>
    <n v="0"/>
    <m/>
    <d v="1899-12-30T00:00:00"/>
    <d v="1899-12-30T00:00:00"/>
    <n v="44453"/>
    <x v="0"/>
    <x v="0"/>
    <s v="Converse"/>
    <x v="1"/>
    <n v="-47713"/>
    <x v="224"/>
    <x v="24"/>
    <m/>
    <x v="12"/>
    <m/>
    <x v="40"/>
    <s v="Депозит CON SP20"/>
    <m/>
    <m/>
    <m/>
    <m/>
    <s v="Negative"/>
    <n v="-47713"/>
  </r>
  <r>
    <x v="4"/>
    <n v="0"/>
    <m/>
    <d v="1899-12-30T00:00:00"/>
    <d v="1899-12-30T00:00:00"/>
    <n v="44453"/>
    <x v="0"/>
    <x v="0"/>
    <s v="Converse"/>
    <x v="1"/>
    <n v="-418785"/>
    <x v="224"/>
    <x v="24"/>
    <m/>
    <x v="12"/>
    <m/>
    <x v="41"/>
    <s v="Депозит SAU SS20"/>
    <m/>
    <m/>
    <m/>
    <m/>
    <s v="Negative"/>
    <n v="-418785"/>
  </r>
  <r>
    <x v="4"/>
    <n v="0"/>
    <m/>
    <d v="1899-12-30T00:00:00"/>
    <d v="1899-12-30T00:00:00"/>
    <n v="44453"/>
    <x v="0"/>
    <x v="0"/>
    <s v="Converse"/>
    <x v="1"/>
    <n v="-140484"/>
    <x v="224"/>
    <x v="24"/>
    <m/>
    <x v="12"/>
    <m/>
    <x v="45"/>
    <s v="депозит CON FA21"/>
    <m/>
    <m/>
    <m/>
    <m/>
    <s v="Negative"/>
    <n v="-140484"/>
  </r>
  <r>
    <x v="4"/>
    <n v="0"/>
    <m/>
    <d v="1899-12-30T00:00:00"/>
    <d v="1899-12-30T00:00:00"/>
    <n v="44453"/>
    <x v="0"/>
    <x v="0"/>
    <s v="Dr.Martens"/>
    <x v="4"/>
    <n v="-49486"/>
    <x v="224"/>
    <x v="24"/>
    <m/>
    <x v="12"/>
    <m/>
    <x v="46"/>
    <s v="депозит SAU SS22"/>
    <m/>
    <m/>
    <m/>
    <m/>
    <s v="Negative"/>
    <n v="-49486"/>
  </r>
  <r>
    <x v="4"/>
    <n v="0"/>
    <m/>
    <d v="1899-12-30T00:00:00"/>
    <d v="1899-12-30T00:00:00"/>
    <n v="44453"/>
    <x v="0"/>
    <x v="0"/>
    <s v="Saucony"/>
    <x v="3"/>
    <n v="-11533.5"/>
    <x v="224"/>
    <x v="44"/>
    <m/>
    <x v="12"/>
    <m/>
    <x v="54"/>
    <s v="Депозит DRM AW21"/>
    <m/>
    <m/>
    <m/>
    <m/>
    <s v="Negative"/>
    <n v="-11533.5"/>
  </r>
  <r>
    <x v="4"/>
    <n v="0"/>
    <m/>
    <d v="1899-12-30T00:00:00"/>
    <d v="1899-12-30T00:00:00"/>
    <n v="44453"/>
    <x v="0"/>
    <x v="0"/>
    <s v="Dr.Martens"/>
    <x v="4"/>
    <n v="-256988"/>
    <x v="224"/>
    <x v="45"/>
    <m/>
    <x v="12"/>
    <m/>
    <x v="46"/>
    <s v="Депозит DRM SS21"/>
    <m/>
    <m/>
    <m/>
    <m/>
    <s v="Negative"/>
    <n v="-256988"/>
  </r>
  <r>
    <x v="4"/>
    <n v="0"/>
    <m/>
    <d v="1899-12-30T00:00:00"/>
    <d v="1899-12-30T00:00:00"/>
    <n v="44453"/>
    <x v="0"/>
    <x v="0"/>
    <s v="Dr.Martens"/>
    <x v="4"/>
    <n v="-99768"/>
    <x v="224"/>
    <x v="45"/>
    <m/>
    <x v="12"/>
    <m/>
    <x v="47"/>
    <s v="Депозит CON SP21"/>
    <m/>
    <m/>
    <m/>
    <m/>
    <s v="Negative"/>
    <n v="-99768"/>
  </r>
  <r>
    <x v="4"/>
    <n v="0"/>
    <m/>
    <d v="1899-12-30T00:00:00"/>
    <d v="1899-12-30T00:00:00"/>
    <n v="44453"/>
    <x v="0"/>
    <x v="0"/>
    <s v="UGG"/>
    <x v="2"/>
    <n v="-437968"/>
    <x v="224"/>
    <x v="45"/>
    <m/>
    <x v="12"/>
    <m/>
    <x v="52"/>
    <s v="Депозит CON SU21"/>
    <m/>
    <m/>
    <m/>
    <m/>
    <s v="Negative"/>
    <n v="-437968"/>
  </r>
  <r>
    <x v="4"/>
    <n v="0"/>
    <m/>
    <d v="1899-12-30T00:00:00"/>
    <d v="1899-12-30T00:00:00"/>
    <n v="44453"/>
    <x v="0"/>
    <x v="0"/>
    <s v="UGG"/>
    <x v="2"/>
    <n v="-349625"/>
    <x v="224"/>
    <x v="45"/>
    <m/>
    <x v="12"/>
    <m/>
    <x v="55"/>
    <s v="депозит DRM AW21"/>
    <m/>
    <m/>
    <m/>
    <m/>
    <s v="Negative"/>
    <n v="-349625"/>
  </r>
  <r>
    <x v="4"/>
    <n v="0"/>
    <m/>
    <d v="1899-12-30T00:00:00"/>
    <d v="1899-12-30T00:00:00"/>
    <n v="44453"/>
    <x v="0"/>
    <x v="0"/>
    <s v="Converse"/>
    <x v="1"/>
    <n v="-120577.83"/>
    <x v="224"/>
    <x v="46"/>
    <m/>
    <x v="12"/>
    <m/>
    <x v="56"/>
    <s v="Депозит SAU SS22"/>
    <m/>
    <m/>
    <m/>
    <m/>
    <s v="Negative"/>
    <n v="-120577.83"/>
  </r>
  <r>
    <x v="4"/>
    <n v="0"/>
    <m/>
    <d v="1899-12-30T00:00:00"/>
    <d v="1899-12-30T00:00:00"/>
    <n v="44453"/>
    <x v="0"/>
    <x v="0"/>
    <s v="Converse"/>
    <x v="1"/>
    <n v="-46177.23"/>
    <x v="224"/>
    <x v="46"/>
    <m/>
    <x v="12"/>
    <m/>
    <x v="57"/>
    <s v="Депозит UGG AW21"/>
    <m/>
    <m/>
    <m/>
    <m/>
    <s v="Negative"/>
    <n v="-46177.23"/>
  </r>
  <r>
    <x v="4"/>
    <n v="0"/>
    <m/>
    <d v="1899-12-30T00:00:00"/>
    <d v="1899-12-30T00:00:00"/>
    <n v="44453"/>
    <x v="0"/>
    <x v="0"/>
    <s v="Converse"/>
    <x v="1"/>
    <n v="-11259.9"/>
    <x v="224"/>
    <x v="47"/>
    <m/>
    <x v="12"/>
    <m/>
    <x v="44"/>
    <s v="Депозит CON SP19"/>
    <m/>
    <m/>
    <m/>
    <m/>
    <s v="Negative"/>
    <n v="-11259.9"/>
  </r>
  <r>
    <x v="4"/>
    <n v="0"/>
    <m/>
    <d v="1899-12-30T00:00:00"/>
    <d v="1899-12-30T00:00:00"/>
    <n v="44453"/>
    <x v="0"/>
    <x v="0"/>
    <s v="Converse"/>
    <x v="1"/>
    <n v="-25376"/>
    <x v="224"/>
    <x v="47"/>
    <m/>
    <x v="12"/>
    <m/>
    <x v="41"/>
    <s v="Депозит CON SP21"/>
    <m/>
    <m/>
    <m/>
    <m/>
    <s v="Negative"/>
    <n v="-25376"/>
  </r>
  <r>
    <x v="4"/>
    <n v="0"/>
    <m/>
    <d v="1899-12-30T00:00:00"/>
    <d v="1899-12-30T00:00:00"/>
    <n v="44453"/>
    <x v="0"/>
    <x v="0"/>
    <s v="Converse"/>
    <x v="1"/>
    <n v="-51614.61"/>
    <x v="224"/>
    <x v="14"/>
    <m/>
    <x v="12"/>
    <m/>
    <x v="41"/>
    <s v="Депозит SAU FA21"/>
    <m/>
    <m/>
    <m/>
    <m/>
    <s v="Negative"/>
    <n v="-51614.61"/>
  </r>
  <r>
    <x v="4"/>
    <n v="0"/>
    <m/>
    <d v="1899-12-30T00:00:00"/>
    <d v="1899-12-30T00:00:00"/>
    <n v="44453"/>
    <x v="0"/>
    <x v="0"/>
    <s v="Dr.Martens"/>
    <x v="4"/>
    <n v="-100506.83"/>
    <x v="224"/>
    <x v="14"/>
    <m/>
    <x v="12"/>
    <m/>
    <x v="46"/>
    <s v="Депозит CON SU20"/>
    <m/>
    <m/>
    <m/>
    <m/>
    <s v="Negative"/>
    <n v="-100506.83"/>
  </r>
  <r>
    <x v="4"/>
    <n v="0"/>
    <m/>
    <d v="1899-12-30T00:00:00"/>
    <d v="1899-12-30T00:00:00"/>
    <n v="44453"/>
    <x v="0"/>
    <x v="0"/>
    <s v="Saucony"/>
    <x v="3"/>
    <n v="-66778.42"/>
    <x v="224"/>
    <x v="14"/>
    <m/>
    <x v="12"/>
    <m/>
    <x v="49"/>
    <s v="Депозит CON SU21"/>
    <m/>
    <m/>
    <m/>
    <m/>
    <s v="Negative"/>
    <n v="-66778.42"/>
  </r>
  <r>
    <x v="4"/>
    <n v="0"/>
    <m/>
    <d v="1899-12-30T00:00:00"/>
    <d v="1899-12-30T00:00:00"/>
    <n v="44453"/>
    <x v="0"/>
    <x v="0"/>
    <s v="Dr.Martens"/>
    <x v="4"/>
    <n v="-1759.12"/>
    <x v="224"/>
    <x v="48"/>
    <m/>
    <x v="12"/>
    <m/>
    <x v="58"/>
    <s v="депозит CON FA21"/>
    <m/>
    <m/>
    <m/>
    <m/>
    <s v="Negative"/>
    <n v="-1759.12"/>
  </r>
  <r>
    <x v="4"/>
    <n v="0"/>
    <m/>
    <d v="1899-12-30T00:00:00"/>
    <d v="1899-12-30T00:00:00"/>
    <n v="44453"/>
    <x v="0"/>
    <x v="0"/>
    <s v="Converse"/>
    <x v="1"/>
    <n v="-85906.98"/>
    <x v="224"/>
    <x v="49"/>
    <m/>
    <x v="12"/>
    <m/>
    <x v="41"/>
    <s v="Депозит DRM FW21"/>
    <m/>
    <m/>
    <m/>
    <m/>
    <s v="Negative"/>
    <n v="-85906.98"/>
  </r>
  <r>
    <x v="4"/>
    <n v="0"/>
    <m/>
    <d v="1899-12-30T00:00:00"/>
    <d v="1899-12-30T00:00:00"/>
    <n v="44453"/>
    <x v="0"/>
    <x v="0"/>
    <s v="Saucony"/>
    <x v="3"/>
    <n v="-220629.55"/>
    <x v="224"/>
    <x v="50"/>
    <m/>
    <x v="12"/>
    <m/>
    <x v="49"/>
    <s v="Депозит DRM AW21"/>
    <m/>
    <m/>
    <m/>
    <m/>
    <s v="Negative"/>
    <n v="-220629.55"/>
  </r>
  <r>
    <x v="4"/>
    <n v="0"/>
    <m/>
    <d v="1899-12-30T00:00:00"/>
    <d v="1899-12-30T00:00:00"/>
    <n v="44453"/>
    <x v="0"/>
    <x v="0"/>
    <s v="UGG"/>
    <x v="2"/>
    <n v="-69037.63"/>
    <x v="224"/>
    <x v="51"/>
    <m/>
    <x v="12"/>
    <m/>
    <x v="52"/>
    <s v="депозит SAU SS22"/>
    <m/>
    <m/>
    <m/>
    <m/>
    <s v="Negative"/>
    <n v="-69037.63"/>
  </r>
  <r>
    <x v="4"/>
    <n v="0"/>
    <m/>
    <d v="1899-12-30T00:00:00"/>
    <d v="1899-12-30T00:00:00"/>
    <n v="44453"/>
    <x v="0"/>
    <x v="0"/>
    <s v="Converse"/>
    <x v="1"/>
    <n v="-50473"/>
    <x v="224"/>
    <x v="52"/>
    <m/>
    <x v="12"/>
    <m/>
    <x v="57"/>
    <s v="Депозит CON FW21"/>
    <m/>
    <m/>
    <m/>
    <m/>
    <s v="Negative"/>
    <n v="-50473"/>
  </r>
  <r>
    <x v="4"/>
    <n v="0"/>
    <m/>
    <d v="1899-12-30T00:00:00"/>
    <d v="1899-12-30T00:00:00"/>
    <n v="44453"/>
    <x v="0"/>
    <x v="0"/>
    <s v="Converse"/>
    <x v="1"/>
    <n v="-53892.24"/>
    <x v="224"/>
    <x v="53"/>
    <m/>
    <x v="12"/>
    <m/>
    <x v="40"/>
    <s v="Депозит DRM AW21"/>
    <m/>
    <m/>
    <m/>
    <m/>
    <s v="Negative"/>
    <n v="-53892.24"/>
  </r>
  <r>
    <x v="4"/>
    <n v="0"/>
    <m/>
    <d v="1899-12-30T00:00:00"/>
    <d v="1899-12-30T00:00:00"/>
    <n v="44453"/>
    <x v="0"/>
    <x v="0"/>
    <s v="Converse"/>
    <x v="1"/>
    <n v="-28361.759999999998"/>
    <x v="224"/>
    <x v="53"/>
    <m/>
    <x v="12"/>
    <m/>
    <x v="41"/>
    <s v="Депозит SAU SS22"/>
    <m/>
    <m/>
    <m/>
    <m/>
    <s v="Negative"/>
    <n v="-28361.759999999998"/>
  </r>
  <r>
    <x v="4"/>
    <n v="0"/>
    <m/>
    <d v="1899-12-30T00:00:00"/>
    <d v="1899-12-30T00:00:00"/>
    <n v="44453"/>
    <x v="0"/>
    <x v="0"/>
    <s v="Dr.Martens"/>
    <x v="4"/>
    <n v="-56290.6"/>
    <x v="224"/>
    <x v="4"/>
    <m/>
    <x v="12"/>
    <m/>
    <x v="59"/>
    <s v="Депозит UGG AW21"/>
    <m/>
    <m/>
    <m/>
    <m/>
    <s v="Negative"/>
    <n v="-56290.6"/>
  </r>
  <r>
    <x v="4"/>
    <n v="0"/>
    <m/>
    <d v="1899-12-30T00:00:00"/>
    <d v="1899-12-30T00:00:00"/>
    <n v="44453"/>
    <x v="0"/>
    <x v="0"/>
    <s v="Saucony"/>
    <x v="3"/>
    <n v="-78018.33"/>
    <x v="224"/>
    <x v="36"/>
    <m/>
    <x v="12"/>
    <m/>
    <x v="42"/>
    <s v="Депозит SAU SS22"/>
    <m/>
    <m/>
    <m/>
    <m/>
    <s v="Negative"/>
    <n v="-78018.33"/>
  </r>
  <r>
    <x v="4"/>
    <n v="0"/>
    <m/>
    <d v="1899-12-30T00:00:00"/>
    <d v="1899-12-30T00:00:00"/>
    <n v="44453"/>
    <x v="0"/>
    <x v="0"/>
    <s v="Converse"/>
    <x v="1"/>
    <n v="-95860"/>
    <x v="224"/>
    <x v="54"/>
    <m/>
    <x v="12"/>
    <m/>
    <x v="41"/>
    <s v="Депозит CON FA20"/>
    <m/>
    <m/>
    <m/>
    <m/>
    <s v="Negative"/>
    <n v="-95860"/>
  </r>
  <r>
    <x v="4"/>
    <n v="0"/>
    <m/>
    <d v="1899-12-30T00:00:00"/>
    <d v="1899-12-30T00:00:00"/>
    <n v="44453"/>
    <x v="0"/>
    <x v="0"/>
    <s v="Converse"/>
    <x v="1"/>
    <n v="-7199.46"/>
    <x v="224"/>
    <x v="55"/>
    <m/>
    <x v="12"/>
    <m/>
    <x v="60"/>
    <s v="Депозит UGG FW21"/>
    <m/>
    <m/>
    <m/>
    <m/>
    <s v="Negative"/>
    <n v="-7199.46"/>
  </r>
  <r>
    <x v="4"/>
    <n v="0"/>
    <m/>
    <d v="1899-12-30T00:00:00"/>
    <d v="1899-12-30T00:00:00"/>
    <n v="44453"/>
    <x v="0"/>
    <x v="0"/>
    <s v="Dr.Martens"/>
    <x v="4"/>
    <n v="-103355.81"/>
    <x v="224"/>
    <x v="56"/>
    <m/>
    <x v="12"/>
    <m/>
    <x v="46"/>
    <s v="Депозит CON FA21"/>
    <m/>
    <m/>
    <m/>
    <m/>
    <s v="Negative"/>
    <n v="-103355.81"/>
  </r>
  <r>
    <x v="4"/>
    <n v="0"/>
    <m/>
    <d v="1899-12-30T00:00:00"/>
    <d v="1899-12-30T00:00:00"/>
    <n v="44453"/>
    <x v="0"/>
    <x v="0"/>
    <s v="Converse"/>
    <x v="1"/>
    <n v="-89872.75"/>
    <x v="224"/>
    <x v="57"/>
    <m/>
    <x v="12"/>
    <m/>
    <x v="40"/>
    <s v="Депозит CON SP21"/>
    <m/>
    <m/>
    <m/>
    <m/>
    <s v="Negative"/>
    <n v="-89872.75"/>
  </r>
  <r>
    <x v="4"/>
    <n v="0"/>
    <m/>
    <d v="1899-12-30T00:00:00"/>
    <d v="1899-12-30T00:00:00"/>
    <n v="44453"/>
    <x v="0"/>
    <x v="0"/>
    <s v="Converse"/>
    <x v="1"/>
    <n v="-165347.43"/>
    <x v="224"/>
    <x v="57"/>
    <m/>
    <x v="12"/>
    <m/>
    <x v="41"/>
    <s v="Депозит DRM FH21"/>
    <m/>
    <m/>
    <m/>
    <m/>
    <s v="Negative"/>
    <n v="-165347.43"/>
  </r>
  <r>
    <x v="4"/>
    <n v="0"/>
    <m/>
    <d v="1899-12-30T00:00:00"/>
    <d v="1899-12-30T00:00:00"/>
    <n v="44453"/>
    <x v="0"/>
    <x v="0"/>
    <s v="Dr.Martens"/>
    <x v="4"/>
    <n v="-10188"/>
    <x v="224"/>
    <x v="19"/>
    <m/>
    <x v="12"/>
    <m/>
    <x v="59"/>
    <s v="Депозит SAU SS21"/>
    <m/>
    <m/>
    <m/>
    <m/>
    <s v="Negative"/>
    <n v="-10188"/>
  </r>
  <r>
    <x v="4"/>
    <n v="0"/>
    <m/>
    <d v="1899-12-30T00:00:00"/>
    <d v="1899-12-30T00:00:00"/>
    <n v="44453"/>
    <x v="0"/>
    <x v="0"/>
    <s v="Converse"/>
    <x v="1"/>
    <n v="-73000"/>
    <x v="224"/>
    <x v="58"/>
    <m/>
    <x v="12"/>
    <m/>
    <x v="41"/>
    <s v="Депозит UGG FW21"/>
    <m/>
    <m/>
    <m/>
    <m/>
    <s v="Negative"/>
    <n v="-73000"/>
  </r>
  <r>
    <x v="4"/>
    <n v="0"/>
    <m/>
    <d v="1899-12-30T00:00:00"/>
    <d v="1899-12-30T00:00:00"/>
    <n v="44453"/>
    <x v="0"/>
    <x v="0"/>
    <s v="Converse"/>
    <x v="1"/>
    <n v="-167760.57999999999"/>
    <x v="224"/>
    <x v="27"/>
    <m/>
    <x v="12"/>
    <m/>
    <x v="41"/>
    <s v="Депозит SAU AW21"/>
    <m/>
    <m/>
    <m/>
    <m/>
    <s v="Negative"/>
    <n v="-167760.57999999999"/>
  </r>
  <r>
    <x v="4"/>
    <n v="0"/>
    <m/>
    <d v="1899-12-30T00:00:00"/>
    <d v="1899-12-30T00:00:00"/>
    <n v="44453"/>
    <x v="0"/>
    <x v="0"/>
    <s v="Dr.Martens"/>
    <x v="4"/>
    <n v="-465170"/>
    <x v="224"/>
    <x v="59"/>
    <m/>
    <x v="12"/>
    <m/>
    <x v="46"/>
    <s v="Депозит SAU SS21"/>
    <m/>
    <m/>
    <m/>
    <m/>
    <s v="Negative"/>
    <n v="-465170"/>
  </r>
  <r>
    <x v="4"/>
    <n v="0"/>
    <m/>
    <d v="1899-12-30T00:00:00"/>
    <d v="1899-12-30T00:00:00"/>
    <n v="44453"/>
    <x v="0"/>
    <x v="0"/>
    <s v="Saucony"/>
    <x v="3"/>
    <n v="-256000"/>
    <x v="224"/>
    <x v="59"/>
    <m/>
    <x v="12"/>
    <m/>
    <x v="48"/>
    <s v="депозит DRM FH20"/>
    <m/>
    <m/>
    <m/>
    <m/>
    <s v="Negative"/>
    <n v="-256000"/>
  </r>
  <r>
    <x v="4"/>
    <n v="0"/>
    <m/>
    <d v="1899-12-30T00:00:00"/>
    <d v="1899-12-30T00:00:00"/>
    <n v="44453"/>
    <x v="0"/>
    <x v="0"/>
    <s v="Converse"/>
    <x v="1"/>
    <n v="-42972.72"/>
    <x v="224"/>
    <x v="60"/>
    <m/>
    <x v="12"/>
    <m/>
    <x v="57"/>
    <s v="депозит DRM FW21"/>
    <m/>
    <m/>
    <m/>
    <m/>
    <s v="Negative"/>
    <n v="-42972.72"/>
  </r>
  <r>
    <x v="4"/>
    <n v="0"/>
    <m/>
    <d v="1899-12-30T00:00:00"/>
    <d v="1899-12-30T00:00:00"/>
    <n v="44453"/>
    <x v="0"/>
    <x v="0"/>
    <s v="Converse"/>
    <x v="1"/>
    <n v="-91187.33"/>
    <x v="224"/>
    <x v="60"/>
    <m/>
    <x v="12"/>
    <m/>
    <x v="41"/>
    <s v="Депозит CON FA21"/>
    <m/>
    <m/>
    <m/>
    <m/>
    <s v="Negative"/>
    <n v="-91187.33"/>
  </r>
  <r>
    <x v="4"/>
    <n v="0"/>
    <m/>
    <d v="1899-12-30T00:00:00"/>
    <d v="1899-12-30T00:00:00"/>
    <n v="44453"/>
    <x v="0"/>
    <x v="0"/>
    <s v="Saucony"/>
    <x v="3"/>
    <n v="-625.94000000000005"/>
    <x v="224"/>
    <x v="61"/>
    <m/>
    <x v="12"/>
    <m/>
    <x v="61"/>
    <s v="Депозит CON SP21"/>
    <m/>
    <m/>
    <m/>
    <m/>
    <s v="Negative"/>
    <n v="-625.94000000000005"/>
  </r>
  <r>
    <x v="4"/>
    <n v="0"/>
    <m/>
    <d v="1899-12-30T00:00:00"/>
    <d v="1899-12-30T00:00:00"/>
    <n v="44453"/>
    <x v="0"/>
    <x v="0"/>
    <s v="Converse"/>
    <x v="1"/>
    <n v="-37995.68"/>
    <x v="224"/>
    <x v="62"/>
    <m/>
    <x v="12"/>
    <m/>
    <x v="40"/>
    <s v="депозит DRM FW21"/>
    <m/>
    <m/>
    <m/>
    <m/>
    <s v="Negative"/>
    <n v="-37995.68"/>
  </r>
  <r>
    <x v="4"/>
    <n v="0"/>
    <m/>
    <d v="1899-12-30T00:00:00"/>
    <d v="1899-12-30T00:00:00"/>
    <n v="44453"/>
    <x v="0"/>
    <x v="0"/>
    <s v="Converse"/>
    <x v="1"/>
    <n v="-77401"/>
    <x v="224"/>
    <x v="62"/>
    <m/>
    <x v="12"/>
    <m/>
    <x v="41"/>
    <s v="депозит UGG FW21"/>
    <m/>
    <m/>
    <m/>
    <m/>
    <s v="Negative"/>
    <n v="-77401"/>
  </r>
  <r>
    <x v="4"/>
    <n v="0"/>
    <m/>
    <d v="1899-12-30T00:00:00"/>
    <d v="1899-12-30T00:00:00"/>
    <n v="44453"/>
    <x v="0"/>
    <x v="0"/>
    <s v="Saucony"/>
    <x v="3"/>
    <n v="-89728.9"/>
    <x v="224"/>
    <x v="62"/>
    <m/>
    <x v="12"/>
    <m/>
    <x v="49"/>
    <s v="Депозит DRM FH19"/>
    <m/>
    <m/>
    <m/>
    <m/>
    <s v="Negative"/>
    <n v="-89728.9"/>
  </r>
  <r>
    <x v="4"/>
    <n v="0"/>
    <m/>
    <d v="1899-12-30T00:00:00"/>
    <d v="1899-12-30T00:00:00"/>
    <n v="44453"/>
    <x v="0"/>
    <x v="0"/>
    <s v="Converse"/>
    <x v="1"/>
    <n v="-196170.67"/>
    <x v="224"/>
    <x v="34"/>
    <m/>
    <x v="12"/>
    <m/>
    <x v="41"/>
    <s v="Депозит DRM AW21"/>
    <m/>
    <m/>
    <m/>
    <m/>
    <s v="Negative"/>
    <n v="-196170.67"/>
  </r>
  <r>
    <x v="4"/>
    <n v="0"/>
    <m/>
    <d v="1899-12-30T00:00:00"/>
    <d v="1899-12-30T00:00:00"/>
    <n v="44453"/>
    <x v="0"/>
    <x v="0"/>
    <s v="Dr.Martens"/>
    <x v="4"/>
    <n v="-146102.18"/>
    <x v="224"/>
    <x v="34"/>
    <m/>
    <x v="12"/>
    <m/>
    <x v="46"/>
    <s v="депозит SAU AW21"/>
    <m/>
    <m/>
    <m/>
    <m/>
    <s v="Negative"/>
    <n v="-146102.18"/>
  </r>
  <r>
    <x v="4"/>
    <n v="0"/>
    <m/>
    <d v="1899-12-30T00:00:00"/>
    <d v="1899-12-30T00:00:00"/>
    <n v="44453"/>
    <x v="0"/>
    <x v="0"/>
    <s v="Converse"/>
    <x v="1"/>
    <n v="-84510"/>
    <x v="224"/>
    <x v="63"/>
    <m/>
    <x v="12"/>
    <m/>
    <x v="41"/>
    <s v="Депозит SAU SS21"/>
    <m/>
    <m/>
    <m/>
    <m/>
    <s v="Negative"/>
    <n v="-84510"/>
  </r>
  <r>
    <x v="4"/>
    <n v="0"/>
    <m/>
    <d v="1899-12-30T00:00:00"/>
    <d v="1899-12-30T00:00:00"/>
    <n v="44453"/>
    <x v="0"/>
    <x v="0"/>
    <s v="Saucony"/>
    <x v="3"/>
    <n v="-158009.37"/>
    <x v="224"/>
    <x v="63"/>
    <m/>
    <x v="12"/>
    <m/>
    <x v="49"/>
    <s v="Депозит DRM AW21"/>
    <m/>
    <m/>
    <m/>
    <m/>
    <s v="Negative"/>
    <n v="-158009.37"/>
  </r>
  <r>
    <x v="4"/>
    <n v="0"/>
    <m/>
    <d v="1899-12-30T00:00:00"/>
    <d v="1899-12-30T00:00:00"/>
    <n v="44453"/>
    <x v="0"/>
    <x v="0"/>
    <s v="UGG"/>
    <x v="2"/>
    <n v="-337883.74"/>
    <x v="224"/>
    <x v="63"/>
    <m/>
    <x v="12"/>
    <m/>
    <x v="52"/>
    <s v="Депозит CON SP20"/>
    <m/>
    <m/>
    <m/>
    <m/>
    <s v="Negative"/>
    <n v="-337883.74"/>
  </r>
  <r>
    <x v="4"/>
    <n v="0"/>
    <m/>
    <d v="1899-12-30T00:00:00"/>
    <d v="1899-12-30T00:00:00"/>
    <n v="44453"/>
    <x v="0"/>
    <x v="0"/>
    <s v="Converse"/>
    <x v="1"/>
    <n v="-413.01"/>
    <x v="224"/>
    <x v="64"/>
    <m/>
    <x v="12"/>
    <m/>
    <x v="62"/>
    <s v="депозит DRM AW21"/>
    <m/>
    <m/>
    <m/>
    <m/>
    <s v="Negative"/>
    <n v="-413.01"/>
  </r>
  <r>
    <x v="4"/>
    <n v="0"/>
    <m/>
    <d v="1899-12-30T00:00:00"/>
    <d v="1899-12-30T00:00:00"/>
    <n v="44453"/>
    <x v="0"/>
    <x v="0"/>
    <s v="Converse"/>
    <x v="1"/>
    <n v="-45220"/>
    <x v="224"/>
    <x v="65"/>
    <m/>
    <x v="12"/>
    <m/>
    <x v="44"/>
    <s v="Депозит UGG AW21"/>
    <m/>
    <m/>
    <m/>
    <m/>
    <s v="Negative"/>
    <n v="-45220"/>
  </r>
  <r>
    <x v="4"/>
    <n v="0"/>
    <m/>
    <d v="1899-12-30T00:00:00"/>
    <d v="1899-12-30T00:00:00"/>
    <n v="44453"/>
    <x v="0"/>
    <x v="0"/>
    <s v="Converse"/>
    <x v="1"/>
    <n v="-56111"/>
    <x v="224"/>
    <x v="65"/>
    <m/>
    <x v="12"/>
    <m/>
    <x v="41"/>
    <s v="Депозит DRM FW21"/>
    <m/>
    <m/>
    <m/>
    <m/>
    <s v="Negative"/>
    <n v="-56111"/>
  </r>
  <r>
    <x v="4"/>
    <n v="0"/>
    <m/>
    <d v="1899-12-30T00:00:00"/>
    <d v="1899-12-30T00:00:00"/>
    <n v="44453"/>
    <x v="0"/>
    <x v="0"/>
    <s v="Dr.Martens"/>
    <x v="4"/>
    <n v="-38000"/>
    <x v="224"/>
    <x v="65"/>
    <m/>
    <x v="12"/>
    <m/>
    <x v="47"/>
    <s v="Депозит UGG FW 21"/>
    <m/>
    <m/>
    <m/>
    <m/>
    <s v="Negative"/>
    <n v="-38000"/>
  </r>
  <r>
    <x v="4"/>
    <n v="0"/>
    <m/>
    <d v="1899-12-30T00:00:00"/>
    <d v="1899-12-30T00:00:00"/>
    <n v="44453"/>
    <x v="0"/>
    <x v="0"/>
    <s v="Converse"/>
    <x v="1"/>
    <n v="-123449"/>
    <x v="224"/>
    <x v="66"/>
    <m/>
    <x v="12"/>
    <m/>
    <x v="53"/>
    <s v="депозит DRM AW21"/>
    <m/>
    <m/>
    <m/>
    <m/>
    <s v="Negative"/>
    <n v="-123449"/>
  </r>
  <r>
    <x v="4"/>
    <n v="0"/>
    <m/>
    <d v="1899-12-30T00:00:00"/>
    <d v="1899-12-30T00:00:00"/>
    <n v="44453"/>
    <x v="0"/>
    <x v="0"/>
    <s v="Saucony"/>
    <x v="3"/>
    <n v="-118113"/>
    <x v="224"/>
    <x v="66"/>
    <m/>
    <x v="12"/>
    <m/>
    <x v="63"/>
    <s v="депозит SAU AW21"/>
    <m/>
    <m/>
    <m/>
    <m/>
    <s v="Negative"/>
    <n v="-118113"/>
  </r>
  <r>
    <x v="4"/>
    <n v="0"/>
    <m/>
    <d v="1899-12-30T00:00:00"/>
    <d v="1899-12-30T00:00:00"/>
    <n v="44453"/>
    <x v="0"/>
    <x v="0"/>
    <s v="Converse"/>
    <x v="1"/>
    <n v="-78086.539999999994"/>
    <x v="224"/>
    <x v="67"/>
    <m/>
    <x v="12"/>
    <m/>
    <x v="41"/>
    <s v="депозит UGG FH21"/>
    <m/>
    <m/>
    <m/>
    <m/>
    <s v="Negative"/>
    <n v="-78086.539999999994"/>
  </r>
  <r>
    <x v="4"/>
    <n v="0"/>
    <m/>
    <d v="1899-12-30T00:00:00"/>
    <d v="1899-12-30T00:00:00"/>
    <n v="44453"/>
    <x v="0"/>
    <x v="0"/>
    <s v="Converse"/>
    <x v="1"/>
    <n v="-53789.88"/>
    <x v="224"/>
    <x v="67"/>
    <m/>
    <x v="12"/>
    <m/>
    <x v="64"/>
    <s v="Депозит CON FA21"/>
    <m/>
    <m/>
    <m/>
    <m/>
    <s v="Negative"/>
    <n v="-53789.88"/>
  </r>
  <r>
    <x v="4"/>
    <n v="0"/>
    <m/>
    <d v="1899-12-30T00:00:00"/>
    <d v="1899-12-30T00:00:00"/>
    <n v="44453"/>
    <x v="0"/>
    <x v="0"/>
    <s v="Converse"/>
    <x v="1"/>
    <n v="-46831.18"/>
    <x v="224"/>
    <x v="67"/>
    <m/>
    <x v="12"/>
    <m/>
    <x v="45"/>
    <s v="Депозит CON SU21"/>
    <m/>
    <m/>
    <m/>
    <m/>
    <s v="Negative"/>
    <n v="-46831.18"/>
  </r>
  <r>
    <x v="4"/>
    <n v="0"/>
    <m/>
    <d v="1899-12-30T00:00:00"/>
    <d v="1899-12-30T00:00:00"/>
    <n v="44453"/>
    <x v="0"/>
    <x v="0"/>
    <s v="Converse"/>
    <x v="1"/>
    <n v="-60350.7"/>
    <x v="224"/>
    <x v="68"/>
    <m/>
    <x v="12"/>
    <m/>
    <x v="40"/>
    <s v="Депозит DRM AW21"/>
    <m/>
    <m/>
    <m/>
    <m/>
    <s v="Negative"/>
    <n v="-60350.7"/>
  </r>
  <r>
    <x v="4"/>
    <n v="0"/>
    <m/>
    <d v="1899-12-30T00:00:00"/>
    <d v="1899-12-30T00:00:00"/>
    <n v="44453"/>
    <x v="0"/>
    <x v="0"/>
    <s v="Converse"/>
    <x v="1"/>
    <n v="-49980"/>
    <x v="224"/>
    <x v="68"/>
    <m/>
    <x v="12"/>
    <m/>
    <x v="41"/>
    <s v="Депозит DRM SS21"/>
    <m/>
    <m/>
    <m/>
    <m/>
    <s v="Negative"/>
    <n v="-49980"/>
  </r>
  <r>
    <x v="4"/>
    <n v="0"/>
    <m/>
    <d v="1899-12-30T00:00:00"/>
    <d v="1899-12-30T00:00:00"/>
    <n v="44453"/>
    <x v="0"/>
    <x v="0"/>
    <s v="Dr.Martens"/>
    <x v="4"/>
    <n v="-79689.259999999995"/>
    <x v="224"/>
    <x v="69"/>
    <m/>
    <x v="12"/>
    <m/>
    <x v="65"/>
    <s v="Депозит UGG AW21"/>
    <m/>
    <m/>
    <m/>
    <m/>
    <s v="Negative"/>
    <n v="-79689.259999999995"/>
  </r>
  <r>
    <x v="4"/>
    <n v="0"/>
    <m/>
    <d v="1899-12-30T00:00:00"/>
    <d v="1899-12-30T00:00:00"/>
    <n v="44453"/>
    <x v="0"/>
    <x v="0"/>
    <s v="Converse"/>
    <x v="1"/>
    <n v="-34154"/>
    <x v="224"/>
    <x v="9"/>
    <m/>
    <x v="12"/>
    <m/>
    <x v="41"/>
    <s v="депозит CON FA21"/>
    <m/>
    <m/>
    <m/>
    <m/>
    <s v="Negative"/>
    <n v="-34154"/>
  </r>
  <r>
    <x v="4"/>
    <n v="0"/>
    <m/>
    <d v="1899-12-30T00:00:00"/>
    <d v="1899-12-30T00:00:00"/>
    <n v="44453"/>
    <x v="0"/>
    <x v="0"/>
    <s v="Dr.Martens"/>
    <x v="4"/>
    <n v="-301128.5"/>
    <x v="224"/>
    <x v="70"/>
    <m/>
    <x v="12"/>
    <m/>
    <x v="46"/>
    <s v="Депозит CON SP21"/>
    <m/>
    <m/>
    <m/>
    <m/>
    <s v="Negative"/>
    <n v="-301128.5"/>
  </r>
  <r>
    <x v="4"/>
    <n v="0"/>
    <m/>
    <d v="1899-12-30T00:00:00"/>
    <d v="1899-12-30T00:00:00"/>
    <n v="44453"/>
    <x v="0"/>
    <x v="0"/>
    <s v="Converse"/>
    <x v="1"/>
    <n v="-57267"/>
    <x v="224"/>
    <x v="71"/>
    <m/>
    <x v="12"/>
    <m/>
    <x v="41"/>
    <s v="депозит CON FA 21"/>
    <m/>
    <m/>
    <m/>
    <m/>
    <s v="Negative"/>
    <n v="-57267"/>
  </r>
  <r>
    <x v="4"/>
    <n v="0"/>
    <m/>
    <d v="1899-12-30T00:00:00"/>
    <d v="1899-12-30T00:00:00"/>
    <n v="44453"/>
    <x v="0"/>
    <x v="0"/>
    <s v="Saucony"/>
    <x v="3"/>
    <n v="-66196.14"/>
    <x v="224"/>
    <x v="72"/>
    <m/>
    <x v="12"/>
    <m/>
    <x v="49"/>
    <s v="Депозит DRM AW21"/>
    <m/>
    <m/>
    <m/>
    <m/>
    <s v="Negative"/>
    <n v="-66196.14"/>
  </r>
  <r>
    <x v="4"/>
    <n v="0"/>
    <m/>
    <d v="1899-12-30T00:00:00"/>
    <d v="1899-12-30T00:00:00"/>
    <n v="44453"/>
    <x v="0"/>
    <x v="0"/>
    <s v="Converse"/>
    <x v="1"/>
    <n v="-104806.62"/>
    <x v="224"/>
    <x v="73"/>
    <m/>
    <x v="12"/>
    <m/>
    <x v="43"/>
    <s v="Депозит CON FA21"/>
    <m/>
    <m/>
    <m/>
    <m/>
    <s v="Negative"/>
    <n v="-104806.62"/>
  </r>
  <r>
    <x v="4"/>
    <n v="0"/>
    <m/>
    <d v="1899-12-30T00:00:00"/>
    <d v="1899-12-30T00:00:00"/>
    <n v="44453"/>
    <x v="0"/>
    <x v="0"/>
    <s v="Converse"/>
    <x v="1"/>
    <n v="-200717.69"/>
    <x v="224"/>
    <x v="73"/>
    <m/>
    <x v="12"/>
    <m/>
    <x v="41"/>
    <s v="Депозит CON SP21"/>
    <m/>
    <m/>
    <m/>
    <m/>
    <s v="Negative"/>
    <n v="-200717.69"/>
  </r>
  <r>
    <x v="4"/>
    <n v="0"/>
    <m/>
    <d v="1899-12-30T00:00:00"/>
    <d v="1899-12-30T00:00:00"/>
    <n v="44453"/>
    <x v="0"/>
    <x v="0"/>
    <s v="Dr.Martens"/>
    <x v="4"/>
    <n v="-307587.96000000002"/>
    <x v="224"/>
    <x v="73"/>
    <m/>
    <x v="12"/>
    <m/>
    <x v="46"/>
    <s v="Депозит DRM AW21"/>
    <m/>
    <m/>
    <m/>
    <m/>
    <s v="Negative"/>
    <n v="-307587.96000000002"/>
  </r>
  <r>
    <x v="4"/>
    <n v="0"/>
    <m/>
    <d v="1899-12-30T00:00:00"/>
    <d v="1899-12-30T00:00:00"/>
    <n v="44453"/>
    <x v="0"/>
    <x v="0"/>
    <s v="Dr.Martens"/>
    <x v="4"/>
    <n v="-215902.57"/>
    <x v="224"/>
    <x v="73"/>
    <m/>
    <x v="12"/>
    <m/>
    <x v="47"/>
    <s v="Депозит DRM AW21 PEAK"/>
    <m/>
    <m/>
    <m/>
    <m/>
    <s v="Negative"/>
    <n v="-215902.57"/>
  </r>
  <r>
    <x v="4"/>
    <n v="0"/>
    <m/>
    <d v="1899-12-30T00:00:00"/>
    <d v="1899-12-30T00:00:00"/>
    <n v="44453"/>
    <x v="0"/>
    <x v="0"/>
    <s v="Saucony"/>
    <x v="3"/>
    <n v="-156171.37"/>
    <x v="224"/>
    <x v="73"/>
    <m/>
    <x v="12"/>
    <m/>
    <x v="49"/>
    <s v="депозит DRM FW20"/>
    <m/>
    <m/>
    <m/>
    <m/>
    <s v="Negative"/>
    <n v="-156171.37"/>
  </r>
  <r>
    <x v="4"/>
    <n v="0"/>
    <m/>
    <d v="1899-12-30T00:00:00"/>
    <d v="1899-12-30T00:00:00"/>
    <n v="44453"/>
    <x v="0"/>
    <x v="0"/>
    <s v="UGG"/>
    <x v="2"/>
    <n v="-72821.78"/>
    <x v="224"/>
    <x v="73"/>
    <m/>
    <x v="12"/>
    <m/>
    <x v="52"/>
    <s v="Депозит DRM FW21"/>
    <m/>
    <m/>
    <m/>
    <m/>
    <s v="Negative"/>
    <n v="-72821.78"/>
  </r>
  <r>
    <x v="4"/>
    <n v="0"/>
    <m/>
    <d v="1899-12-30T00:00:00"/>
    <d v="1899-12-30T00:00:00"/>
    <n v="44453"/>
    <x v="0"/>
    <x v="0"/>
    <s v="UGG"/>
    <x v="2"/>
    <n v="-65924.41"/>
    <x v="224"/>
    <x v="73"/>
    <m/>
    <x v="12"/>
    <m/>
    <x v="55"/>
    <s v="депозит SAU FH21"/>
    <m/>
    <m/>
    <m/>
    <m/>
    <s v="Negative"/>
    <n v="-65924.41"/>
  </r>
  <r>
    <x v="4"/>
    <n v="0"/>
    <m/>
    <d v="1899-12-30T00:00:00"/>
    <d v="1899-12-30T00:00:00"/>
    <n v="44453"/>
    <x v="0"/>
    <x v="0"/>
    <s v="Converse"/>
    <x v="1"/>
    <n v="-42374"/>
    <x v="224"/>
    <x v="74"/>
    <m/>
    <x v="12"/>
    <m/>
    <x v="41"/>
    <s v="Депозит UGG AW21"/>
    <m/>
    <m/>
    <m/>
    <m/>
    <s v="Negative"/>
    <n v="-42374"/>
  </r>
  <r>
    <x v="4"/>
    <n v="0"/>
    <m/>
    <d v="1899-12-30T00:00:00"/>
    <d v="1899-12-30T00:00:00"/>
    <n v="44453"/>
    <x v="0"/>
    <x v="0"/>
    <s v="Saucony"/>
    <x v="3"/>
    <n v="-75139.429999999993"/>
    <x v="224"/>
    <x v="74"/>
    <m/>
    <x v="12"/>
    <m/>
    <x v="49"/>
    <s v="Депозит CON SP21"/>
    <m/>
    <m/>
    <m/>
    <m/>
    <s v="Negative"/>
    <n v="-75139.429999999993"/>
  </r>
  <r>
    <x v="4"/>
    <n v="0"/>
    <m/>
    <d v="1899-12-30T00:00:00"/>
    <d v="1899-12-30T00:00:00"/>
    <n v="44453"/>
    <x v="0"/>
    <x v="0"/>
    <s v="Converse"/>
    <x v="1"/>
    <n v="-18087.14"/>
    <x v="224"/>
    <x v="75"/>
    <m/>
    <x v="12"/>
    <m/>
    <x v="66"/>
    <s v="Депозит CON SU21"/>
    <m/>
    <m/>
    <m/>
    <m/>
    <s v="Negative"/>
    <n v="-18087.14"/>
  </r>
  <r>
    <x v="4"/>
    <n v="0"/>
    <m/>
    <d v="1899-12-30T00:00:00"/>
    <d v="1899-12-30T00:00:00"/>
    <n v="44453"/>
    <x v="0"/>
    <x v="0"/>
    <s v="Converse"/>
    <x v="1"/>
    <n v="-116070.62"/>
    <x v="224"/>
    <x v="26"/>
    <m/>
    <x v="12"/>
    <m/>
    <x v="41"/>
    <m/>
    <m/>
    <m/>
    <m/>
    <m/>
    <s v="Negative"/>
    <n v="-116070.62"/>
  </r>
  <r>
    <x v="4"/>
    <n v="0"/>
    <m/>
    <d v="1899-12-30T00:00:00"/>
    <d v="1899-12-30T00:00:00"/>
    <n v="44453"/>
    <x v="0"/>
    <x v="0"/>
    <s v="Dr.Martens"/>
    <x v="4"/>
    <n v="-165179.38"/>
    <x v="224"/>
    <x v="26"/>
    <m/>
    <x v="12"/>
    <m/>
    <x v="47"/>
    <m/>
    <m/>
    <m/>
    <m/>
    <m/>
    <s v="Negative"/>
    <n v="-165179.38"/>
  </r>
  <r>
    <x v="4"/>
    <n v="0"/>
    <m/>
    <d v="1899-12-30T00:00:00"/>
    <d v="1899-12-30T00:00:00"/>
    <n v="44453"/>
    <x v="0"/>
    <x v="0"/>
    <s v="UGG"/>
    <x v="2"/>
    <n v="-278680.69"/>
    <x v="224"/>
    <x v="76"/>
    <m/>
    <x v="12"/>
    <m/>
    <x v="51"/>
    <m/>
    <m/>
    <m/>
    <m/>
    <m/>
    <s v="Negative"/>
    <n v="-278680.69"/>
  </r>
  <r>
    <x v="4"/>
    <n v="0"/>
    <m/>
    <d v="1899-12-30T00:00:00"/>
    <d v="1899-12-30T00:00:00"/>
    <n v="44453"/>
    <x v="0"/>
    <x v="0"/>
    <s v="Converse"/>
    <x v="1"/>
    <n v="-1968875.54"/>
    <x v="224"/>
    <x v="10"/>
    <m/>
    <x v="12"/>
    <m/>
    <x v="40"/>
    <m/>
    <m/>
    <m/>
    <m/>
    <m/>
    <s v="Negative"/>
    <n v="-1968875.54"/>
  </r>
  <r>
    <x v="4"/>
    <n v="0"/>
    <m/>
    <d v="1899-12-30T00:00:00"/>
    <d v="1899-12-30T00:00:00"/>
    <n v="44453"/>
    <x v="0"/>
    <x v="0"/>
    <s v="Converse"/>
    <x v="1"/>
    <n v="-4568362.29"/>
    <x v="224"/>
    <x v="10"/>
    <m/>
    <x v="12"/>
    <m/>
    <x v="41"/>
    <m/>
    <m/>
    <m/>
    <m/>
    <m/>
    <s v="Negative"/>
    <n v="-4568362.29"/>
  </r>
  <r>
    <x v="4"/>
    <n v="0"/>
    <m/>
    <d v="1899-12-30T00:00:00"/>
    <d v="1899-12-30T00:00:00"/>
    <n v="44453"/>
    <x v="0"/>
    <x v="0"/>
    <s v="Dr.Martens"/>
    <x v="4"/>
    <n v="-12451513.58"/>
    <x v="224"/>
    <x v="10"/>
    <m/>
    <x v="12"/>
    <m/>
    <x v="67"/>
    <m/>
    <m/>
    <m/>
    <m/>
    <m/>
    <s v="Negative"/>
    <n v="-12451513.58"/>
  </r>
  <r>
    <x v="4"/>
    <n v="0"/>
    <m/>
    <d v="1899-12-30T00:00:00"/>
    <d v="1899-12-30T00:00:00"/>
    <n v="44453"/>
    <x v="0"/>
    <x v="0"/>
    <s v="Dr.Martens"/>
    <x v="4"/>
    <n v="-2992389.7"/>
    <x v="224"/>
    <x v="10"/>
    <m/>
    <x v="12"/>
    <m/>
    <x v="47"/>
    <m/>
    <m/>
    <m/>
    <m/>
    <m/>
    <s v="Negative"/>
    <n v="-2992389.7"/>
  </r>
  <r>
    <x v="4"/>
    <n v="0"/>
    <m/>
    <d v="1899-12-30T00:00:00"/>
    <d v="1899-12-30T00:00:00"/>
    <n v="44453"/>
    <x v="0"/>
    <x v="0"/>
    <s v="Saucony"/>
    <x v="3"/>
    <n v="-567716.37"/>
    <x v="224"/>
    <x v="10"/>
    <m/>
    <x v="12"/>
    <m/>
    <x v="68"/>
    <m/>
    <m/>
    <m/>
    <m/>
    <m/>
    <s v="Negative"/>
    <n v="-567716.37"/>
  </r>
  <r>
    <x v="4"/>
    <n v="0"/>
    <m/>
    <d v="1899-12-30T00:00:00"/>
    <d v="1899-12-30T00:00:00"/>
    <n v="44453"/>
    <x v="0"/>
    <x v="0"/>
    <s v="UGG"/>
    <x v="2"/>
    <n v="-11164001.109999999"/>
    <x v="224"/>
    <x v="10"/>
    <m/>
    <x v="12"/>
    <m/>
    <x v="51"/>
    <m/>
    <m/>
    <m/>
    <m/>
    <m/>
    <s v="Negative"/>
    <n v="-11164001.109999999"/>
  </r>
  <r>
    <x v="4"/>
    <n v="0"/>
    <m/>
    <d v="1899-12-30T00:00:00"/>
    <d v="1899-12-30T00:00:00"/>
    <n v="44453"/>
    <x v="0"/>
    <x v="0"/>
    <s v="Saucony"/>
    <x v="3"/>
    <n v="-30000"/>
    <x v="224"/>
    <x v="77"/>
    <m/>
    <x v="12"/>
    <m/>
    <x v="48"/>
    <m/>
    <m/>
    <m/>
    <m/>
    <m/>
    <s v="Negative"/>
    <n v="-30000"/>
  </r>
  <r>
    <x v="4"/>
    <n v="0"/>
    <m/>
    <d v="1899-12-30T00:00:00"/>
    <d v="1899-12-30T00:00:00"/>
    <n v="44453"/>
    <x v="0"/>
    <x v="0"/>
    <s v="Saucony"/>
    <x v="3"/>
    <n v="-84999.4"/>
    <x v="224"/>
    <x v="77"/>
    <m/>
    <x v="12"/>
    <m/>
    <x v="68"/>
    <m/>
    <m/>
    <m/>
    <m/>
    <m/>
    <s v="Negative"/>
    <n v="-84999.4"/>
  </r>
  <r>
    <x v="4"/>
    <n v="0"/>
    <m/>
    <d v="1899-12-30T00:00:00"/>
    <d v="1899-12-30T00:00:00"/>
    <n v="44453"/>
    <x v="0"/>
    <x v="0"/>
    <s v="Saucony"/>
    <x v="3"/>
    <n v="-30000"/>
    <x v="224"/>
    <x v="77"/>
    <m/>
    <x v="12"/>
    <m/>
    <x v="49"/>
    <m/>
    <m/>
    <m/>
    <m/>
    <m/>
    <s v="Negative"/>
    <n v="-30000"/>
  </r>
  <r>
    <x v="4"/>
    <n v="0"/>
    <m/>
    <d v="1899-12-30T00:00:00"/>
    <d v="1899-12-30T00:00:00"/>
    <n v="44453"/>
    <x v="0"/>
    <x v="0"/>
    <s v="Dr.Martens"/>
    <x v="4"/>
    <n v="-3825.89"/>
    <x v="224"/>
    <x v="37"/>
    <m/>
    <x v="12"/>
    <m/>
    <x v="59"/>
    <m/>
    <m/>
    <m/>
    <m/>
    <m/>
    <s v="Negative"/>
    <n v="-3825.89"/>
  </r>
  <r>
    <x v="4"/>
    <n v="0"/>
    <m/>
    <d v="1899-12-30T00:00:00"/>
    <d v="1899-12-30T00:00:00"/>
    <n v="44453"/>
    <x v="0"/>
    <x v="0"/>
    <s v="Dr.Martens"/>
    <x v="4"/>
    <n v="-315791.78999999998"/>
    <x v="224"/>
    <x v="37"/>
    <m/>
    <x v="12"/>
    <m/>
    <x v="65"/>
    <m/>
    <m/>
    <m/>
    <m/>
    <m/>
    <s v="Negative"/>
    <n v="-315791.78999999998"/>
  </r>
  <r>
    <x v="4"/>
    <n v="0"/>
    <m/>
    <d v="1899-12-30T00:00:00"/>
    <d v="1899-12-30T00:00:00"/>
    <n v="44453"/>
    <x v="0"/>
    <x v="0"/>
    <s v="Converse"/>
    <x v="1"/>
    <n v="-186571"/>
    <x v="224"/>
    <x v="16"/>
    <m/>
    <x v="12"/>
    <m/>
    <x v="40"/>
    <m/>
    <m/>
    <m/>
    <m/>
    <m/>
    <s v="Negative"/>
    <n v="-186571"/>
  </r>
  <r>
    <x v="4"/>
    <n v="0"/>
    <m/>
    <d v="1899-12-30T00:00:00"/>
    <d v="1899-12-30T00:00:00"/>
    <n v="44453"/>
    <x v="0"/>
    <x v="0"/>
    <s v="Converse"/>
    <x v="1"/>
    <n v="-4628"/>
    <x v="224"/>
    <x v="16"/>
    <m/>
    <x v="12"/>
    <m/>
    <x v="44"/>
    <m/>
    <m/>
    <m/>
    <m/>
    <m/>
    <s v="Negative"/>
    <n v="-4628"/>
  </r>
  <r>
    <x v="4"/>
    <n v="0"/>
    <m/>
    <d v="1899-12-30T00:00:00"/>
    <d v="1899-12-30T00:00:00"/>
    <n v="44453"/>
    <x v="0"/>
    <x v="0"/>
    <s v="Converse"/>
    <x v="1"/>
    <n v="-98114"/>
    <x v="224"/>
    <x v="16"/>
    <m/>
    <x v="12"/>
    <m/>
    <x v="53"/>
    <m/>
    <m/>
    <m/>
    <m/>
    <m/>
    <s v="Negative"/>
    <n v="-98114"/>
  </r>
  <r>
    <x v="4"/>
    <n v="0"/>
    <m/>
    <d v="1899-12-30T00:00:00"/>
    <d v="1899-12-30T00:00:00"/>
    <n v="44453"/>
    <x v="0"/>
    <x v="0"/>
    <s v="Dr.Martens"/>
    <x v="4"/>
    <n v="-229158.34"/>
    <x v="224"/>
    <x v="16"/>
    <m/>
    <x v="12"/>
    <m/>
    <x v="65"/>
    <m/>
    <m/>
    <m/>
    <m/>
    <m/>
    <s v="Negative"/>
    <n v="-229158.34"/>
  </r>
  <r>
    <x v="4"/>
    <n v="0"/>
    <m/>
    <d v="1899-12-30T00:00:00"/>
    <d v="1899-12-30T00:00:00"/>
    <n v="44453"/>
    <x v="0"/>
    <x v="0"/>
    <s v="Dr.Martens"/>
    <x v="4"/>
    <n v="-69939.960000000006"/>
    <x v="224"/>
    <x v="16"/>
    <m/>
    <x v="12"/>
    <m/>
    <x v="47"/>
    <m/>
    <m/>
    <m/>
    <m/>
    <m/>
    <s v="Negative"/>
    <n v="-69939.960000000006"/>
  </r>
  <r>
    <x v="4"/>
    <n v="0"/>
    <m/>
    <d v="1899-12-30T00:00:00"/>
    <d v="1899-12-30T00:00:00"/>
    <n v="44453"/>
    <x v="0"/>
    <x v="0"/>
    <s v="Saucony"/>
    <x v="3"/>
    <n v="-66120"/>
    <x v="224"/>
    <x v="16"/>
    <m/>
    <x v="12"/>
    <m/>
    <x v="49"/>
    <m/>
    <m/>
    <m/>
    <m/>
    <m/>
    <s v="Negative"/>
    <n v="-66120"/>
  </r>
  <r>
    <x v="4"/>
    <n v="0"/>
    <m/>
    <d v="1899-12-30T00:00:00"/>
    <d v="1899-12-30T00:00:00"/>
    <n v="44453"/>
    <x v="0"/>
    <x v="0"/>
    <s v="UGG"/>
    <x v="2"/>
    <n v="-228478.75"/>
    <x v="224"/>
    <x v="16"/>
    <m/>
    <x v="12"/>
    <m/>
    <x v="51"/>
    <m/>
    <m/>
    <m/>
    <m/>
    <m/>
    <s v="Negative"/>
    <n v="-228478.75"/>
  </r>
  <r>
    <x v="4"/>
    <n v="0"/>
    <m/>
    <d v="1899-12-30T00:00:00"/>
    <d v="1899-12-30T00:00:00"/>
    <n v="44453"/>
    <x v="0"/>
    <x v="0"/>
    <s v="Dr.Martens"/>
    <x v="4"/>
    <n v="-47278.38"/>
    <x v="224"/>
    <x v="78"/>
    <m/>
    <x v="12"/>
    <m/>
    <x v="69"/>
    <m/>
    <m/>
    <m/>
    <m/>
    <m/>
    <s v="Negative"/>
    <n v="-47278.38"/>
  </r>
  <r>
    <x v="4"/>
    <n v="0"/>
    <m/>
    <d v="1899-12-30T00:00:00"/>
    <d v="1899-12-30T00:00:00"/>
    <n v="44453"/>
    <x v="0"/>
    <x v="0"/>
    <s v="Dr.Martens"/>
    <x v="4"/>
    <n v="-52335.03"/>
    <x v="224"/>
    <x v="79"/>
    <m/>
    <x v="12"/>
    <m/>
    <x v="46"/>
    <m/>
    <m/>
    <m/>
    <m/>
    <m/>
    <s v="Negative"/>
    <n v="-52335.03"/>
  </r>
  <r>
    <x v="4"/>
    <n v="0"/>
    <m/>
    <d v="1899-12-30T00:00:00"/>
    <d v="1899-12-30T00:00:00"/>
    <n v="44453"/>
    <x v="0"/>
    <x v="0"/>
    <s v="Saucony"/>
    <x v="3"/>
    <n v="-27902.720000000001"/>
    <x v="224"/>
    <x v="79"/>
    <m/>
    <x v="12"/>
    <m/>
    <x v="48"/>
    <m/>
    <m/>
    <m/>
    <m/>
    <m/>
    <s v="Negative"/>
    <n v="-27902.720000000001"/>
  </r>
  <r>
    <x v="4"/>
    <n v="0"/>
    <m/>
    <d v="1899-12-30T00:00:00"/>
    <d v="1899-12-30T00:00:00"/>
    <n v="44453"/>
    <x v="0"/>
    <x v="0"/>
    <s v="Saucony"/>
    <x v="3"/>
    <n v="-18868"/>
    <x v="224"/>
    <x v="79"/>
    <m/>
    <x v="12"/>
    <m/>
    <x v="68"/>
    <m/>
    <m/>
    <m/>
    <m/>
    <m/>
    <s v="Negative"/>
    <n v="-18868"/>
  </r>
  <r>
    <x v="4"/>
    <n v="0"/>
    <m/>
    <d v="1899-12-30T00:00:00"/>
    <d v="1899-12-30T00:00:00"/>
    <n v="44453"/>
    <x v="0"/>
    <x v="0"/>
    <s v="Saucony"/>
    <x v="3"/>
    <n v="-50000"/>
    <x v="224"/>
    <x v="79"/>
    <m/>
    <x v="12"/>
    <m/>
    <x v="49"/>
    <m/>
    <m/>
    <m/>
    <m/>
    <m/>
    <s v="Negative"/>
    <n v="-50000"/>
  </r>
  <r>
    <x v="4"/>
    <n v="0"/>
    <m/>
    <d v="1899-12-30T00:00:00"/>
    <d v="1899-12-30T00:00:00"/>
    <n v="44453"/>
    <x v="0"/>
    <x v="0"/>
    <s v="Converse"/>
    <x v="1"/>
    <n v="-387610"/>
    <x v="224"/>
    <x v="80"/>
    <m/>
    <x v="12"/>
    <m/>
    <x v="41"/>
    <m/>
    <m/>
    <m/>
    <m/>
    <m/>
    <s v="Negative"/>
    <n v="-387610"/>
  </r>
  <r>
    <x v="4"/>
    <n v="0"/>
    <m/>
    <d v="1899-12-30T00:00:00"/>
    <d v="1899-12-30T00:00:00"/>
    <n v="44453"/>
    <x v="0"/>
    <x v="0"/>
    <s v="Dr.Martens"/>
    <x v="4"/>
    <n v="-366645.59"/>
    <x v="224"/>
    <x v="80"/>
    <m/>
    <x v="12"/>
    <m/>
    <x v="65"/>
    <m/>
    <m/>
    <m/>
    <m/>
    <m/>
    <s v="Negative"/>
    <n v="-366645.59"/>
  </r>
  <r>
    <x v="4"/>
    <n v="0"/>
    <m/>
    <d v="1899-12-30T00:00:00"/>
    <d v="1899-12-30T00:00:00"/>
    <n v="44453"/>
    <x v="0"/>
    <x v="0"/>
    <s v="UGG"/>
    <x v="2"/>
    <n v="-190406.81"/>
    <x v="224"/>
    <x v="80"/>
    <m/>
    <x v="12"/>
    <m/>
    <x v="51"/>
    <m/>
    <m/>
    <m/>
    <m/>
    <m/>
    <s v="Negative"/>
    <n v="-190406.81"/>
  </r>
  <r>
    <x v="4"/>
    <n v="0"/>
    <m/>
    <d v="1899-12-30T00:00:00"/>
    <d v="1899-12-30T00:00:00"/>
    <n v="44453"/>
    <x v="0"/>
    <x v="0"/>
    <s v="Converse"/>
    <x v="1"/>
    <n v="-46500"/>
    <x v="224"/>
    <x v="81"/>
    <m/>
    <x v="12"/>
    <m/>
    <x v="57"/>
    <m/>
    <m/>
    <m/>
    <m/>
    <m/>
    <s v="Negative"/>
    <n v="-46500"/>
  </r>
  <r>
    <x v="4"/>
    <n v="0"/>
    <m/>
    <d v="1899-12-30T00:00:00"/>
    <d v="1899-12-30T00:00:00"/>
    <n v="44453"/>
    <x v="0"/>
    <x v="0"/>
    <s v="Dr.Martens"/>
    <x v="4"/>
    <n v="-232483.92"/>
    <x v="224"/>
    <x v="82"/>
    <m/>
    <x v="12"/>
    <m/>
    <x v="46"/>
    <m/>
    <m/>
    <m/>
    <m/>
    <m/>
    <s v="Negative"/>
    <n v="-232483.92"/>
  </r>
  <r>
    <x v="4"/>
    <n v="0"/>
    <m/>
    <d v="1899-12-30T00:00:00"/>
    <d v="1899-12-30T00:00:00"/>
    <n v="44453"/>
    <x v="0"/>
    <x v="0"/>
    <s v="Dr.Martens"/>
    <x v="4"/>
    <n v="-96417.26"/>
    <x v="224"/>
    <x v="82"/>
    <m/>
    <x v="12"/>
    <m/>
    <x v="47"/>
    <m/>
    <m/>
    <m/>
    <m/>
    <m/>
    <s v="Negative"/>
    <n v="-96417.26"/>
  </r>
  <r>
    <x v="4"/>
    <n v="0"/>
    <m/>
    <d v="1899-12-30T00:00:00"/>
    <d v="1899-12-30T00:00:00"/>
    <n v="44453"/>
    <x v="0"/>
    <x v="0"/>
    <s v="UGG"/>
    <x v="2"/>
    <n v="-71128.600000000006"/>
    <x v="224"/>
    <x v="82"/>
    <m/>
    <x v="12"/>
    <m/>
    <x v="52"/>
    <m/>
    <m/>
    <m/>
    <m/>
    <m/>
    <s v="Negative"/>
    <n v="-71128.600000000006"/>
  </r>
  <r>
    <x v="4"/>
    <n v="0"/>
    <m/>
    <d v="1899-12-30T00:00:00"/>
    <d v="1899-12-30T00:00:00"/>
    <n v="44453"/>
    <x v="0"/>
    <x v="0"/>
    <s v="Dr.Martens"/>
    <x v="4"/>
    <n v="-840088.11"/>
    <x v="224"/>
    <x v="39"/>
    <m/>
    <x v="12"/>
    <m/>
    <x v="65"/>
    <m/>
    <m/>
    <m/>
    <m/>
    <m/>
    <s v="Negative"/>
    <n v="-840088.11"/>
  </r>
  <r>
    <x v="4"/>
    <n v="0"/>
    <m/>
    <d v="1899-12-30T00:00:00"/>
    <d v="1899-12-30T00:00:00"/>
    <n v="44453"/>
    <x v="0"/>
    <x v="0"/>
    <s v="Dr.Martens"/>
    <x v="4"/>
    <n v="-416335.41"/>
    <x v="224"/>
    <x v="39"/>
    <m/>
    <x v="12"/>
    <m/>
    <x v="47"/>
    <m/>
    <m/>
    <m/>
    <m/>
    <m/>
    <s v="Negative"/>
    <n v="-416335.41"/>
  </r>
  <r>
    <x v="4"/>
    <n v="0"/>
    <m/>
    <d v="1899-12-30T00:00:00"/>
    <d v="1899-12-30T00:00:00"/>
    <n v="44453"/>
    <x v="0"/>
    <x v="0"/>
    <s v="UGG"/>
    <x v="2"/>
    <n v="-297741.08"/>
    <x v="224"/>
    <x v="39"/>
    <m/>
    <x v="12"/>
    <m/>
    <x v="70"/>
    <m/>
    <m/>
    <m/>
    <m/>
    <m/>
    <s v="Negative"/>
    <n v="-297741.08"/>
  </r>
  <r>
    <x v="4"/>
    <n v="0"/>
    <m/>
    <d v="1899-12-30T00:00:00"/>
    <d v="1899-12-30T00:00:00"/>
    <n v="44453"/>
    <x v="0"/>
    <x v="0"/>
    <s v="UGG"/>
    <x v="2"/>
    <n v="-78507.97"/>
    <x v="224"/>
    <x v="39"/>
    <m/>
    <x v="12"/>
    <m/>
    <x v="55"/>
    <m/>
    <m/>
    <m/>
    <m/>
    <m/>
    <s v="Negative"/>
    <n v="-78507.97"/>
  </r>
  <r>
    <x v="4"/>
    <n v="0"/>
    <m/>
    <d v="1899-12-30T00:00:00"/>
    <d v="1899-12-30T00:00:00"/>
    <n v="44453"/>
    <x v="0"/>
    <x v="0"/>
    <s v="Converse"/>
    <x v="1"/>
    <n v="-3319968.6"/>
    <x v="224"/>
    <x v="33"/>
    <m/>
    <x v="12"/>
    <m/>
    <x v="40"/>
    <m/>
    <m/>
    <m/>
    <m/>
    <m/>
    <s v="Negative"/>
    <n v="-3319968.6"/>
  </r>
  <r>
    <x v="4"/>
    <n v="0"/>
    <m/>
    <d v="1899-12-30T00:00:00"/>
    <d v="1899-12-30T00:00:00"/>
    <n v="44453"/>
    <x v="0"/>
    <x v="0"/>
    <s v="Converse"/>
    <x v="1"/>
    <n v="-5509044.4500000002"/>
    <x v="224"/>
    <x v="33"/>
    <m/>
    <x v="12"/>
    <m/>
    <x v="41"/>
    <m/>
    <m/>
    <m/>
    <m/>
    <m/>
    <s v="Negative"/>
    <n v="-5509044.4500000002"/>
  </r>
  <r>
    <x v="4"/>
    <n v="0"/>
    <m/>
    <d v="1899-12-30T00:00:00"/>
    <d v="1899-12-30T00:00:00"/>
    <n v="44453"/>
    <x v="0"/>
    <x v="0"/>
    <s v="Dr.Martens"/>
    <x v="4"/>
    <n v="-15757218"/>
    <x v="224"/>
    <x v="33"/>
    <m/>
    <x v="12"/>
    <m/>
    <x v="46"/>
    <m/>
    <m/>
    <m/>
    <m/>
    <m/>
    <s v="Negative"/>
    <n v="-15757218"/>
  </r>
  <r>
    <x v="4"/>
    <n v="0"/>
    <m/>
    <d v="1899-12-30T00:00:00"/>
    <d v="1899-12-30T00:00:00"/>
    <n v="44453"/>
    <x v="0"/>
    <x v="0"/>
    <s v="Dr.Martens"/>
    <x v="4"/>
    <n v="-5009184.18"/>
    <x v="224"/>
    <x v="33"/>
    <m/>
    <x v="12"/>
    <m/>
    <x v="47"/>
    <m/>
    <m/>
    <m/>
    <m/>
    <m/>
    <s v="Negative"/>
    <n v="-5009184.18"/>
  </r>
  <r>
    <x v="4"/>
    <n v="0"/>
    <m/>
    <d v="1899-12-30T00:00:00"/>
    <d v="1899-12-30T00:00:00"/>
    <n v="44453"/>
    <x v="0"/>
    <x v="0"/>
    <s v="Saucony"/>
    <x v="3"/>
    <n v="-510003.36"/>
    <x v="224"/>
    <x v="33"/>
    <m/>
    <x v="12"/>
    <m/>
    <x v="48"/>
    <m/>
    <m/>
    <m/>
    <m/>
    <m/>
    <s v="Negative"/>
    <n v="-510003.36"/>
  </r>
  <r>
    <x v="4"/>
    <n v="0"/>
    <m/>
    <d v="1899-12-30T00:00:00"/>
    <d v="1899-12-30T00:00:00"/>
    <n v="44453"/>
    <x v="0"/>
    <x v="0"/>
    <s v="Saucony"/>
    <x v="3"/>
    <n v="-2186977.5"/>
    <x v="224"/>
    <x v="33"/>
    <m/>
    <x v="12"/>
    <m/>
    <x v="49"/>
    <m/>
    <m/>
    <m/>
    <m/>
    <m/>
    <s v="Negative"/>
    <n v="-2186977.5"/>
  </r>
  <r>
    <x v="4"/>
    <n v="0"/>
    <m/>
    <d v="1899-12-30T00:00:00"/>
    <d v="1899-12-30T00:00:00"/>
    <n v="44453"/>
    <x v="0"/>
    <x v="0"/>
    <s v="UGG"/>
    <x v="2"/>
    <n v="-10456902.640000001"/>
    <x v="224"/>
    <x v="33"/>
    <m/>
    <x v="12"/>
    <m/>
    <x v="51"/>
    <m/>
    <m/>
    <m/>
    <m/>
    <m/>
    <s v="Negative"/>
    <n v="-10456902.640000001"/>
  </r>
  <r>
    <x v="4"/>
    <n v="0"/>
    <m/>
    <d v="1899-12-30T00:00:00"/>
    <d v="1899-12-30T00:00:00"/>
    <n v="44453"/>
    <x v="0"/>
    <x v="0"/>
    <s v="UGG"/>
    <x v="2"/>
    <n v="-1490040"/>
    <x v="224"/>
    <x v="33"/>
    <m/>
    <x v="12"/>
    <m/>
    <x v="55"/>
    <m/>
    <m/>
    <m/>
    <m/>
    <m/>
    <s v="Negative"/>
    <n v="-1490040"/>
  </r>
  <r>
    <x v="4"/>
    <n v="0"/>
    <m/>
    <d v="1899-12-30T00:00:00"/>
    <d v="1899-12-30T00:00:00"/>
    <n v="44453"/>
    <x v="0"/>
    <x v="0"/>
    <s v="Converse"/>
    <x v="1"/>
    <n v="-3278285.78"/>
    <x v="224"/>
    <x v="18"/>
    <m/>
    <x v="12"/>
    <m/>
    <x v="40"/>
    <m/>
    <m/>
    <m/>
    <m/>
    <m/>
    <s v="Negative"/>
    <n v="-3278285.78"/>
  </r>
  <r>
    <x v="4"/>
    <n v="0"/>
    <m/>
    <d v="1899-12-30T00:00:00"/>
    <d v="1899-12-30T00:00:00"/>
    <n v="44453"/>
    <x v="0"/>
    <x v="0"/>
    <s v="Converse"/>
    <x v="1"/>
    <n v="-9711000.9900000002"/>
    <x v="224"/>
    <x v="18"/>
    <m/>
    <x v="12"/>
    <m/>
    <x v="41"/>
    <m/>
    <m/>
    <m/>
    <m/>
    <m/>
    <s v="Negative"/>
    <n v="-9711000.9900000002"/>
  </r>
  <r>
    <x v="4"/>
    <n v="0"/>
    <m/>
    <d v="1899-12-30T00:00:00"/>
    <d v="1899-12-30T00:00:00"/>
    <n v="44453"/>
    <x v="0"/>
    <x v="0"/>
    <s v="Converse"/>
    <x v="1"/>
    <n v="-3192908.84"/>
    <x v="224"/>
    <x v="18"/>
    <m/>
    <x v="12"/>
    <m/>
    <x v="45"/>
    <m/>
    <m/>
    <m/>
    <m/>
    <m/>
    <s v="Negative"/>
    <n v="-3192908.84"/>
  </r>
  <r>
    <x v="4"/>
    <n v="0"/>
    <m/>
    <d v="1899-12-30T00:00:00"/>
    <d v="1899-12-30T00:00:00"/>
    <n v="44453"/>
    <x v="0"/>
    <x v="0"/>
    <s v="Dr.Martens"/>
    <x v="4"/>
    <n v="-3321050.96"/>
    <x v="224"/>
    <x v="18"/>
    <m/>
    <x v="12"/>
    <m/>
    <x v="46"/>
    <m/>
    <m/>
    <m/>
    <m/>
    <m/>
    <s v="Negative"/>
    <n v="-3321050.96"/>
  </r>
  <r>
    <x v="4"/>
    <n v="0"/>
    <m/>
    <d v="1899-12-30T00:00:00"/>
    <d v="1899-12-30T00:00:00"/>
    <n v="44453"/>
    <x v="0"/>
    <x v="0"/>
    <s v="Dr.Martens"/>
    <x v="4"/>
    <n v="-334570.84999999998"/>
    <x v="224"/>
    <x v="18"/>
    <m/>
    <x v="12"/>
    <m/>
    <x v="47"/>
    <m/>
    <m/>
    <m/>
    <m/>
    <m/>
    <s v="Negative"/>
    <n v="-334570.84999999998"/>
  </r>
  <r>
    <x v="4"/>
    <n v="0"/>
    <m/>
    <d v="1899-12-30T00:00:00"/>
    <d v="1899-12-30T00:00:00"/>
    <n v="44453"/>
    <x v="0"/>
    <x v="0"/>
    <s v="UGG"/>
    <x v="2"/>
    <n v="-828931.38"/>
    <x v="224"/>
    <x v="18"/>
    <m/>
    <x v="12"/>
    <m/>
    <x v="52"/>
    <m/>
    <m/>
    <m/>
    <m/>
    <m/>
    <s v="Negative"/>
    <n v="-828931.38"/>
  </r>
  <r>
    <x v="4"/>
    <n v="0"/>
    <m/>
    <d v="1899-12-30T00:00:00"/>
    <d v="1899-12-30T00:00:00"/>
    <n v="44453"/>
    <x v="0"/>
    <x v="0"/>
    <s v="Converse"/>
    <x v="1"/>
    <n v="-384334.6"/>
    <x v="224"/>
    <x v="25"/>
    <m/>
    <x v="12"/>
    <m/>
    <x v="40"/>
    <m/>
    <m/>
    <m/>
    <m/>
    <m/>
    <s v="Negative"/>
    <n v="-384334.6"/>
  </r>
  <r>
    <x v="4"/>
    <n v="0"/>
    <m/>
    <d v="1899-12-30T00:00:00"/>
    <d v="1899-12-30T00:00:00"/>
    <n v="44453"/>
    <x v="0"/>
    <x v="0"/>
    <s v="Converse"/>
    <x v="1"/>
    <n v="-552658.24"/>
    <x v="224"/>
    <x v="25"/>
    <m/>
    <x v="12"/>
    <m/>
    <x v="44"/>
    <m/>
    <m/>
    <m/>
    <m/>
    <m/>
    <s v="Negative"/>
    <n v="-552658.24"/>
  </r>
  <r>
    <x v="4"/>
    <n v="0"/>
    <m/>
    <d v="1899-12-30T00:00:00"/>
    <d v="1899-12-30T00:00:00"/>
    <n v="44453"/>
    <x v="0"/>
    <x v="0"/>
    <s v="Converse"/>
    <x v="1"/>
    <n v="-134208"/>
    <x v="224"/>
    <x v="83"/>
    <m/>
    <x v="12"/>
    <m/>
    <x v="53"/>
    <m/>
    <m/>
    <m/>
    <m/>
    <m/>
    <s v="Negative"/>
    <n v="-134208"/>
  </r>
  <r>
    <x v="4"/>
    <n v="0"/>
    <m/>
    <d v="1899-12-30T00:00:00"/>
    <d v="1899-12-30T00:00:00"/>
    <n v="44453"/>
    <x v="0"/>
    <x v="0"/>
    <s v="Havaianas"/>
    <x v="5"/>
    <n v="-17188.46"/>
    <x v="224"/>
    <x v="83"/>
    <m/>
    <x v="12"/>
    <m/>
    <x v="50"/>
    <m/>
    <m/>
    <m/>
    <m/>
    <m/>
    <s v="Negative"/>
    <n v="-17188.46"/>
  </r>
  <r>
    <x v="4"/>
    <n v="0"/>
    <m/>
    <d v="1899-12-30T00:00:00"/>
    <d v="1899-12-30T00:00:00"/>
    <n v="44453"/>
    <x v="0"/>
    <x v="0"/>
    <s v="Converse"/>
    <x v="1"/>
    <n v="-33289.65"/>
    <x v="224"/>
    <x v="84"/>
    <m/>
    <x v="12"/>
    <m/>
    <x v="71"/>
    <m/>
    <m/>
    <m/>
    <m/>
    <m/>
    <s v="Negative"/>
    <n v="-33289.65"/>
  </r>
  <r>
    <x v="4"/>
    <n v="0"/>
    <m/>
    <d v="1899-12-30T00:00:00"/>
    <d v="1899-12-30T00:00:00"/>
    <n v="44453"/>
    <x v="0"/>
    <x v="0"/>
    <s v="Converse"/>
    <x v="1"/>
    <n v="-43844.31"/>
    <x v="224"/>
    <x v="84"/>
    <m/>
    <x v="12"/>
    <m/>
    <x v="41"/>
    <m/>
    <m/>
    <m/>
    <m/>
    <m/>
    <s v="Negative"/>
    <n v="-43844.31"/>
  </r>
  <r>
    <x v="4"/>
    <n v="0"/>
    <m/>
    <d v="1899-12-30T00:00:00"/>
    <d v="1899-12-30T00:00:00"/>
    <n v="44453"/>
    <x v="0"/>
    <x v="0"/>
    <s v="Dr.Martens"/>
    <x v="4"/>
    <n v="-384036.65"/>
    <x v="224"/>
    <x v="84"/>
    <m/>
    <x v="12"/>
    <m/>
    <x v="46"/>
    <m/>
    <m/>
    <m/>
    <m/>
    <m/>
    <s v="Negative"/>
    <n v="-384036.65"/>
  </r>
  <r>
    <x v="4"/>
    <n v="0"/>
    <m/>
    <d v="1899-12-30T00:00:00"/>
    <d v="1899-12-30T00:00:00"/>
    <n v="44453"/>
    <x v="0"/>
    <x v="0"/>
    <s v="Dr.Martens"/>
    <x v="4"/>
    <n v="-77641"/>
    <x v="224"/>
    <x v="84"/>
    <m/>
    <x v="12"/>
    <m/>
    <x v="47"/>
    <m/>
    <m/>
    <m/>
    <m/>
    <m/>
    <s v="Negative"/>
    <n v="-77641"/>
  </r>
  <r>
    <x v="4"/>
    <n v="0"/>
    <m/>
    <d v="1899-12-30T00:00:00"/>
    <d v="1899-12-30T00:00:00"/>
    <n v="44453"/>
    <x v="0"/>
    <x v="0"/>
    <s v="Converse"/>
    <x v="1"/>
    <n v="-294350.56"/>
    <x v="224"/>
    <x v="85"/>
    <m/>
    <x v="12"/>
    <m/>
    <x v="40"/>
    <m/>
    <m/>
    <m/>
    <m/>
    <m/>
    <s v="Negative"/>
    <n v="-294350.56"/>
  </r>
  <r>
    <x v="4"/>
    <n v="0"/>
    <m/>
    <d v="1899-12-30T00:00:00"/>
    <d v="1899-12-30T00:00:00"/>
    <n v="44453"/>
    <x v="0"/>
    <x v="0"/>
    <s v="Converse"/>
    <x v="1"/>
    <n v="-0.12"/>
    <x v="224"/>
    <x v="85"/>
    <m/>
    <x v="12"/>
    <m/>
    <x v="44"/>
    <m/>
    <m/>
    <m/>
    <m/>
    <m/>
    <s v="Negative"/>
    <n v="-0.12"/>
  </r>
  <r>
    <x v="4"/>
    <n v="0"/>
    <m/>
    <d v="1899-12-30T00:00:00"/>
    <d v="1899-12-30T00:00:00"/>
    <n v="44453"/>
    <x v="0"/>
    <x v="0"/>
    <s v="Converse"/>
    <x v="1"/>
    <n v="-241890.85"/>
    <x v="224"/>
    <x v="85"/>
    <m/>
    <x v="12"/>
    <m/>
    <x v="41"/>
    <m/>
    <m/>
    <m/>
    <m/>
    <m/>
    <s v="Negative"/>
    <n v="-241890.85"/>
  </r>
  <r>
    <x v="4"/>
    <n v="0"/>
    <m/>
    <d v="1899-12-30T00:00:00"/>
    <d v="1899-12-30T00:00:00"/>
    <n v="44453"/>
    <x v="0"/>
    <x v="0"/>
    <s v="Dr.Martens"/>
    <x v="4"/>
    <n v="-287183.90999999997"/>
    <x v="224"/>
    <x v="85"/>
    <m/>
    <x v="12"/>
    <m/>
    <x v="46"/>
    <m/>
    <m/>
    <m/>
    <m/>
    <m/>
    <s v="Negative"/>
    <n v="-287183.90999999997"/>
  </r>
  <r>
    <x v="4"/>
    <n v="0"/>
    <m/>
    <d v="1899-12-30T00:00:00"/>
    <d v="1899-12-30T00:00:00"/>
    <n v="44453"/>
    <x v="0"/>
    <x v="0"/>
    <s v="Dr.Martens"/>
    <x v="4"/>
    <n v="-251493.6"/>
    <x v="224"/>
    <x v="85"/>
    <m/>
    <x v="12"/>
    <m/>
    <x v="72"/>
    <m/>
    <m/>
    <m/>
    <m/>
    <m/>
    <s v="Negative"/>
    <n v="-251493.6"/>
  </r>
  <r>
    <x v="4"/>
    <n v="0"/>
    <m/>
    <d v="1899-12-30T00:00:00"/>
    <d v="1899-12-30T00:00:00"/>
    <n v="44453"/>
    <x v="0"/>
    <x v="0"/>
    <s v="Dr.Martens"/>
    <x v="4"/>
    <n v="-197942.56"/>
    <x v="224"/>
    <x v="85"/>
    <m/>
    <x v="12"/>
    <m/>
    <x v="47"/>
    <m/>
    <m/>
    <m/>
    <m/>
    <m/>
    <s v="Negative"/>
    <n v="-197942.56"/>
  </r>
  <r>
    <x v="4"/>
    <n v="0"/>
    <m/>
    <d v="1899-12-30T00:00:00"/>
    <d v="1899-12-30T00:00:00"/>
    <n v="44453"/>
    <x v="0"/>
    <x v="0"/>
    <s v="Saucony"/>
    <x v="3"/>
    <n v="-72521.31"/>
    <x v="224"/>
    <x v="85"/>
    <m/>
    <x v="12"/>
    <m/>
    <x v="49"/>
    <m/>
    <m/>
    <m/>
    <m/>
    <m/>
    <s v="Negative"/>
    <n v="-72521.31"/>
  </r>
  <r>
    <x v="4"/>
    <n v="0"/>
    <m/>
    <d v="1899-12-30T00:00:00"/>
    <d v="1899-12-30T00:00:00"/>
    <n v="44453"/>
    <x v="0"/>
    <x v="0"/>
    <s v="Converse"/>
    <x v="1"/>
    <n v="-329792.7"/>
    <x v="224"/>
    <x v="28"/>
    <m/>
    <x v="12"/>
    <m/>
    <x v="41"/>
    <m/>
    <m/>
    <m/>
    <m/>
    <m/>
    <s v="Negative"/>
    <n v="-329792.7"/>
  </r>
  <r>
    <x v="4"/>
    <n v="0"/>
    <m/>
    <d v="1899-12-30T00:00:00"/>
    <d v="1899-12-30T00:00:00"/>
    <n v="44453"/>
    <x v="0"/>
    <x v="0"/>
    <s v="Dr.Martens"/>
    <x v="4"/>
    <n v="-189464.85"/>
    <x v="224"/>
    <x v="28"/>
    <m/>
    <x v="12"/>
    <m/>
    <x v="65"/>
    <m/>
    <m/>
    <m/>
    <m/>
    <m/>
    <s v="Negative"/>
    <n v="-189464.85"/>
  </r>
  <r>
    <x v="4"/>
    <n v="0"/>
    <m/>
    <d v="1899-12-30T00:00:00"/>
    <d v="1899-12-30T00:00:00"/>
    <n v="44453"/>
    <x v="0"/>
    <x v="0"/>
    <s v="Saucony"/>
    <x v="3"/>
    <n v="-25023.45"/>
    <x v="224"/>
    <x v="28"/>
    <m/>
    <x v="12"/>
    <m/>
    <x v="73"/>
    <m/>
    <m/>
    <m/>
    <m/>
    <m/>
    <s v="Negative"/>
    <n v="-25023.45"/>
  </r>
  <r>
    <x v="4"/>
    <n v="0"/>
    <m/>
    <d v="1899-12-30T00:00:00"/>
    <d v="1899-12-30T00:00:00"/>
    <n v="44453"/>
    <x v="0"/>
    <x v="0"/>
    <s v="UGG"/>
    <x v="2"/>
    <n v="-85944.35"/>
    <x v="224"/>
    <x v="86"/>
    <m/>
    <x v="12"/>
    <m/>
    <x v="52"/>
    <m/>
    <m/>
    <m/>
    <m/>
    <m/>
    <s v="Negative"/>
    <n v="-85944.35"/>
  </r>
  <r>
    <x v="4"/>
    <n v="0"/>
    <m/>
    <d v="1899-12-30T00:00:00"/>
    <d v="1899-12-30T00:00:00"/>
    <n v="44453"/>
    <x v="0"/>
    <x v="0"/>
    <s v="Converse"/>
    <x v="1"/>
    <n v="-2256"/>
    <x v="224"/>
    <x v="23"/>
    <m/>
    <x v="12"/>
    <m/>
    <x v="44"/>
    <m/>
    <m/>
    <m/>
    <m/>
    <m/>
    <s v="Negative"/>
    <n v="-2256"/>
  </r>
  <r>
    <x v="4"/>
    <n v="0"/>
    <m/>
    <d v="1899-12-30T00:00:00"/>
    <d v="1899-12-30T00:00:00"/>
    <n v="44453"/>
    <x v="0"/>
    <x v="0"/>
    <s v="Converse"/>
    <x v="1"/>
    <n v="-50000"/>
    <x v="224"/>
    <x v="23"/>
    <m/>
    <x v="12"/>
    <m/>
    <x v="41"/>
    <m/>
    <m/>
    <m/>
    <m/>
    <m/>
    <s v="Negative"/>
    <n v="-50000"/>
  </r>
  <r>
    <x v="4"/>
    <n v="0"/>
    <m/>
    <d v="1899-12-30T00:00:00"/>
    <d v="1899-12-30T00:00:00"/>
    <n v="44453"/>
    <x v="0"/>
    <x v="0"/>
    <s v="Converse"/>
    <x v="1"/>
    <n v="-50000"/>
    <x v="224"/>
    <x v="23"/>
    <m/>
    <x v="12"/>
    <m/>
    <x v="45"/>
    <m/>
    <m/>
    <m/>
    <m/>
    <m/>
    <s v="Negative"/>
    <n v="-50000"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  <r>
    <x v="5"/>
    <m/>
    <m/>
    <m/>
    <m/>
    <m/>
    <x v="8"/>
    <x v="5"/>
    <m/>
    <x v="7"/>
    <m/>
    <x v="224"/>
    <x v="87"/>
    <m/>
    <x v="12"/>
    <m/>
    <x v="74"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СводнаяТаблица2" cacheId="40" applyNumberFormats="0" applyBorderFormats="0" applyFontFormats="0" applyPatternFormats="0" applyAlignmentFormats="0" applyWidthHeightFormats="1" dataCaption="Values" updatedVersion="5" minRefreshableVersion="3" useAutoFormatting="1" rowGrandTotals="0" itemPrintTitles="1" createdVersion="6" indent="0" compact="0" compactData="0" gridDropZones="1" multipleFieldFilters="0">
  <location ref="A7:M95" firstHeaderRow="1" firstDataRow="2" firstDataCol="4" rowPageCount="3" colPageCount="1"/>
  <pivotFields count="24">
    <pivotField axis="axisPage" compact="0" outline="0" multipleItemSelectionAllowed="1" showAll="0">
      <items count="21">
        <item sd="0" x="4"/>
        <item sd="0" m="1" x="11"/>
        <item sd="0" m="1" x="15"/>
        <item sd="0" m="1" x="19"/>
        <item sd="0" m="1" x="16"/>
        <item sd="0" m="1" x="7"/>
        <item sd="0" m="1" x="9"/>
        <item sd="0" m="1" x="14"/>
        <item sd="0" m="1" x="12"/>
        <item sd="0" m="1" x="6"/>
        <item h="1" sd="0" m="1" x="10"/>
        <item x="2"/>
        <item h="1" sd="0" m="1" x="17"/>
        <item x="0"/>
        <item x="3"/>
        <item sd="0" m="1" x="8"/>
        <item sd="0" x="1"/>
        <item m="1" x="13"/>
        <item m="1" x="18"/>
        <item h="1" x="5"/>
        <item t="default" sd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>
      <items count="11">
        <item x="0"/>
        <item x="5"/>
        <item x="7"/>
        <item x="6"/>
        <item x="4"/>
        <item x="3"/>
        <item x="2"/>
        <item x="1"/>
        <item m="1" x="9"/>
        <item x="8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>
      <items count="9">
        <item x="4"/>
        <item x="3"/>
        <item x="2"/>
        <item m="1" x="6"/>
        <item m="1" x="7"/>
        <item x="1"/>
        <item x="0"/>
        <item x="5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2">
        <item sd="0" x="1"/>
        <item sd="0" x="4"/>
        <item sd="0" x="5"/>
        <item sd="0" m="1" x="17"/>
        <item sd="0" m="1" x="11"/>
        <item sd="0" x="3"/>
        <item sd="0" x="2"/>
        <item sd="0" m="1" x="12"/>
        <item sd="0" m="1" x="8"/>
        <item sd="0" m="1" x="9"/>
        <item sd="0" m="1" x="16"/>
        <item sd="0" m="1" x="13"/>
        <item sd="0" m="1" x="10"/>
        <item sd="0" m="1" x="19"/>
        <item sd="0" m="1" x="15"/>
        <item sd="0" m="1" x="14"/>
        <item sd="0" m="1" x="18"/>
        <item sd="0" m="1" x="20"/>
        <item sd="0" x="0"/>
        <item x="7"/>
        <item x="6"/>
        <item t="default" sd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176">
        <item x="2"/>
        <item m="1" x="2225"/>
        <item m="1" x="2362"/>
        <item m="1" x="376"/>
        <item m="1" x="2293"/>
        <item m="1" x="2328"/>
        <item m="1" x="2540"/>
        <item m="1" x="2541"/>
        <item m="1" x="707"/>
        <item m="1" x="862"/>
        <item m="1" x="927"/>
        <item m="1" x="2520"/>
        <item m="1" x="2120"/>
        <item m="1" x="2365"/>
        <item m="1" x="2366"/>
        <item m="1" x="2370"/>
        <item m="1" x="2372"/>
        <item m="1" x="700"/>
        <item m="1" x="702"/>
        <item m="1" x="712"/>
        <item m="1" x="715"/>
        <item m="1" x="2336"/>
        <item m="1" x="2339"/>
        <item m="1" x="2349"/>
        <item m="1" x="2353"/>
        <item m="1" x="2358"/>
        <item m="1" x="2375"/>
        <item m="1" x="701"/>
        <item m="1" x="703"/>
        <item m="1" x="704"/>
        <item m="1" x="705"/>
        <item m="1" x="709"/>
        <item m="1" x="713"/>
        <item m="1" x="716"/>
        <item m="1" x="721"/>
        <item m="1" x="724"/>
        <item m="1" x="727"/>
        <item m="1" x="2334"/>
        <item m="1" x="2337"/>
        <item m="1" x="2340"/>
        <item m="1" x="2344"/>
        <item m="1" x="2345"/>
        <item m="1" x="2347"/>
        <item m="1" x="2350"/>
        <item m="1" x="2354"/>
        <item m="1" x="2359"/>
        <item m="1" x="2361"/>
        <item m="1" x="681"/>
        <item m="1" x="684"/>
        <item m="1" x="685"/>
        <item m="1" x="687"/>
        <item m="1" x="2317"/>
        <item m="1" x="2318"/>
        <item m="1" x="2114"/>
        <item m="1" x="2338"/>
        <item m="1" x="2453"/>
        <item m="1" x="928"/>
        <item m="1" x="2563"/>
        <item m="1" x="2191"/>
        <item m="1" x="768"/>
        <item m="1" x="2080"/>
        <item m="1" x="2327"/>
        <item m="1" x="2142"/>
        <item m="1" x="2143"/>
        <item x="17"/>
        <item m="1" x="231"/>
        <item m="1" x="232"/>
        <item m="1" x="233"/>
        <item m="1" x="2406"/>
        <item m="1" x="2200"/>
        <item x="9"/>
        <item m="1" x="2871"/>
        <item m="1" x="2182"/>
        <item m="1" x="2869"/>
        <item m="1" x="242"/>
        <item m="1" x="243"/>
        <item x="11"/>
        <item m="1" x="247"/>
        <item m="1" x="249"/>
        <item m="1" x="266"/>
        <item m="1" x="267"/>
        <item m="1" x="268"/>
        <item m="1" x="272"/>
        <item x="15"/>
        <item m="1" x="279"/>
        <item m="1" x="2240"/>
        <item m="1" x="2388"/>
        <item x="7"/>
        <item m="1" x="2389"/>
        <item m="1" x="2390"/>
        <item x="0"/>
        <item x="3"/>
        <item m="1" x="2391"/>
        <item m="1" x="2392"/>
        <item m="1" x="2393"/>
        <item m="1" x="2394"/>
        <item m="1" x="2395"/>
        <item m="1" x="2396"/>
        <item m="1" x="2397"/>
        <item m="1" x="2398"/>
        <item m="1" x="2399"/>
        <item x="1"/>
        <item m="1" x="2386"/>
        <item m="1" x="2400"/>
        <item x="4"/>
        <item x="5"/>
        <item x="6"/>
        <item m="1" x="2401"/>
        <item m="1" x="2402"/>
        <item m="1" x="899"/>
        <item m="1" x="2446"/>
        <item m="1" x="2403"/>
        <item m="1" x="2373"/>
        <item m="1" x="723"/>
        <item m="1" x="464"/>
        <item m="1" x="3022"/>
        <item m="1" x="3139"/>
        <item m="1" x="2223"/>
        <item m="1" x="1017"/>
        <item m="1" x="3050"/>
        <item m="1" x="3140"/>
        <item m="1" x="2227"/>
        <item m="1" x="3071"/>
        <item m="1" x="2306"/>
        <item m="1" x="3142"/>
        <item m="1" x="3089"/>
        <item m="1" x="2307"/>
        <item m="1" x="3146"/>
        <item m="1" x="3102"/>
        <item m="1" x="1018"/>
        <item m="1" x="1019"/>
        <item m="1" x="3152"/>
        <item m="1" x="3116"/>
        <item m="1" x="1020"/>
        <item m="1" x="1021"/>
        <item m="1" x="882"/>
        <item m="1" x="1022"/>
        <item m="1" x="1023"/>
        <item m="1" x="884"/>
        <item m="1" x="2272"/>
        <item m="1" x="2911"/>
        <item m="1" x="2912"/>
        <item m="1" x="888"/>
        <item m="1" x="2510"/>
        <item m="1" x="2949"/>
        <item m="1" x="2950"/>
        <item m="1" x="890"/>
        <item m="1" x="2512"/>
        <item m="1" x="1024"/>
        <item m="1" x="893"/>
        <item m="1" x="2514"/>
        <item m="1" x="1025"/>
        <item m="1" x="2913"/>
        <item m="1" x="1026"/>
        <item m="1" x="896"/>
        <item m="1" x="1027"/>
        <item m="1" x="2764"/>
        <item m="1" x="2951"/>
        <item m="1" x="1028"/>
        <item m="1" x="900"/>
        <item m="1" x="1029"/>
        <item m="1" x="1030"/>
        <item m="1" x="2952"/>
        <item m="1" x="1031"/>
        <item m="1" x="903"/>
        <item m="1" x="1032"/>
        <item m="1" x="1033"/>
        <item m="1" x="2993"/>
        <item m="1" x="905"/>
        <item m="1" x="1034"/>
        <item m="1" x="1035"/>
        <item m="1" x="1036"/>
        <item m="1" x="3023"/>
        <item m="1" x="1037"/>
        <item m="1" x="3100"/>
        <item m="1" x="1038"/>
        <item m="1" x="1039"/>
        <item m="1" x="3051"/>
        <item m="1" x="3113"/>
        <item m="1" x="3170"/>
        <item m="1" x="1040"/>
        <item m="1" x="2914"/>
        <item m="1" x="831"/>
        <item m="1" x="1041"/>
        <item m="1" x="2953"/>
        <item m="1" x="838"/>
        <item m="1" x="2278"/>
        <item m="1" x="1042"/>
        <item m="1" x="2994"/>
        <item m="1" x="956"/>
        <item m="1" x="1043"/>
        <item m="1" x="3024"/>
        <item m="1" x="2915"/>
        <item m="1" x="2534"/>
        <item m="1" x="1044"/>
        <item m="1" x="1045"/>
        <item m="1" x="2954"/>
        <item m="1" x="1046"/>
        <item m="1" x="1047"/>
        <item m="1" x="1048"/>
        <item m="1" x="2995"/>
        <item m="1" x="1049"/>
        <item m="1" x="1050"/>
        <item m="1" x="3052"/>
        <item m="1" x="3025"/>
        <item m="1" x="1051"/>
        <item m="1" x="1052"/>
        <item m="1" x="3072"/>
        <item m="1" x="3053"/>
        <item m="1" x="1053"/>
        <item m="1" x="1054"/>
        <item m="1" x="1055"/>
        <item m="1" x="3090"/>
        <item m="1" x="3073"/>
        <item m="1" x="1056"/>
        <item m="1" x="1057"/>
        <item m="1" x="1058"/>
        <item m="1" x="3103"/>
        <item m="1" x="1059"/>
        <item m="1" x="1060"/>
        <item m="1" x="2236"/>
        <item m="1" x="1061"/>
        <item m="1" x="2955"/>
        <item m="1" x="1062"/>
        <item m="1" x="1063"/>
        <item m="1" x="2238"/>
        <item m="1" x="1064"/>
        <item m="1" x="2996"/>
        <item m="1" x="1065"/>
        <item m="1" x="1066"/>
        <item m="1" x="2916"/>
        <item m="1" x="3026"/>
        <item m="1" x="1067"/>
        <item m="1" x="1068"/>
        <item m="1" x="2956"/>
        <item m="1" x="3054"/>
        <item m="1" x="1069"/>
        <item m="1" x="1070"/>
        <item m="1" x="1071"/>
        <item m="1" x="3074"/>
        <item m="1" x="1072"/>
        <item m="1" x="843"/>
        <item m="1" x="1073"/>
        <item m="1" x="3091"/>
        <item m="1" x="848"/>
        <item m="1" x="2241"/>
        <item m="1" x="3088"/>
        <item m="1" x="3104"/>
        <item m="1" x="854"/>
        <item m="1" x="2243"/>
        <item m="1" x="2917"/>
        <item m="1" x="3101"/>
        <item m="1" x="3117"/>
        <item m="1" x="2244"/>
        <item m="1" x="2957"/>
        <item m="1" x="3114"/>
        <item m="1" x="834"/>
        <item m="1" x="2245"/>
        <item m="1" x="2997"/>
        <item m="1" x="832"/>
        <item m="1" x="840"/>
        <item m="1" x="2205"/>
        <item m="1" x="2246"/>
        <item m="1" x="3027"/>
        <item m="1" x="839"/>
        <item m="1" x="845"/>
        <item m="1" x="1074"/>
        <item m="1" x="2247"/>
        <item m="1" x="1075"/>
        <item m="1" x="844"/>
        <item m="1" x="849"/>
        <item m="1" x="1076"/>
        <item m="1" x="1077"/>
        <item m="1" x="1078"/>
        <item m="1" x="1079"/>
        <item m="1" x="855"/>
        <item m="1" x="1080"/>
        <item m="1" x="1081"/>
        <item m="1" x="1082"/>
        <item m="1" x="859"/>
        <item m="1" x="1083"/>
        <item m="1" x="1084"/>
        <item m="1" x="1085"/>
        <item m="1" x="864"/>
        <item m="1" x="1086"/>
        <item m="1" x="1087"/>
        <item m="1" x="1088"/>
        <item m="1" x="870"/>
        <item m="1" x="1089"/>
        <item m="1" x="1090"/>
        <item m="1" x="1091"/>
        <item m="1" x="875"/>
        <item m="1" x="1092"/>
        <item m="1" x="1093"/>
        <item m="1" x="1094"/>
        <item m="1" x="877"/>
        <item m="1" x="1095"/>
        <item m="1" x="1096"/>
        <item m="1" x="1097"/>
        <item m="1" x="2176"/>
        <item m="1" x="1098"/>
        <item m="1" x="1099"/>
        <item m="1" x="1100"/>
        <item m="1" x="2178"/>
        <item m="1" x="1101"/>
        <item m="1" x="1102"/>
        <item m="1" x="1103"/>
        <item m="1" x="2180"/>
        <item m="1" x="1104"/>
        <item m="1" x="1105"/>
        <item m="1" x="2183"/>
        <item m="1" x="1106"/>
        <item m="1" x="1107"/>
        <item m="1" x="2184"/>
        <item m="1" x="1108"/>
        <item m="1" x="1109"/>
        <item m="1" x="2918"/>
        <item m="1" x="1110"/>
        <item m="1" x="2185"/>
        <item m="1" x="1111"/>
        <item m="1" x="1112"/>
        <item m="1" x="2958"/>
        <item m="1" x="1113"/>
        <item m="1" x="2189"/>
        <item m="1" x="1114"/>
        <item m="1" x="1115"/>
        <item m="1" x="1116"/>
        <item m="1" x="2919"/>
        <item m="1" x="2190"/>
        <item m="1" x="1117"/>
        <item m="1" x="1118"/>
        <item m="1" x="363"/>
        <item m="1" x="2959"/>
        <item m="1" x="2192"/>
        <item m="1" x="1119"/>
        <item m="1" x="2515"/>
        <item m="1" x="364"/>
        <item m="1" x="2998"/>
        <item m="1" x="1120"/>
        <item m="1" x="2516"/>
        <item m="1" x="365"/>
        <item m="1" x="3028"/>
        <item m="1" x="2920"/>
        <item m="1" x="1121"/>
        <item m="1" x="2517"/>
        <item m="1" x="2960"/>
        <item m="1" x="1122"/>
        <item m="1" x="1123"/>
        <item m="1" x="2999"/>
        <item m="1" x="1124"/>
        <item m="1" x="1125"/>
        <item m="1" x="3029"/>
        <item m="1" x="2477"/>
        <item m="1" x="1126"/>
        <item m="1" x="3055"/>
        <item m="1" x="2479"/>
        <item m="1" x="1127"/>
        <item m="1" x="1128"/>
        <item m="1" x="1129"/>
        <item m="1" x="3075"/>
        <item m="1" x="1130"/>
        <item m="1" x="1131"/>
        <item m="1" x="374"/>
        <item m="1" x="3092"/>
        <item m="1" x="1132"/>
        <item m="1" x="1133"/>
        <item m="1" x="3105"/>
        <item m="1" x="1134"/>
        <item m="1" x="1135"/>
        <item m="1" x="1136"/>
        <item m="1" x="3118"/>
        <item m="1" x="1137"/>
        <item m="1" x="1138"/>
        <item m="1" x="1139"/>
        <item m="1" x="1140"/>
        <item m="1" x="426"/>
        <item m="1" x="835"/>
        <item m="1" x="1141"/>
        <item m="1" x="1142"/>
        <item m="1" x="1143"/>
        <item m="1" x="2525"/>
        <item m="1" x="1144"/>
        <item m="1" x="2921"/>
        <item m="1" x="1145"/>
        <item m="1" x="1146"/>
        <item m="1" x="2410"/>
        <item m="1" x="1147"/>
        <item m="1" x="2961"/>
        <item m="1" x="1148"/>
        <item m="1" x="1149"/>
        <item m="1" x="2412"/>
        <item m="1" x="1150"/>
        <item m="1" x="3000"/>
        <item m="1" x="1151"/>
        <item m="1" x="1152"/>
        <item m="1" x="1153"/>
        <item m="1" x="1154"/>
        <item m="1" x="3030"/>
        <item m="1" x="1155"/>
        <item m="1" x="1156"/>
        <item m="1" x="3056"/>
        <item m="1" x="1157"/>
        <item m="1" x="1158"/>
        <item m="1" x="1159"/>
        <item m="1" x="3076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367"/>
        <item m="1" x="1174"/>
        <item m="1" x="1175"/>
        <item m="1" x="1176"/>
        <item m="1" x="1001"/>
        <item m="1" x="1177"/>
        <item m="1" x="646"/>
        <item m="1" x="377"/>
        <item m="1" x="1178"/>
        <item m="1" x="648"/>
        <item m="1" x="1179"/>
        <item m="1" x="1180"/>
        <item m="1" x="650"/>
        <item m="1" x="1181"/>
        <item m="1" x="1182"/>
        <item m="1" x="652"/>
        <item m="1" x="1183"/>
        <item m="1" x="654"/>
        <item m="1" x="1184"/>
        <item m="1" x="1185"/>
        <item m="1" x="1186"/>
        <item m="1" x="382"/>
        <item m="1" x="3001"/>
        <item m="1" x="1187"/>
        <item m="1" x="1188"/>
        <item m="1" x="936"/>
        <item m="1" x="1189"/>
        <item m="1" x="1190"/>
        <item m="1" x="1191"/>
        <item m="1" x="2206"/>
        <item m="1" x="1192"/>
        <item m="1" x="3077"/>
        <item m="1" x="1193"/>
        <item m="1" x="1194"/>
        <item m="1" x="941"/>
        <item m="1" x="1195"/>
        <item m="1" x="1196"/>
        <item m="1" x="1197"/>
        <item m="1" x="1198"/>
        <item m="1" x="943"/>
        <item m="1" x="1199"/>
        <item m="1" x="1200"/>
        <item m="1" x="1201"/>
        <item m="1" x="1202"/>
        <item m="1" x="945"/>
        <item m="1" x="2922"/>
        <item m="1" x="1203"/>
        <item m="1" x="1204"/>
        <item m="1" x="947"/>
        <item m="1" x="2962"/>
        <item m="1" x="1205"/>
        <item m="1" x="1206"/>
        <item m="1" x="949"/>
        <item m="1" x="3002"/>
        <item m="1" x="1207"/>
        <item m="1" x="1208"/>
        <item m="1" x="952"/>
        <item m="1" x="3031"/>
        <item m="1" x="1209"/>
        <item m="1" x="954"/>
        <item m="1" x="3057"/>
        <item m="1" x="1210"/>
        <item m="1" x="422"/>
        <item m="1" x="3078"/>
        <item m="1" x="915"/>
        <item m="1" x="1211"/>
        <item m="1" x="1212"/>
        <item m="1" x="2717"/>
        <item m="1" x="3093"/>
        <item m="1" x="1213"/>
        <item m="1" x="1214"/>
        <item m="1" x="2725"/>
        <item m="1" x="3106"/>
        <item m="1" x="1215"/>
        <item m="1" x="430"/>
        <item m="1" x="3119"/>
        <item m="1" x="1216"/>
        <item m="1" x="1217"/>
        <item m="1" x="2726"/>
        <item m="1" x="1218"/>
        <item m="1" x="891"/>
        <item m="1" x="1219"/>
        <item m="1" x="894"/>
        <item m="1" x="1220"/>
        <item m="1" x="897"/>
        <item m="1" x="1221"/>
        <item m="1" x="1222"/>
        <item m="1" x="901"/>
        <item m="1" x="1223"/>
        <item m="1" x="1224"/>
        <item m="1" x="904"/>
        <item m="1" x="1225"/>
        <item m="1" x="1226"/>
        <item m="1" x="906"/>
        <item m="1" x="1227"/>
        <item m="1" x="1228"/>
        <item m="1" x="971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3069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2923"/>
        <item m="1" x="1272"/>
        <item m="1" x="1273"/>
        <item m="1" x="2963"/>
        <item m="1" x="1274"/>
        <item m="1" x="433"/>
        <item m="1" x="1275"/>
        <item m="1" x="3003"/>
        <item m="1" x="434"/>
        <item m="1" x="1276"/>
        <item m="1" x="3032"/>
        <item m="1" x="1277"/>
        <item m="1" x="436"/>
        <item m="1" x="1278"/>
        <item m="1" x="1279"/>
        <item m="1" x="3058"/>
        <item m="1" x="443"/>
        <item m="1" x="1280"/>
        <item m="1" x="1281"/>
        <item m="1" x="3079"/>
        <item m="1" x="447"/>
        <item m="1" x="1282"/>
        <item m="1" x="3094"/>
        <item m="1" x="972"/>
        <item m="1" x="1283"/>
        <item m="1" x="3107"/>
        <item m="1" x="1284"/>
        <item m="1" x="1285"/>
        <item m="1" x="1286"/>
        <item m="1" x="1287"/>
        <item m="1" x="1288"/>
        <item m="1" x="1289"/>
        <item m="1" x="863"/>
        <item m="1" x="1290"/>
        <item m="1" x="868"/>
        <item m="1" x="1291"/>
        <item m="1" x="874"/>
        <item m="1" x="1292"/>
        <item m="1" x="876"/>
        <item m="1" x="2546"/>
        <item m="1" x="1293"/>
        <item m="1" x="2175"/>
        <item m="1" x="1294"/>
        <item m="1" x="865"/>
        <item m="1" x="1295"/>
        <item m="1" x="2177"/>
        <item m="1" x="2279"/>
        <item m="1" x="871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923"/>
        <item m="1" x="1326"/>
        <item m="1" x="1327"/>
        <item m="1" x="924"/>
        <item m="1" x="942"/>
        <item m="1" x="2924"/>
        <item m="1" x="1328"/>
        <item m="1" x="944"/>
        <item m="1" x="2964"/>
        <item m="1" x="1329"/>
        <item m="1" x="946"/>
        <item m="1" x="1330"/>
        <item m="1" x="3004"/>
        <item m="1" x="1331"/>
        <item m="1" x="948"/>
        <item m="1" x="1332"/>
        <item m="1" x="3033"/>
        <item m="1" x="1333"/>
        <item m="1" x="951"/>
        <item m="1" x="1334"/>
        <item m="1" x="1335"/>
        <item m="1" x="1336"/>
        <item m="1" x="953"/>
        <item m="1" x="1337"/>
        <item m="1" x="1338"/>
        <item m="1" x="1339"/>
        <item m="1" x="1340"/>
        <item m="1" x="2207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2925"/>
        <item m="1" x="1367"/>
        <item m="1" x="1368"/>
        <item m="1" x="2965"/>
        <item m="1" x="1369"/>
        <item m="1" x="229"/>
        <item m="1" x="1370"/>
        <item m="1" x="1371"/>
        <item m="1" x="1372"/>
        <item m="1" x="352"/>
        <item m="1" x="1373"/>
        <item m="1" x="1374"/>
        <item m="1" x="1012"/>
        <item m="1" x="1375"/>
        <item m="1" x="1376"/>
        <item m="1" x="1013"/>
        <item m="1" x="2926"/>
        <item m="1" x="1377"/>
        <item m="1" x="353"/>
        <item m="1" x="1378"/>
        <item m="1" x="354"/>
        <item m="1" x="1379"/>
        <item m="1" x="929"/>
        <item m="1" x="2966"/>
        <item m="1" x="1380"/>
        <item m="1" x="3005"/>
        <item m="1" x="1381"/>
        <item m="1" x="359"/>
        <item m="1" x="2765"/>
        <item m="1" x="3034"/>
        <item m="1" x="921"/>
        <item m="1" x="2766"/>
        <item m="1" x="3059"/>
        <item m="1" x="1382"/>
        <item m="1" x="2767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982"/>
        <item m="1" x="2256"/>
        <item m="1" x="2239"/>
        <item m="1" x="1397"/>
        <item m="1" x="984"/>
        <item m="1" x="2242"/>
        <item m="1" x="1398"/>
        <item m="1" x="2208"/>
        <item m="1" x="370"/>
        <item m="1" x="1399"/>
        <item m="1" x="1400"/>
        <item m="1" x="2927"/>
        <item m="1" x="1401"/>
        <item m="1" x="2209"/>
        <item m="1" x="2181"/>
        <item m="1" x="2967"/>
        <item m="1" x="1402"/>
        <item m="1" x="2210"/>
        <item m="1" x="3006"/>
        <item m="1" x="1403"/>
        <item m="1" x="1404"/>
        <item m="1" x="3035"/>
        <item m="1" x="1405"/>
        <item m="1" x="2186"/>
        <item m="1" x="2518"/>
        <item m="1" x="3060"/>
        <item m="1" x="1406"/>
        <item m="1" x="1407"/>
        <item m="1" x="2265"/>
        <item m="1" x="3080"/>
        <item m="1" x="1408"/>
        <item m="1" x="751"/>
        <item m="1" x="1409"/>
        <item m="1" x="1410"/>
        <item m="1" x="1411"/>
        <item m="1" x="752"/>
        <item m="1" x="2411"/>
        <item m="1" x="2501"/>
        <item m="1" x="1412"/>
        <item m="1" x="1413"/>
        <item m="1" x="1414"/>
        <item m="1" x="2505"/>
        <item m="1" x="1415"/>
        <item m="1" x="1416"/>
        <item m="1" x="1417"/>
        <item m="1" x="1418"/>
        <item m="1" x="2490"/>
        <item m="1" x="1419"/>
        <item m="1" x="1420"/>
        <item m="1" x="1421"/>
        <item m="1" x="1422"/>
        <item m="1" x="1423"/>
        <item m="1" x="1424"/>
        <item m="1" x="1425"/>
        <item m="1" x="2928"/>
        <item m="1" x="1426"/>
        <item m="1" x="2929"/>
        <item m="1" x="1427"/>
        <item m="1" x="1428"/>
        <item m="1" x="2968"/>
        <item m="1" x="1429"/>
        <item m="1" x="2969"/>
        <item m="1" x="1430"/>
        <item m="1" x="1431"/>
        <item m="1" x="1432"/>
        <item m="1" x="3007"/>
        <item m="1" x="1433"/>
        <item m="1" x="460"/>
        <item m="1" x="1434"/>
        <item m="1" x="1435"/>
        <item m="1" x="3036"/>
        <item m="1" x="529"/>
        <item m="1" x="1436"/>
        <item m="1" x="1437"/>
        <item m="1" x="392"/>
        <item m="1" x="629"/>
        <item m="1" x="1438"/>
        <item m="1" x="1439"/>
        <item m="1" x="395"/>
        <item m="1" x="634"/>
        <item m="1" x="1440"/>
        <item m="1" x="1441"/>
        <item m="1" x="398"/>
        <item m="1" x="641"/>
        <item m="1" x="1442"/>
        <item m="1" x="1443"/>
        <item m="1" x="1444"/>
        <item m="1" x="403"/>
        <item m="1" x="750"/>
        <item m="1" x="1445"/>
        <item m="1" x="3108"/>
        <item m="1" x="1446"/>
        <item m="1" x="406"/>
        <item m="1" x="1447"/>
        <item m="1" x="3120"/>
        <item m="1" x="413"/>
        <item m="1" x="1448"/>
        <item m="1" x="408"/>
        <item m="1" x="1449"/>
        <item m="1" x="3095"/>
        <item m="1" x="960"/>
        <item m="1" x="1450"/>
        <item m="1" x="1451"/>
        <item m="1" x="1452"/>
        <item m="1" x="3109"/>
        <item m="1" x="961"/>
        <item m="1" x="1453"/>
        <item m="1" x="1454"/>
        <item m="1" x="1455"/>
        <item m="1" x="3121"/>
        <item m="1" x="1456"/>
        <item m="1" x="1457"/>
        <item m="1" x="1458"/>
        <item m="1" x="1459"/>
        <item m="1" x="1460"/>
        <item m="1" x="1461"/>
        <item m="1" x="1462"/>
        <item m="1" x="1463"/>
        <item m="1" x="1464"/>
        <item m="1" x="2481"/>
        <item m="1" x="1465"/>
        <item m="1" x="1466"/>
        <item m="1" x="1467"/>
        <item m="1" x="1468"/>
        <item m="1" x="1469"/>
        <item m="1" x="2483"/>
        <item m="1" x="1470"/>
        <item m="1" x="1471"/>
        <item m="1" x="1472"/>
        <item m="1" x="1473"/>
        <item m="1" x="1474"/>
        <item m="1" x="1475"/>
        <item m="1" x="1476"/>
        <item m="1" x="1477"/>
        <item m="1" x="3070"/>
        <item m="1" x="1478"/>
        <item m="1" x="1479"/>
        <item m="1" x="2485"/>
        <item m="1" x="1480"/>
        <item m="1" x="1481"/>
        <item m="1" x="1482"/>
        <item m="1" x="1483"/>
        <item m="1" x="1484"/>
        <item m="1" x="1485"/>
        <item m="1" x="1486"/>
        <item m="1" x="1487"/>
        <item m="1" x="467"/>
        <item m="1" x="1488"/>
        <item m="1" x="1489"/>
        <item m="1" x="1490"/>
        <item m="1" x="493"/>
        <item m="1" x="1491"/>
        <item m="1" x="3165"/>
        <item m="1" x="1492"/>
        <item m="1" x="502"/>
        <item m="1" x="1493"/>
        <item m="1" x="1494"/>
        <item m="1" x="511"/>
        <item m="1" x="1495"/>
        <item m="1" x="1496"/>
        <item m="1" x="522"/>
        <item m="1" x="1497"/>
        <item m="1" x="1498"/>
        <item m="1" x="530"/>
        <item m="1" x="1499"/>
        <item m="1" x="1500"/>
        <item m="1" x="532"/>
        <item m="1" x="1501"/>
        <item m="1" x="1502"/>
        <item m="1" x="534"/>
        <item m="1" x="1503"/>
        <item m="1" x="541"/>
        <item m="1" x="1504"/>
        <item m="1" x="1505"/>
        <item m="1" x="2445"/>
        <item m="1" x="1506"/>
        <item m="1" x="1507"/>
        <item m="1" x="2447"/>
        <item m="1" x="1508"/>
        <item m="1" x="1509"/>
        <item m="1" x="1510"/>
        <item m="1" x="1511"/>
        <item m="1" x="2449"/>
        <item m="1" x="1512"/>
        <item m="1" x="1513"/>
        <item m="1" x="1514"/>
        <item m="1" x="2450"/>
        <item m="1" x="1515"/>
        <item m="1" x="1516"/>
        <item m="1" x="1517"/>
        <item m="1" x="2903"/>
        <item m="1" x="1518"/>
        <item m="1" x="2904"/>
        <item m="1" x="1519"/>
        <item m="1" x="2930"/>
        <item m="1" x="1520"/>
        <item m="1" x="2906"/>
        <item m="1" x="1521"/>
        <item m="1" x="2970"/>
        <item m="1" x="1522"/>
        <item m="1" x="2909"/>
        <item m="1" x="1523"/>
        <item m="1" x="2437"/>
        <item m="1" x="1524"/>
        <item m="1" x="1525"/>
        <item m="1" x="2768"/>
        <item m="1" x="1526"/>
        <item m="1" x="1527"/>
        <item m="1" x="2769"/>
        <item m="1" x="1528"/>
        <item m="1" x="1529"/>
        <item m="1" x="997"/>
        <item m="1" x="2770"/>
        <item m="1" x="1530"/>
        <item m="1" x="1531"/>
        <item m="1" x="1532"/>
        <item m="1" x="2771"/>
        <item m="1" x="1533"/>
        <item m="1" x="1534"/>
        <item m="1" x="1535"/>
        <item m="1" x="2772"/>
        <item m="1" x="1536"/>
        <item m="1" x="1537"/>
        <item m="1" x="1538"/>
        <item m="1" x="2773"/>
        <item m="1" x="1539"/>
        <item m="1" x="1540"/>
        <item m="1" x="1541"/>
        <item m="1" x="977"/>
        <item m="1" x="1542"/>
        <item m="1" x="1543"/>
        <item m="1" x="1544"/>
        <item m="1" x="978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2211"/>
        <item m="1" x="1587"/>
        <item m="1" x="1588"/>
        <item m="1" x="1589"/>
        <item m="1" x="1590"/>
        <item m="1" x="1591"/>
        <item m="1" x="1592"/>
        <item m="1" x="1593"/>
        <item m="1" x="1594"/>
        <item m="1" x="1595"/>
        <item m="1" x="1596"/>
        <item m="1" x="1597"/>
        <item m="1" x="1598"/>
        <item m="1" x="1599"/>
        <item m="1" x="1600"/>
        <item m="1" x="1601"/>
        <item m="1" x="1602"/>
        <item m="1" x="1603"/>
        <item m="1" x="1604"/>
        <item m="1" x="1605"/>
        <item m="1" x="1606"/>
        <item m="1" x="1607"/>
        <item m="1" x="1608"/>
        <item m="1" x="761"/>
        <item m="1" x="1609"/>
        <item m="1" x="1610"/>
        <item m="1" x="1611"/>
        <item m="1" x="1612"/>
        <item m="1" x="1613"/>
        <item m="1" x="1614"/>
        <item m="1" x="1615"/>
        <item m="1" x="1616"/>
        <item m="1" x="1617"/>
        <item m="1" x="1618"/>
        <item m="1" x="1619"/>
        <item m="1" x="1620"/>
        <item m="1" x="1621"/>
        <item m="1" x="2931"/>
        <item m="1" x="1622"/>
        <item m="1" x="1623"/>
        <item m="1" x="1624"/>
        <item m="1" x="2971"/>
        <item m="1" x="1625"/>
        <item m="1" x="1626"/>
        <item m="1" x="1627"/>
        <item m="1" x="1628"/>
        <item m="1" x="1629"/>
        <item m="1" x="1630"/>
        <item m="1" x="1631"/>
        <item m="1" x="1632"/>
        <item m="1" x="1633"/>
        <item m="1" x="1634"/>
        <item m="1" x="1635"/>
        <item m="1" x="1636"/>
        <item m="1" x="1637"/>
        <item m="1" x="1638"/>
        <item m="1" x="371"/>
        <item m="1" x="3008"/>
        <item m="1" x="1639"/>
        <item m="1" x="1640"/>
        <item m="1" x="1641"/>
        <item m="1" x="3037"/>
        <item m="1" x="1642"/>
        <item m="1" x="1643"/>
        <item m="1" x="1644"/>
        <item m="1" x="1645"/>
        <item m="1" x="1646"/>
        <item m="1" x="1647"/>
        <item m="1" x="1648"/>
        <item m="1" x="1649"/>
        <item m="1" x="1650"/>
        <item m="1" x="1651"/>
        <item m="1" x="1652"/>
        <item m="1" x="1653"/>
        <item m="1" x="1654"/>
        <item m="1" x="1655"/>
        <item m="1" x="1656"/>
        <item m="1" x="1657"/>
        <item m="1" x="1658"/>
        <item m="1" x="1659"/>
        <item m="1" x="2932"/>
        <item m="1" x="1660"/>
        <item m="1" x="1661"/>
        <item m="1" x="1662"/>
        <item m="1" x="2448"/>
        <item m="1" x="2212"/>
        <item m="1" x="1663"/>
        <item m="1" x="1664"/>
        <item m="1" x="1665"/>
        <item m="1" x="1666"/>
        <item m="1" x="1667"/>
        <item m="1" x="1668"/>
        <item m="1" x="1669"/>
        <item m="1" x="1670"/>
        <item m="1" x="1671"/>
        <item m="1" x="1672"/>
        <item m="1" x="1673"/>
        <item m="1" x="2972"/>
        <item m="1" x="1674"/>
        <item m="1" x="1675"/>
        <item m="1" x="3009"/>
        <item m="1" x="1676"/>
        <item m="1" x="1677"/>
        <item m="1" x="3038"/>
        <item m="1" x="1678"/>
        <item m="1" x="1679"/>
        <item m="1" x="1680"/>
        <item m="1" x="1681"/>
        <item m="1" x="1682"/>
        <item m="1" x="1683"/>
        <item m="1" x="1684"/>
        <item m="1" x="1685"/>
        <item m="1" x="1686"/>
        <item m="1" x="1687"/>
        <item m="1" x="1688"/>
        <item m="1" x="1689"/>
        <item m="1" x="1690"/>
        <item m="1" x="1691"/>
        <item m="1" x="1692"/>
        <item m="1" x="1693"/>
        <item m="1" x="1694"/>
        <item m="1" x="1695"/>
        <item m="1" x="2933"/>
        <item m="1" x="1696"/>
        <item m="1" x="2266"/>
        <item m="1" x="1697"/>
        <item m="1" x="2973"/>
        <item m="1" x="1698"/>
        <item m="1" x="2267"/>
        <item m="1" x="1699"/>
        <item m="1" x="1700"/>
        <item m="1" x="2268"/>
        <item m="1" x="1701"/>
        <item m="1" x="1702"/>
        <item m="1" x="1703"/>
        <item m="1" x="2270"/>
        <item m="1" x="1704"/>
        <item m="1" x="1705"/>
        <item m="1" x="1706"/>
        <item m="1" x="1707"/>
        <item m="1" x="2908"/>
        <item m="1" x="1708"/>
        <item m="1" x="1709"/>
        <item m="1" x="1710"/>
        <item m="1" x="2934"/>
        <item m="1" x="2935"/>
        <item m="1" x="1711"/>
        <item m="1" x="1712"/>
        <item m="1" x="2974"/>
        <item m="1" x="2975"/>
        <item m="1" x="1713"/>
        <item m="1" x="1714"/>
        <item m="1" x="3010"/>
        <item m="1" x="1715"/>
        <item m="1" x="1716"/>
        <item m="1" x="1717"/>
        <item m="1" x="3039"/>
        <item m="1" x="1718"/>
        <item m="1" x="1719"/>
        <item m="1" x="1720"/>
        <item m="1" x="3061"/>
        <item m="1" x="1721"/>
        <item m="1" x="1722"/>
        <item m="1" x="1723"/>
        <item m="1" x="1724"/>
        <item m="1" x="1725"/>
        <item m="1" x="1726"/>
        <item m="1" x="1727"/>
        <item m="1" x="1728"/>
        <item m="1" x="1729"/>
        <item m="1" x="1011"/>
        <item m="1" x="1730"/>
        <item m="1" x="1731"/>
        <item m="1" x="1732"/>
        <item m="1" x="1733"/>
        <item m="1" x="1734"/>
        <item m="1" x="1735"/>
        <item m="1" x="1736"/>
        <item m="1" x="1737"/>
        <item m="1" x="1015"/>
        <item m="1" x="2936"/>
        <item m="1" x="1738"/>
        <item m="1" x="2976"/>
        <item m="1" x="1739"/>
        <item m="1" x="1740"/>
        <item m="1" x="3011"/>
        <item m="1" x="1741"/>
        <item m="1" x="3040"/>
        <item m="1" x="1742"/>
        <item m="1" x="1743"/>
        <item m="1" x="3062"/>
        <item m="1" x="1744"/>
        <item m="1" x="3081"/>
        <item m="1" x="1745"/>
        <item m="1" x="1746"/>
        <item m="1" x="1747"/>
        <item m="1" x="1748"/>
        <item m="1" x="1749"/>
        <item m="1" x="1750"/>
        <item m="1" x="1751"/>
        <item m="1" x="1752"/>
        <item m="1" x="1753"/>
        <item m="1" x="1754"/>
        <item m="1" x="1755"/>
        <item m="1" x="1756"/>
        <item m="1" x="1757"/>
        <item m="1" x="1758"/>
        <item m="1" x="1759"/>
        <item m="1" x="2937"/>
        <item m="1" x="1760"/>
        <item m="1" x="1761"/>
        <item m="1" x="1762"/>
        <item m="1" x="1763"/>
        <item m="1" x="1764"/>
        <item m="1" x="1765"/>
        <item m="1" x="1766"/>
        <item m="1" x="981"/>
        <item m="1" x="1767"/>
        <item m="1" x="1768"/>
        <item m="1" x="412"/>
        <item m="1" x="1769"/>
        <item m="1" x="1770"/>
        <item m="1" x="1771"/>
        <item m="1" x="1772"/>
        <item m="1" x="1773"/>
        <item m="1" x="2938"/>
        <item m="1" x="1774"/>
        <item m="1" x="2977"/>
        <item m="1" x="3012"/>
        <item m="1" x="3041"/>
        <item m="1" x="3063"/>
        <item m="1" x="3082"/>
        <item m="1" x="1775"/>
        <item m="1" x="1776"/>
        <item m="1" x="1777"/>
        <item m="1" x="1778"/>
        <item m="1" x="1779"/>
        <item m="1" x="1780"/>
        <item m="1" x="2213"/>
        <item m="1" x="1781"/>
        <item m="1" x="2214"/>
        <item m="1" x="1782"/>
        <item m="1" x="1783"/>
        <item m="1" x="1784"/>
        <item m="1" x="1785"/>
        <item m="1" x="1786"/>
        <item m="1" x="1787"/>
        <item m="1" x="1788"/>
        <item m="1" x="1789"/>
        <item m="1" x="1790"/>
        <item m="1" x="1791"/>
        <item m="1" x="1792"/>
        <item m="1" x="1793"/>
        <item m="1" x="1794"/>
        <item m="1" x="1795"/>
        <item m="1" x="1796"/>
        <item m="1" x="2275"/>
        <item m="1" x="2507"/>
        <item m="1" x="1797"/>
        <item m="1" x="963"/>
        <item m="1" x="964"/>
        <item m="1" x="1798"/>
        <item m="1" x="1799"/>
        <item m="1" x="2524"/>
        <item m="1" x="2526"/>
        <item m="1" x="1800"/>
        <item m="1" x="2527"/>
        <item m="1" x="1801"/>
        <item m="1" x="1802"/>
        <item m="1" x="2528"/>
        <item m="1" x="1803"/>
        <item m="1" x="2530"/>
        <item m="1" x="1804"/>
        <item m="1" x="2531"/>
        <item m="1" x="1805"/>
        <item m="1" x="378"/>
        <item m="1" x="379"/>
        <item m="1" x="1806"/>
        <item m="1" x="1807"/>
        <item m="1" x="1808"/>
        <item m="1" x="380"/>
        <item m="1" x="383"/>
        <item m="1" x="965"/>
        <item m="1" x="1809"/>
        <item m="1" x="966"/>
        <item m="1" x="496"/>
        <item m="1" x="1810"/>
        <item m="1" x="505"/>
        <item m="1" x="1811"/>
        <item m="1" x="1812"/>
        <item m="1" x="1813"/>
        <item m="1" x="1814"/>
        <item m="1" x="2533"/>
        <item m="1" x="1815"/>
        <item m="1" x="1816"/>
        <item m="1" x="1817"/>
        <item m="1" x="1818"/>
        <item m="1" x="1819"/>
        <item m="1" x="1820"/>
        <item m="1" x="3141"/>
        <item m="1" x="1821"/>
        <item m="1" x="1822"/>
        <item m="1" x="1823"/>
        <item m="1" x="1824"/>
        <item m="1" x="1825"/>
        <item m="1" x="1826"/>
        <item m="1" x="1827"/>
        <item m="1" x="1828"/>
        <item m="1" x="1829"/>
        <item m="1" x="1830"/>
        <item m="1" x="1831"/>
        <item m="1" x="1832"/>
        <item m="1" x="1833"/>
        <item m="1" x="1834"/>
        <item m="1" x="1835"/>
        <item m="1" x="1836"/>
        <item m="1" x="1837"/>
        <item m="1" x="1838"/>
        <item m="1" x="3013"/>
        <item m="1" x="1839"/>
        <item m="1" x="3042"/>
        <item m="1" x="1840"/>
        <item m="1" x="1841"/>
        <item m="1" x="1842"/>
        <item m="1" x="1843"/>
        <item m="1" x="1844"/>
        <item m="1" x="1845"/>
        <item m="1" x="1846"/>
        <item m="1" x="404"/>
        <item m="1" x="2978"/>
        <item m="1" x="1847"/>
        <item m="1" x="405"/>
        <item m="1" x="1848"/>
        <item m="1" x="1849"/>
        <item m="1" x="407"/>
        <item m="1" x="1850"/>
        <item m="1" x="1851"/>
        <item m="1" x="417"/>
        <item m="1" x="1852"/>
        <item m="1" x="2789"/>
        <item m="1" x="418"/>
        <item m="1" x="1853"/>
        <item m="1" x="717"/>
        <item m="1" x="2509"/>
        <item m="1" x="1854"/>
        <item m="1" x="2130"/>
        <item m="1" x="1855"/>
        <item m="1" x="1856"/>
        <item m="1" x="1857"/>
        <item m="1" x="930"/>
        <item m="1" x="1858"/>
        <item m="1" x="1859"/>
        <item m="1" x="396"/>
        <item m="1" x="1860"/>
        <item m="1" x="1861"/>
        <item m="1" x="1862"/>
        <item m="1" x="1863"/>
        <item m="1" x="1864"/>
        <item m="1" x="1865"/>
        <item m="1" x="1866"/>
        <item m="1" x="1867"/>
        <item m="1" x="1868"/>
        <item m="1" x="1869"/>
        <item m="1" x="1870"/>
        <item m="1" x="1871"/>
        <item m="1" x="1872"/>
        <item m="1" x="1873"/>
        <item m="1" x="1874"/>
        <item m="1" x="1875"/>
        <item m="1" x="1876"/>
        <item m="1" x="1877"/>
        <item m="1" x="1878"/>
        <item m="1" x="2475"/>
        <item m="1" x="1879"/>
        <item m="1" x="919"/>
        <item m="1" x="1880"/>
        <item m="1" x="1881"/>
        <item m="1" x="1882"/>
        <item m="1" x="1883"/>
        <item m="1" x="1884"/>
        <item m="1" x="1885"/>
        <item m="1" x="1886"/>
        <item m="1" x="1887"/>
        <item m="1" x="1888"/>
        <item m="1" x="1889"/>
        <item m="1" x="1890"/>
        <item m="1" x="1891"/>
        <item m="1" x="1892"/>
        <item m="1" x="1893"/>
        <item m="1" x="1894"/>
        <item m="1" x="1895"/>
        <item m="1" x="1896"/>
        <item m="1" x="1897"/>
        <item m="1" x="1898"/>
        <item m="1" x="1899"/>
        <item m="1" x="1900"/>
        <item m="1" x="1901"/>
        <item m="1" x="1902"/>
        <item m="1" x="1903"/>
        <item m="1" x="1904"/>
        <item m="1" x="1905"/>
        <item m="1" x="1906"/>
        <item m="1" x="1907"/>
        <item m="1" x="1908"/>
        <item m="1" x="1909"/>
        <item m="1" x="1910"/>
        <item m="1" x="1911"/>
        <item m="1" x="1912"/>
        <item m="1" x="1913"/>
        <item m="1" x="1914"/>
        <item m="1" x="1915"/>
        <item m="1" x="1916"/>
        <item m="1" x="1917"/>
        <item m="1" x="1918"/>
        <item m="1" x="1919"/>
        <item m="1" x="1920"/>
        <item m="1" x="1921"/>
        <item m="1" x="1922"/>
        <item m="1" x="2939"/>
        <item m="1" x="1923"/>
        <item m="1" x="2979"/>
        <item m="1" x="1924"/>
        <item m="1" x="1925"/>
        <item m="1" x="1926"/>
        <item m="1" x="1927"/>
        <item m="1" x="1928"/>
        <item m="1" x="1929"/>
        <item m="1" x="1930"/>
        <item m="1" x="1931"/>
        <item m="1" x="1932"/>
        <item m="1" x="1933"/>
        <item m="1" x="2940"/>
        <item m="1" x="1934"/>
        <item m="1" x="2980"/>
        <item m="1" x="1935"/>
        <item m="1" x="3014"/>
        <item m="1" x="1936"/>
        <item m="1" x="3043"/>
        <item m="1" x="1937"/>
        <item m="1" x="3064"/>
        <item m="1" x="1938"/>
        <item m="1" x="3083"/>
        <item m="1" x="1939"/>
        <item m="1" x="1940"/>
        <item m="1" x="1941"/>
        <item m="1" x="1942"/>
        <item m="1" x="1943"/>
        <item m="1" x="1944"/>
        <item m="1" x="1945"/>
        <item m="1" x="1946"/>
        <item m="1" x="1947"/>
        <item m="1" x="1948"/>
        <item m="1" x="1949"/>
        <item m="1" x="1950"/>
        <item m="1" x="1951"/>
        <item m="1" x="1952"/>
        <item m="1" x="3044"/>
        <item m="1" x="1953"/>
        <item m="1" x="3065"/>
        <item m="1" x="885"/>
        <item m="1" x="1954"/>
        <item m="1" x="1955"/>
        <item m="1" x="1956"/>
        <item m="1" x="2981"/>
        <item m="1" x="1957"/>
        <item m="1" x="1958"/>
        <item m="1" x="2215"/>
        <item m="1" x="1959"/>
        <item m="1" x="3084"/>
        <item m="1" x="1960"/>
        <item m="1" x="3096"/>
        <item m="1" x="1961"/>
        <item m="1" x="1962"/>
        <item m="1" x="2436"/>
        <item m="1" x="841"/>
        <item m="1" x="1963"/>
        <item m="1" x="1964"/>
        <item m="1" x="2202"/>
        <item m="1" x="856"/>
        <item m="1" x="2204"/>
        <item m="1" x="860"/>
        <item m="1" x="2216"/>
        <item m="1" x="866"/>
        <item m="1" x="2217"/>
        <item m="1" x="872"/>
        <item m="1" x="2218"/>
        <item m="1" x="2220"/>
        <item m="1" x="878"/>
        <item m="1" x="887"/>
        <item m="1" x="889"/>
        <item m="1" x="892"/>
        <item m="1" x="895"/>
        <item m="1" x="898"/>
        <item m="1" x="902"/>
        <item m="1" x="2187"/>
        <item m="1" x="2941"/>
        <item m="1" x="2982"/>
        <item m="1" x="2942"/>
        <item m="1" x="2983"/>
        <item m="1" x="3015"/>
        <item m="1" x="3045"/>
        <item m="1" x="3066"/>
        <item m="1" x="3085"/>
        <item m="1" x="3097"/>
        <item m="1" x="3110"/>
        <item m="1" x="3122"/>
        <item m="1" x="2422"/>
        <item m="1" x="836"/>
        <item m="1" x="2943"/>
        <item m="1" x="2984"/>
        <item m="1" x="1965"/>
        <item m="1" x="1966"/>
        <item m="1" x="1967"/>
        <item m="1" x="1968"/>
        <item m="1" x="2985"/>
        <item m="1" x="1969"/>
        <item m="1" x="3016"/>
        <item m="1" x="1970"/>
        <item m="1" x="1971"/>
        <item m="1" x="1972"/>
        <item m="1" x="1973"/>
        <item m="1" x="1974"/>
        <item m="1" x="1975"/>
        <item m="1" x="2890"/>
        <item m="1" x="1976"/>
        <item m="1" x="1977"/>
        <item m="1" x="1978"/>
        <item m="1" x="1979"/>
        <item m="1" x="2899"/>
        <item m="1" x="1980"/>
        <item m="1" x="1981"/>
        <item m="1" x="1982"/>
        <item m="1" x="1983"/>
        <item m="1" x="2944"/>
        <item m="1" x="2986"/>
        <item m="1" x="1984"/>
        <item m="1" x="2987"/>
        <item m="1" x="1985"/>
        <item m="1" x="3017"/>
        <item m="1" x="1986"/>
        <item m="1" x="3046"/>
        <item m="1" x="1987"/>
        <item m="1" x="3067"/>
        <item m="1" x="1988"/>
        <item m="1" x="3086"/>
        <item m="1" x="1989"/>
        <item m="1" x="3098"/>
        <item m="1" x="3111"/>
        <item m="1" x="3123"/>
        <item m="1" x="837"/>
        <item m="1" x="842"/>
        <item m="1" x="1990"/>
        <item m="1" x="846"/>
        <item m="1" x="1991"/>
        <item m="1" x="850"/>
        <item m="1" x="857"/>
        <item m="1" x="1992"/>
        <item m="1" x="861"/>
        <item m="1" x="867"/>
        <item m="1" x="873"/>
        <item m="1" x="2308"/>
        <item m="1" x="2312"/>
        <item m="1" x="2945"/>
        <item m="1" x="2988"/>
        <item m="1" x="1993"/>
        <item m="1" x="3018"/>
        <item m="1" x="3047"/>
        <item m="1" x="3068"/>
        <item m="1" x="3087"/>
        <item m="1" x="2946"/>
        <item m="1" x="2989"/>
        <item m="1" x="2519"/>
        <item m="1" x="362"/>
        <item m="1" x="3019"/>
        <item m="1" x="3048"/>
        <item m="1" x="3160"/>
        <item m="1" x="3163"/>
        <item m="1" x="2990"/>
        <item m="1" x="1994"/>
        <item m="1" x="3020"/>
        <item m="1" x="1995"/>
        <item m="1" x="2947"/>
        <item m="1" x="2463"/>
        <item m="1" x="2465"/>
        <item m="1" x="937"/>
        <item m="1" x="939"/>
        <item m="1" x="2948"/>
        <item m="1" x="2991"/>
        <item m="1" x="3021"/>
        <item m="1" x="3049"/>
        <item m="1" x="931"/>
        <item m="1" x="393"/>
        <item m="1" x="1996"/>
        <item m="1" x="1997"/>
        <item m="1" x="1998"/>
        <item m="1" x="1999"/>
        <item m="1" x="2000"/>
        <item m="1" x="2001"/>
        <item m="1" x="2002"/>
        <item m="1" x="2003"/>
        <item m="1" x="2004"/>
        <item m="1" x="2005"/>
        <item m="1" x="2006"/>
        <item m="1" x="2007"/>
        <item m="1" x="2008"/>
        <item m="1" x="2009"/>
        <item m="1" x="2010"/>
        <item m="1" x="2011"/>
        <item m="1" x="2012"/>
        <item m="1" x="2013"/>
        <item m="1" x="2014"/>
        <item m="1" x="2015"/>
        <item m="1" x="2016"/>
        <item m="1" x="523"/>
        <item m="1" x="531"/>
        <item m="1" x="533"/>
        <item m="1" x="366"/>
        <item m="1" x="368"/>
        <item m="1" x="375"/>
        <item m="1" x="2017"/>
        <item m="1" x="2018"/>
        <item m="1" x="2019"/>
        <item m="1" x="2020"/>
        <item m="1" x="2021"/>
        <item m="1" x="2022"/>
        <item m="1" x="2023"/>
        <item m="1" x="2024"/>
        <item m="1" x="2025"/>
        <item m="1" x="2026"/>
        <item m="1" x="2027"/>
        <item m="1" x="2028"/>
        <item m="1" x="2029"/>
        <item m="1" x="2030"/>
        <item m="1" x="2031"/>
        <item m="1" x="2032"/>
        <item m="1" x="2033"/>
        <item m="1" x="2034"/>
        <item m="1" x="2035"/>
        <item m="1" x="2036"/>
        <item m="1" x="2037"/>
        <item m="1" x="2038"/>
        <item m="1" x="2039"/>
        <item m="1" x="2040"/>
        <item m="1" x="2041"/>
        <item m="1" x="2042"/>
        <item m="1" x="2043"/>
        <item m="1" x="2044"/>
        <item m="1" x="2045"/>
        <item m="1" x="2046"/>
        <item m="1" x="2047"/>
        <item m="1" x="2048"/>
        <item m="1" x="2049"/>
        <item m="1" x="423"/>
        <item m="1" x="425"/>
        <item m="1" x="427"/>
        <item m="1" x="431"/>
        <item m="1" x="435"/>
        <item m="1" x="437"/>
        <item m="1" x="2050"/>
        <item m="1" x="381"/>
        <item m="1" x="384"/>
        <item m="1" x="2051"/>
        <item m="1" x="2052"/>
        <item m="1" x="372"/>
        <item m="1" x="2053"/>
        <item m="1" x="2556"/>
        <item m="1" x="494"/>
        <item m="1" x="503"/>
        <item m="1" x="2054"/>
        <item m="1" x="2055"/>
        <item m="1" x="2056"/>
        <item m="1" x="2057"/>
        <item m="1" x="2058"/>
        <item m="1" x="2059"/>
        <item m="1" x="2060"/>
        <item m="1" x="2061"/>
        <item m="1" x="2062"/>
        <item m="1" x="2063"/>
        <item m="1" x="2064"/>
        <item m="1" x="2065"/>
        <item m="1" x="2066"/>
        <item m="1" x="2067"/>
        <item m="1" x="2068"/>
        <item m="1" x="2069"/>
        <item m="1" x="2070"/>
        <item m="1" x="373"/>
        <item m="1" x="2071"/>
        <item m="1" x="2072"/>
        <item m="1" x="2073"/>
        <item m="1" x="401"/>
        <item m="1" x="402"/>
        <item m="1" x="2074"/>
        <item m="1" x="2075"/>
        <item m="1" x="2076"/>
        <item m="1" x="2077"/>
        <item m="1" x="2078"/>
        <item m="1" x="2079"/>
        <item m="1" x="386"/>
        <item m="1" x="542"/>
        <item m="1" x="471"/>
        <item m="1" x="414"/>
        <item m="1" x="2797"/>
        <item m="1" x="446"/>
        <item m="1" x="543"/>
        <item m="1" x="512"/>
        <item m="1" x="597"/>
        <item m="1" x="2129"/>
        <item m="1" x="2568"/>
        <item m="1" x="675"/>
        <item m="1" x="2435"/>
        <item m="1" x="2569"/>
        <item m="1" x="718"/>
        <item m="1" x="2095"/>
        <item m="1" x="2570"/>
        <item m="1" x="2439"/>
        <item m="1" x="544"/>
        <item m="1" x="2571"/>
        <item m="1" x="2718"/>
        <item m="1" x="2572"/>
        <item m="1" x="2745"/>
        <item m="1" x="2573"/>
        <item m="1" x="2810"/>
        <item m="1" x="2893"/>
        <item m="1" x="763"/>
        <item m="1" x="2574"/>
        <item m="1" x="2719"/>
        <item m="1" x="749"/>
        <item m="1" x="2720"/>
        <item m="1" x="2575"/>
        <item m="1" x="2721"/>
        <item m="1" x="225"/>
        <item m="1" x="419"/>
        <item m="1" x="2722"/>
        <item m="1" x="2425"/>
        <item m="1" x="2576"/>
        <item m="1" x="545"/>
        <item m="1" x="2577"/>
        <item m="1" x="2578"/>
        <item m="1" x="385"/>
        <item m="1" x="2579"/>
        <item m="1" x="2128"/>
        <item m="1" x="2754"/>
        <item m="1" x="3143"/>
        <item m="1" x="2111"/>
        <item m="1" x="546"/>
        <item m="1" x="410"/>
        <item m="1" x="720"/>
        <item m="1" x="2457"/>
        <item m="1" x="610"/>
        <item m="1" x="2580"/>
        <item m="1" x="2775"/>
        <item m="1" x="2581"/>
        <item m="1" x="2471"/>
        <item m="1" x="2894"/>
        <item m="1" x="2582"/>
        <item m="1" x="356"/>
        <item m="1" x="2583"/>
        <item m="1" x="3148"/>
        <item m="1" x="2798"/>
        <item m="1" x="2584"/>
        <item m="1" x="2735"/>
        <item m="1" x="2896"/>
        <item m="1" x="472"/>
        <item m="1" x="2821"/>
        <item m="1" x="974"/>
        <item m="1" x="2498"/>
        <item m="1" x="657"/>
        <item m="1" x="2585"/>
        <item m="1" x="734"/>
        <item m="1" x="547"/>
        <item m="1" x="2784"/>
        <item m="1" x="623"/>
        <item m="1" x="2737"/>
        <item m="1" x="451"/>
        <item m="1" x="640"/>
        <item m="1" x="2586"/>
        <item m="1" x="2587"/>
        <item m="1" x="624"/>
        <item m="1" x="2588"/>
        <item m="1" x="851"/>
        <item m="1" x="2750"/>
        <item m="1" x="2589"/>
        <item m="1" x="2822"/>
        <item m="1" x="2881"/>
        <item m="1" x="2590"/>
        <item m="1" x="692"/>
        <item m="1" x="2591"/>
        <item m="1" x="852"/>
        <item m="1" x="2592"/>
        <item m="1" x="741"/>
        <item m="1" x="2593"/>
        <item m="1" x="2594"/>
        <item m="1" x="2595"/>
        <item m="1" x="524"/>
        <item m="1" x="2596"/>
        <item m="1" x="2443"/>
        <item m="1" x="2597"/>
        <item m="1" x="2878"/>
        <item m="1" x="2598"/>
        <item m="1" x="2420"/>
        <item m="1" x="2599"/>
        <item m="1" x="2258"/>
        <item m="1" x="2600"/>
        <item m="1" x="665"/>
        <item m="1" x="2193"/>
        <item m="1" x="513"/>
        <item m="1" x="2601"/>
        <item m="1" x="2602"/>
        <item m="1" x="2603"/>
        <item m="1" x="2604"/>
        <item m="1" x="2605"/>
        <item m="1" x="2606"/>
        <item m="1" x="2607"/>
        <item m="1" x="2608"/>
        <item m="1" x="2234"/>
        <item m="1" x="2823"/>
        <item m="1" x="2492"/>
        <item m="1" x="2609"/>
        <item m="1" x="2147"/>
        <item m="1" x="548"/>
        <item m="1" x="2610"/>
        <item m="1" x="2830"/>
        <item m="1" x="740"/>
        <item m="1" x="2611"/>
        <item m="1" x="2844"/>
        <item m="1" x="2612"/>
        <item m="1" x="2467"/>
        <item m="1" x="2613"/>
        <item m="1" x="2614"/>
        <item m="1" x="549"/>
        <item m="1" x="2615"/>
        <item m="1" x="2616"/>
        <item m="1" x="2617"/>
        <item m="1" x="514"/>
        <item m="1" x="2618"/>
        <item m="1" x="2799"/>
        <item m="1" x="438"/>
        <item m="1" x="2619"/>
        <item m="1" x="473"/>
        <item m="1" x="452"/>
        <item m="1" x="2620"/>
        <item m="1" x="453"/>
        <item m="1" x="2621"/>
        <item m="1" x="474"/>
        <item m="1" x="2776"/>
        <item m="1" x="2622"/>
        <item m="1" x="550"/>
        <item m="1" x="551"/>
        <item m="1" x="2623"/>
        <item m="1" x="2624"/>
        <item m="1" x="475"/>
        <item m="1" x="2625"/>
        <item m="1" x="611"/>
        <item m="1" x="599"/>
        <item m="1" x="2626"/>
        <item m="1" x="2627"/>
        <item m="1" x="664"/>
        <item m="1" x="2628"/>
        <item m="1" x="536"/>
        <item m="1" x="737"/>
        <item m="1" x="729"/>
        <item m="1" x="2629"/>
        <item m="1" x="230"/>
        <item m="1" x="2895"/>
        <item m="1" x="2777"/>
        <item m="1" x="2630"/>
        <item m="1" x="3135"/>
        <item m="1" x="771"/>
        <item m="1" x="3144"/>
        <item m="1" x="454"/>
        <item m="1" x="772"/>
        <item m="1" x="355"/>
        <item m="1" x="2297"/>
        <item m="1" x="476"/>
        <item m="1" x="773"/>
        <item m="1" x="698"/>
        <item m="1" x="477"/>
        <item m="1" x="2086"/>
        <item m="1" x="774"/>
        <item m="1" x="658"/>
        <item m="1" x="2790"/>
        <item m="1" x="775"/>
        <item m="1" x="2800"/>
        <item m="1" x="776"/>
        <item m="1" x="497"/>
        <item m="1" x="2631"/>
        <item m="1" x="2419"/>
        <item m="1" x="2632"/>
        <item m="1" x="515"/>
        <item m="1" x="552"/>
        <item m="1" x="957"/>
        <item m="1" x="584"/>
        <item m="1" x="2316"/>
        <item m="1" x="465"/>
        <item m="1" x="600"/>
        <item m="1" x="659"/>
        <item m="1" x="663"/>
        <item m="1" x="461"/>
        <item m="1" x="680"/>
        <item m="1" x="739"/>
        <item m="1" x="455"/>
        <item m="1" x="2728"/>
        <item m="1" x="498"/>
        <item m="1" x="2854"/>
        <item m="1" x="3126"/>
        <item m="1" x="470"/>
        <item m="1" x="525"/>
        <item m="1" x="612"/>
        <item m="1" x="2757"/>
        <item m="1" x="2521"/>
        <item m="1" x="699"/>
        <item m="1" x="2633"/>
        <item m="1" x="756"/>
        <item m="1" x="2634"/>
        <item m="1" x="358"/>
        <item m="1" x="2195"/>
        <item m="1" x="2136"/>
        <item m="1" x="439"/>
        <item m="1" x="553"/>
        <item m="1" x="2635"/>
        <item m="1" x="554"/>
        <item m="1" x="2636"/>
        <item m="1" x="613"/>
        <item m="1" x="2637"/>
        <item m="1" x="478"/>
        <item m="1" x="614"/>
        <item m="1" x="2791"/>
        <item m="1" x="450"/>
        <item m="1" x="555"/>
        <item m="1" x="2864"/>
        <item m="1" x="516"/>
        <item m="1" x="607"/>
        <item m="1" x="2831"/>
        <item m="1" x="2783"/>
        <item m="1" x="517"/>
        <item m="1" x="635"/>
        <item m="1" x="601"/>
        <item m="1" x="653"/>
        <item m="1" x="556"/>
        <item m="1" x="2787"/>
        <item m="1" x="2126"/>
        <item m="1" x="479"/>
        <item m="1" x="585"/>
        <item m="1" x="2638"/>
        <item m="1" x="2801"/>
        <item m="1" x="2639"/>
        <item m="1" x="557"/>
        <item m="1" x="853"/>
        <item m="1" x="2640"/>
        <item m="1" x="615"/>
        <item m="1" x="2641"/>
        <item m="1" x="637"/>
        <item m="1" x="558"/>
        <item m="1" x="2642"/>
        <item m="1" x="2304"/>
        <item m="1" x="2832"/>
        <item m="1" x="2643"/>
        <item m="1" x="2557"/>
        <item m="1" x="2644"/>
        <item m="1" x="3172"/>
        <item m="1" x="2645"/>
        <item m="1" x="2499"/>
        <item m="1" x="625"/>
        <item m="1" x="2302"/>
        <item m="1" x="2646"/>
        <item m="1" x="691"/>
        <item m="1" x="559"/>
        <item m="1" x="2259"/>
        <item m="1" x="586"/>
        <item m="1" x="445"/>
        <item m="1" x="507"/>
        <item m="1" x="2845"/>
        <item m="1" x="587"/>
        <item m="1" x="2806"/>
        <item m="1" x="440"/>
        <item m="1" x="560"/>
        <item m="1" x="962"/>
        <item m="1" x="2879"/>
        <item m="1" x="561"/>
        <item m="1" x="2860"/>
        <item m="1" x="777"/>
        <item m="1" x="480"/>
        <item m="1" x="456"/>
        <item m="1" x="2647"/>
        <item m="1" x="2811"/>
        <item m="1" x="778"/>
        <item m="1" x="616"/>
        <item m="1" x="518"/>
        <item m="1" x="2905"/>
        <item m="1" x="562"/>
        <item m="1" x="2648"/>
        <item m="1" x="481"/>
        <item m="1" x="2846"/>
        <item m="1" x="2649"/>
        <item m="1" x="462"/>
        <item m="1" x="563"/>
        <item m="1" x="482"/>
        <item m="1" x="2650"/>
        <item m="1" x="779"/>
        <item m="1" x="2224"/>
        <item m="1" x="755"/>
        <item m="1" x="2153"/>
        <item m="1" x="526"/>
        <item m="1" x="714"/>
        <item m="1" x="780"/>
        <item m="1" x="674"/>
        <item m="1" x="781"/>
        <item m="1" x="3099"/>
        <item m="1" x="2651"/>
        <item m="1" x="2712"/>
        <item m="1" x="2802"/>
        <item m="1" x="913"/>
        <item m="1" x="676"/>
        <item m="1" x="782"/>
        <item m="1" x="508"/>
        <item m="1" x="783"/>
        <item m="1" x="588"/>
        <item m="1" x="2807"/>
        <item m="1" x="441"/>
        <item m="1" x="784"/>
        <item m="1" x="2778"/>
        <item m="1" x="3173"/>
        <item m="1" x="785"/>
        <item m="1" x="483"/>
        <item m="1" x="457"/>
        <item m="1" x="2273"/>
        <item m="1" x="786"/>
        <item m="1" x="2156"/>
        <item m="1" x="3112"/>
        <item m="1" x="2803"/>
        <item m="1" x="787"/>
        <item m="1" x="2833"/>
        <item m="1" x="519"/>
        <item m="1" x="2380"/>
        <item m="1" x="3127"/>
        <item m="1" x="788"/>
        <item m="1" x="390"/>
        <item m="1" x="3124"/>
        <item m="1" x="789"/>
        <item m="1" x="520"/>
        <item m="1" x="679"/>
        <item m="1" x="2652"/>
        <item m="1" x="2309"/>
        <item m="1" x="2653"/>
        <item m="1" x="2654"/>
        <item m="1" x="521"/>
        <item m="1" x="2135"/>
        <item m="1" x="527"/>
        <item m="1" x="2474"/>
        <item m="1" x="2167"/>
        <item m="1" x="790"/>
        <item m="1" x="791"/>
        <item m="1" x="564"/>
        <item m="1" x="2824"/>
        <item m="1" x="3174"/>
        <item m="1" x="602"/>
        <item m="1" x="2331"/>
        <item m="1" x="617"/>
        <item m="1" x="2751"/>
        <item m="1" x="2655"/>
        <item m="1" x="2300"/>
        <item m="1" x="509"/>
        <item m="1" x="2656"/>
        <item m="1" x="565"/>
        <item m="1" x="2657"/>
        <item m="1" x="3145"/>
        <item m="1" x="2658"/>
        <item m="1" x="537"/>
        <item m="1" x="2659"/>
        <item m="1" x="2825"/>
        <item m="1" x="2660"/>
        <item m="1" x="2661"/>
        <item m="1" x="2826"/>
        <item m="1" x="2158"/>
        <item m="1" x="2662"/>
        <item m="1" x="2876"/>
        <item m="1" x="2663"/>
        <item m="1" x="2664"/>
        <item m="1" x="2665"/>
        <item m="1" x="566"/>
        <item m="1" x="484"/>
        <item m="1" x="2666"/>
        <item m="1" x="2834"/>
        <item m="1" x="499"/>
        <item m="1" x="2667"/>
        <item m="1" x="589"/>
        <item m="1" x="2668"/>
        <item m="1" x="2847"/>
        <item m="1" x="2669"/>
        <item m="1" x="603"/>
        <item m="1" x="2804"/>
        <item m="1" x="2670"/>
        <item m="1" x="2855"/>
        <item m="1" x="2671"/>
        <item m="1" x="618"/>
        <item m="1" x="2861"/>
        <item m="1" x="2672"/>
        <item m="1" x="626"/>
        <item m="1" x="2673"/>
        <item m="1" x="567"/>
        <item m="1" x="485"/>
        <item m="1" x="2674"/>
        <item m="1" x="409"/>
        <item m="1" x="2805"/>
        <item m="1" x="2848"/>
        <item m="1" x="2675"/>
        <item m="1" x="2676"/>
        <item m="1" x="528"/>
        <item m="1" x="695"/>
        <item m="1" x="2299"/>
        <item m="1" x="2677"/>
        <item m="1" x="2127"/>
        <item m="1" x="2159"/>
        <item m="1" x="2678"/>
        <item m="1" x="2679"/>
        <item m="1" x="2812"/>
        <item m="1" x="2680"/>
        <item m="1" x="689"/>
        <item m="1" x="399"/>
        <item m="1" x="2681"/>
        <item m="1" x="732"/>
        <item m="1" x="2792"/>
        <item m="1" x="538"/>
        <item m="1" x="2887"/>
        <item m="1" x="2682"/>
        <item m="1" x="2827"/>
        <item m="1" x="500"/>
        <item m="1" x="2683"/>
        <item m="1" x="2835"/>
        <item m="1" x="792"/>
        <item m="1" x="420"/>
        <item m="1" x="735"/>
        <item m="1" x="793"/>
        <item m="1" x="706"/>
        <item m="1" x="2849"/>
        <item m="1" x="486"/>
        <item m="1" x="2684"/>
        <item m="1" x="736"/>
        <item m="1" x="2809"/>
        <item m="1" x="2685"/>
        <item m="1" x="568"/>
        <item m="1" x="2686"/>
        <item m="1" x="2466"/>
        <item m="1" x="2856"/>
        <item m="1" x="466"/>
        <item m="1" x="2687"/>
        <item m="1" x="2828"/>
        <item m="1" x="487"/>
        <item m="1" x="2688"/>
        <item m="1" x="2355"/>
        <item m="1" x="2689"/>
        <item m="1" x="2793"/>
        <item m="1" x="2690"/>
        <item m="1" x="539"/>
        <item m="1" x="488"/>
        <item m="1" x="540"/>
        <item m="1" x="2785"/>
        <item m="1" x="656"/>
        <item m="1" x="649"/>
        <item m="1" x="3149"/>
        <item m="1" x="2329"/>
        <item m="1" x="590"/>
        <item m="1" x="638"/>
        <item m="1" x="2897"/>
        <item m="1" x="489"/>
        <item m="1" x="794"/>
        <item m="1" x="766"/>
        <item m="1" x="490"/>
        <item m="1" x="795"/>
        <item m="1" x="2829"/>
        <item m="1" x="2261"/>
        <item m="1" x="3150"/>
        <item m="1" x="2691"/>
        <item m="1" x="2179"/>
        <item m="1" x="796"/>
        <item m="1" x="619"/>
        <item m="1" x="2464"/>
        <item m="1" x="797"/>
        <item m="1" x="3154"/>
        <item m="1" x="491"/>
        <item m="1" x="569"/>
        <item m="1" x="2794"/>
        <item m="1" x="2692"/>
        <item m="1" x="798"/>
        <item m="1" x="2898"/>
        <item m="1" x="510"/>
        <item m="1" x="2693"/>
        <item m="1" x="2857"/>
        <item m="1" x="2694"/>
        <item m="1" x="604"/>
        <item m="1" x="2695"/>
        <item m="1" x="591"/>
        <item m="1" x="2752"/>
        <item m="1" x="2836"/>
        <item m="1" x="907"/>
        <item m="1" x="411"/>
        <item m="1" x="2549"/>
        <item m="1" x="570"/>
        <item m="1" x="2506"/>
        <item m="1" x="722"/>
        <item m="1" x="2106"/>
        <item m="1" x="986"/>
        <item m="1" x="2858"/>
        <item m="1" x="2862"/>
        <item m="1" x="799"/>
        <item m="1" x="3153"/>
        <item m="1" x="800"/>
        <item m="1" x="2432"/>
        <item m="1" x="801"/>
        <item m="1" x="620"/>
        <item m="1" x="733"/>
        <item m="1" x="592"/>
        <item m="1" x="2837"/>
        <item m="1" x="2558"/>
        <item m="1" x="2424"/>
        <item m="1" x="627"/>
        <item m="1" x="668"/>
        <item m="1" x="357"/>
        <item m="1" x="3151"/>
        <item m="1" x="571"/>
        <item m="1" x="2696"/>
        <item m="1" x="2296"/>
        <item m="1" x="2838"/>
        <item m="1" x="593"/>
        <item m="1" x="802"/>
        <item m="1" x="2084"/>
        <item m="1" x="2276"/>
        <item m="1" x="661"/>
        <item m="1" x="803"/>
        <item m="1" x="694"/>
        <item m="1" x="804"/>
        <item m="1" x="2154"/>
        <item m="1" x="805"/>
        <item m="1" x="2151"/>
        <item m="1" x="2697"/>
        <item m="1" x="2415"/>
        <item m="1" x="806"/>
        <item m="1" x="2491"/>
        <item m="1" x="807"/>
        <item m="1" x="2813"/>
        <item m="1" x="808"/>
        <item m="1" x="2814"/>
        <item m="1" x="809"/>
        <item m="1" x="2815"/>
        <item m="1" x="2816"/>
        <item m="1" x="572"/>
        <item m="1" x="2839"/>
        <item m="1" x="594"/>
        <item m="1" x="2850"/>
        <item m="1" x="2426"/>
        <item m="1" x="605"/>
        <item m="1" x="3161"/>
        <item m="1" x="2859"/>
        <item m="1" x="2455"/>
        <item m="1" x="621"/>
        <item m="1" x="2470"/>
        <item m="1" x="810"/>
        <item m="1" x="573"/>
        <item m="1" x="811"/>
        <item m="1" x="2840"/>
        <item m="1" x="812"/>
        <item m="1" x="2841"/>
        <item m="1" x="813"/>
        <item m="1" x="574"/>
        <item m="1" x="746"/>
        <item m="1" x="595"/>
        <item m="1" x="814"/>
        <item m="1" x="575"/>
        <item m="1" x="815"/>
        <item m="1" x="576"/>
        <item m="1" x="816"/>
        <item m="1" x="577"/>
        <item m="1" x="2851"/>
        <item m="1" x="2427"/>
        <item m="1" x="2852"/>
        <item m="1" x="3132"/>
        <item m="1" x="817"/>
        <item m="1" x="2817"/>
        <item m="1" x="818"/>
        <item m="1" x="2818"/>
        <item m="1" x="819"/>
        <item m="1" x="622"/>
        <item m="1" x="578"/>
        <item m="1" x="2698"/>
        <item m="1" x="2842"/>
        <item m="1" x="606"/>
        <item m="1" x="628"/>
        <item m="1" x="2428"/>
        <item m="1" x="2456"/>
        <item m="1" x="579"/>
        <item m="1" x="580"/>
        <item m="1" x="581"/>
        <item m="1" x="820"/>
        <item m="1" x="582"/>
        <item m="1" x="821"/>
        <item m="1" x="970"/>
        <item m="1" x="583"/>
        <item m="1" x="743"/>
        <item m="1" x="822"/>
        <item m="1" x="2819"/>
        <item m="1" x="2820"/>
        <item m="1" x="980"/>
        <item m="1" x="2378"/>
        <item m="1" x="2699"/>
        <item m="1" x="823"/>
        <item m="1" x="2091"/>
        <item m="1" x="2868"/>
        <item m="1" x="2476"/>
        <item m="1" x="2992"/>
        <item m="1" x="2756"/>
        <item m="1" x="2700"/>
        <item m="1" x="2701"/>
        <item m="1" x="2137"/>
        <item m="1" x="824"/>
        <item m="1" x="825"/>
        <item m="1" x="666"/>
        <item m="1" x="2702"/>
        <item m="1" x="696"/>
        <item m="1" x="2703"/>
        <item m="1" x="738"/>
        <item m="1" x="753"/>
        <item m="1" x="2704"/>
        <item m="1" x="630"/>
        <item m="1" x="2429"/>
        <item m="1" x="826"/>
        <item m="1" x="827"/>
        <item m="1" x="828"/>
        <item m="1" x="829"/>
        <item m="1" x="2705"/>
        <item m="1" x="636"/>
        <item m="1" x="2706"/>
        <item m="1" x="2707"/>
        <item m="1" x="2324"/>
        <item m="1" x="2430"/>
        <item m="1" x="2708"/>
        <item m="1" x="2709"/>
        <item m="1" x="2235"/>
        <item m="1" x="2497"/>
        <item m="1" x="415"/>
        <item m="1" x="2458"/>
        <item m="1" x="2472"/>
        <item m="1" x="2459"/>
        <item m="1" x="639"/>
        <item m="1" x="830"/>
        <item m="1" x="688"/>
        <item m="1" x="2730"/>
        <item m="1" x="2168"/>
        <item m="1" x="968"/>
        <item m="1" x="932"/>
        <item m="1" x="770"/>
        <item m="1" x="3125"/>
        <item m="1" x="910"/>
        <item m="1" x="2733"/>
        <item x="8"/>
        <item m="1" x="2795"/>
        <item m="1" x="2110"/>
        <item m="1" x="2883"/>
        <item m="1" x="432"/>
        <item m="1" x="2729"/>
        <item m="1" x="2121"/>
        <item m="1" x="2171"/>
        <item m="1" x="2341"/>
        <item m="1" x="2108"/>
        <item m="1" x="400"/>
        <item m="1" x="1004"/>
        <item m="1" x="2873"/>
        <item m="1" x="2545"/>
        <item m="1" x="2889"/>
        <item m="1" x="2315"/>
        <item m="1" x="2739"/>
        <item m="1" x="935"/>
        <item m="1" x="2407"/>
        <item m="1" x="2385"/>
        <item m="1" x="3129"/>
        <item m="1" x="2260"/>
        <item m="1" x="2305"/>
        <item m="1" x="2097"/>
        <item x="10"/>
        <item m="1" x="424"/>
        <item m="1" x="2160"/>
        <item m="1" x="2088"/>
        <item m="1" x="2886"/>
        <item m="1" x="2292"/>
        <item m="1" x="463"/>
        <item m="1" x="2451"/>
        <item m="1" x="3158"/>
        <item m="1" x="2902"/>
        <item m="1" x="2880"/>
        <item m="1" x="2274"/>
        <item m="1" x="492"/>
        <item x="14"/>
        <item m="1" x="726"/>
        <item m="1" x="2133"/>
        <item m="1" x="421"/>
        <item m="1" x="2363"/>
        <item m="1" x="2174"/>
        <item m="1" x="645"/>
        <item m="1" x="2755"/>
        <item m="1" x="671"/>
        <item m="1" x="2320"/>
        <item m="1" x="2263"/>
        <item m="1" x="2144"/>
        <item m="1" x="631"/>
        <item m="1" x="2321"/>
        <item x="16"/>
        <item m="1" x="2173"/>
        <item m="1" x="2134"/>
        <item m="1" x="2098"/>
        <item m="1" x="2287"/>
        <item m="1" x="994"/>
        <item m="1" x="2462"/>
        <item m="1" x="917"/>
        <item m="1" x="2892"/>
        <item m="1" x="833"/>
        <item m="1" x="2452"/>
        <item m="1" x="2715"/>
        <item m="1" x="2286"/>
        <item m="1" x="2438"/>
        <item m="1" x="2333"/>
        <item m="1" x="992"/>
        <item m="1" x="2441"/>
        <item m="1" x="2102"/>
        <item m="1" x="2310"/>
        <item m="1" x="609"/>
        <item m="1" x="2277"/>
        <item m="1" x="2311"/>
        <item m="1" x="909"/>
        <item m="1" x="2431"/>
        <item m="1" x="2089"/>
        <item m="1" x="2357"/>
        <item x="224"/>
        <item m="1" x="742"/>
        <item m="1" x="2421"/>
        <item m="1" x="2877"/>
        <item m="1" x="2162"/>
        <item m="1" x="2085"/>
        <item m="1" x="2148"/>
        <item m="1" x="2760"/>
        <item x="18"/>
        <item x="19"/>
        <item m="1" x="2152"/>
        <item m="1" x="2494"/>
        <item m="1" x="990"/>
        <item m="1" x="677"/>
        <item m="1" x="2808"/>
        <item m="1" x="2087"/>
        <item m="1" x="3133"/>
        <item x="20"/>
        <item m="1" x="3131"/>
        <item m="1" x="2343"/>
        <item m="1" x="2444"/>
        <item m="1" x="387"/>
        <item x="21"/>
        <item m="1" x="3162"/>
        <item m="1" x="2248"/>
        <item m="1" x="858"/>
        <item x="22"/>
        <item m="1" x="3166"/>
        <item m="1" x="744"/>
        <item x="23"/>
        <item x="24"/>
        <item m="1" x="2081"/>
        <item m="1" x="2199"/>
        <item m="1" x="765"/>
        <item m="1" x="2194"/>
        <item m="1" x="697"/>
        <item m="1" x="416"/>
        <item m="1" x="2759"/>
        <item m="1" x="2867"/>
        <item m="1" x="506"/>
        <item m="1" x="2763"/>
        <item m="1" x="234"/>
        <item m="1" x="2442"/>
        <item m="1" x="728"/>
        <item m="1" x="2376"/>
        <item m="1" x="389"/>
        <item m="1" x="2285"/>
        <item m="1" x="757"/>
        <item m="1" x="2377"/>
        <item x="25"/>
        <item m="1" x="2536"/>
        <item m="1" x="2537"/>
        <item m="1" x="989"/>
        <item m="1" x="993"/>
        <item m="1" x="2529"/>
        <item m="1" x="2532"/>
        <item m="1" x="2542"/>
        <item m="1" x="2544"/>
        <item m="1" x="2291"/>
        <item m="1" x="442"/>
        <item m="1" x="2319"/>
        <item m="1" x="458"/>
        <item m="1" x="2351"/>
        <item m="1" x="2166"/>
        <item m="1" x="2289"/>
        <item m="1" x="2404"/>
        <item m="1" x="235"/>
        <item m="1" x="633"/>
        <item m="1" x="886"/>
        <item m="1" x="2282"/>
        <item m="1" x="236"/>
        <item m="1" x="2219"/>
        <item m="1" x="2323"/>
        <item m="1" x="2169"/>
        <item m="1" x="2092"/>
        <item m="1" x="2882"/>
        <item m="1" x="3159"/>
        <item x="26"/>
        <item m="1" x="449"/>
        <item m="1" x="2165"/>
        <item m="1" x="3128"/>
        <item m="1" x="2900"/>
        <item m="1" x="3157"/>
        <item m="1" x="710"/>
        <item m="1" x="2099"/>
        <item x="27"/>
        <item m="1" x="2495"/>
        <item m="1" x="911"/>
        <item m="1" x="2496"/>
        <item m="1" x="2502"/>
        <item m="1" x="2891"/>
        <item m="1" x="651"/>
        <item m="1" x="3134"/>
        <item m="1" x="2744"/>
        <item x="28"/>
        <item m="1" x="2290"/>
        <item m="1" x="759"/>
        <item m="1" x="2723"/>
        <item x="29"/>
        <item m="1" x="2090"/>
        <item m="1" x="912"/>
        <item m="1" x="2503"/>
        <item m="1" x="2713"/>
        <item m="1" x="2280"/>
        <item m="1" x="3138"/>
        <item m="1" x="394"/>
        <item m="1" x="2221"/>
        <item m="1" x="237"/>
        <item m="1" x="683"/>
        <item m="1" x="760"/>
        <item m="1" x="2552"/>
        <item m="1" x="428"/>
        <item m="1" x="2473"/>
        <item m="1" x="228"/>
        <item m="1" x="238"/>
        <item x="30"/>
        <item x="31"/>
        <item m="1" x="2440"/>
        <item m="1" x="940"/>
        <item m="1" x="925"/>
        <item m="1" x="2513"/>
        <item m="1" x="2853"/>
        <item m="1" x="2493"/>
        <item m="1" x="2163"/>
        <item m="1" x="2237"/>
        <item x="32"/>
        <item m="1" x="3155"/>
        <item x="33"/>
        <item m="1" x="2433"/>
        <item m="1" x="2727"/>
        <item m="1" x="869"/>
        <item m="1" x="2157"/>
        <item m="1" x="2559"/>
        <item m="1" x="708"/>
        <item m="1" x="983"/>
        <item m="1" x="2562"/>
        <item m="1" x="2564"/>
        <item m="1" x="2565"/>
        <item m="1" x="2567"/>
        <item m="1" x="998"/>
        <item m="1" x="2711"/>
        <item m="1" x="2736"/>
        <item m="1" x="2788"/>
        <item m="1" x="2489"/>
        <item m="1" x="667"/>
        <item m="1" x="2113"/>
        <item m="1" x="979"/>
        <item m="1" x="2283"/>
        <item m="1" x="2352"/>
        <item m="1" x="2367"/>
        <item m="1" x="2112"/>
        <item m="1" x="2364"/>
        <item m="1" x="2335"/>
        <item m="1" x="2233"/>
        <item m="1" x="239"/>
        <item m="1" x="2140"/>
        <item m="1" x="1000"/>
        <item m="1" x="1003"/>
        <item m="1" x="1006"/>
        <item m="1" x="1009"/>
        <item m="1" x="711"/>
        <item m="1" x="955"/>
        <item m="1" x="762"/>
        <item m="1" x="918"/>
        <item m="1" x="2508"/>
        <item m="1" x="2123"/>
        <item x="12"/>
        <item m="1" x="922"/>
        <item m="1" x="967"/>
        <item m="1" x="2469"/>
        <item m="1" x="2888"/>
        <item m="1" x="2907"/>
        <item m="1" x="3164"/>
        <item m="1" x="240"/>
        <item m="1" x="2094"/>
        <item m="1" x="672"/>
        <item m="1" x="2368"/>
        <item m="1" x="241"/>
        <item m="1" x="747"/>
        <item m="1" x="2379"/>
        <item m="1" x="660"/>
        <item m="1" x="2484"/>
        <item m="1" x="914"/>
        <item m="1" x="2866"/>
        <item m="1" x="3136"/>
        <item m="1" x="999"/>
        <item m="1" x="1016"/>
        <item m="1" x="2161"/>
        <item x="34"/>
        <item m="1" x="244"/>
        <item x="35"/>
        <item m="1" x="2405"/>
        <item m="1" x="2554"/>
        <item m="1" x="360"/>
        <item m="1" x="2196"/>
        <item m="1" x="2172"/>
        <item m="1" x="2774"/>
        <item x="37"/>
        <item m="1" x="883"/>
        <item m="1" x="2478"/>
        <item m="1" x="2843"/>
        <item m="1" x="2560"/>
        <item m="1" x="2116"/>
        <item m="1" x="2716"/>
        <item m="1" x="969"/>
        <item m="1" x="2504"/>
        <item m="1" x="2141"/>
        <item m="1" x="469"/>
        <item m="1" x="2732"/>
        <item m="1" x="2779"/>
        <item m="1" x="2170"/>
        <item m="1" x="245"/>
        <item m="1" x="2724"/>
        <item m="1" x="647"/>
        <item m="1" x="2550"/>
        <item m="1" x="1008"/>
        <item m="1" x="1002"/>
        <item m="1" x="2264"/>
        <item m="1" x="2416"/>
        <item m="1" x="2313"/>
        <item m="1" x="2348"/>
        <item x="38"/>
        <item m="1" x="2874"/>
        <item m="1" x="3147"/>
        <item m="1" x="2231"/>
        <item m="1" x="881"/>
        <item x="39"/>
        <item m="1" x="2254"/>
        <item m="1" x="632"/>
        <item m="1" x="642"/>
        <item m="1" x="2325"/>
        <item m="1" x="2346"/>
        <item m="1" x="246"/>
        <item x="40"/>
        <item m="1" x="938"/>
        <item m="1" x="916"/>
        <item m="1" x="975"/>
        <item m="1" x="2460"/>
        <item x="41"/>
        <item x="42"/>
        <item m="1" x="2746"/>
        <item m="1" x="2762"/>
        <item m="1" x="2255"/>
        <item m="1" x="2201"/>
        <item m="1" x="2164"/>
        <item m="1" x="3137"/>
        <item m="1" x="686"/>
        <item m="1" x="958"/>
        <item m="1" x="448"/>
        <item m="1" x="2332"/>
        <item m="1" x="2250"/>
        <item x="43"/>
        <item m="1" x="2288"/>
        <item m="1" x="976"/>
        <item m="1" x="926"/>
        <item m="1" x="655"/>
        <item m="1" x="2104"/>
        <item m="1" x="2122"/>
        <item m="1" x="2124"/>
        <item m="1" x="731"/>
        <item x="44"/>
        <item x="45"/>
        <item x="46"/>
        <item x="47"/>
        <item m="1" x="2203"/>
        <item x="48"/>
        <item m="1" x="2781"/>
        <item m="1" x="673"/>
        <item m="1" x="730"/>
        <item x="49"/>
        <item m="1" x="1005"/>
        <item m="1" x="1014"/>
        <item m="1" x="2786"/>
        <item m="1" x="950"/>
        <item m="1" x="2487"/>
        <item m="1" x="2093"/>
        <item m="1" x="2865"/>
        <item m="1" x="758"/>
        <item m="1" x="987"/>
        <item m="1" x="2761"/>
        <item m="1" x="252"/>
        <item m="1" x="253"/>
        <item m="1" x="254"/>
        <item m="1" x="2295"/>
        <item m="1" x="2780"/>
        <item m="1" x="2753"/>
        <item m="1" x="748"/>
        <item m="1" x="3115"/>
        <item m="1" x="2539"/>
        <item m="1" x="2253"/>
        <item m="1" x="3169"/>
        <item m="1" x="2101"/>
        <item m="1" x="2271"/>
        <item m="1" x="2232"/>
        <item m="1" x="255"/>
        <item m="1" x="2303"/>
        <item m="1" x="256"/>
        <item m="1" x="2863"/>
        <item m="1" x="250"/>
        <item m="1" x="251"/>
        <item m="1" x="248"/>
        <item m="1" x="2734"/>
        <item x="50"/>
        <item m="1" x="257"/>
        <item m="1" x="2326"/>
        <item m="1" x="2262"/>
        <item m="1" x="2901"/>
        <item m="1" x="2409"/>
        <item m="1" x="2566"/>
        <item m="1" x="2710"/>
        <item m="1" x="2251"/>
        <item m="1" x="258"/>
        <item m="1" x="259"/>
        <item m="1" x="260"/>
        <item m="1" x="261"/>
        <item m="1" x="262"/>
        <item m="1" x="263"/>
        <item m="1" x="264"/>
        <item m="1" x="265"/>
        <item m="1" x="985"/>
        <item m="1" x="444"/>
        <item m="1" x="2198"/>
        <item m="1" x="2360"/>
        <item m="1" x="693"/>
        <item m="1" x="2434"/>
        <item m="1" x="678"/>
        <item m="1" x="468"/>
        <item m="1" x="2125"/>
        <item m="1" x="769"/>
        <item m="1" x="2369"/>
        <item m="1" x="879"/>
        <item m="1" x="2423"/>
        <item m="1" x="973"/>
        <item m="1" x="669"/>
        <item x="51"/>
        <item m="1" x="2383"/>
        <item m="1" x="682"/>
        <item x="52"/>
        <item x="53"/>
        <item m="1" x="2197"/>
        <item m="1" x="2222"/>
        <item x="54"/>
        <item m="1" x="643"/>
        <item m="1" x="269"/>
        <item m="1" x="270"/>
        <item m="1" x="271"/>
        <item m="1" x="273"/>
        <item m="1" x="2281"/>
        <item m="1" x="274"/>
        <item m="1" x="275"/>
        <item m="1" x="2356"/>
        <item m="1" x="2257"/>
        <item m="1" x="2269"/>
        <item m="1" x="2384"/>
        <item x="55"/>
        <item x="56"/>
        <item x="57"/>
        <item x="58"/>
        <item x="59"/>
        <item x="60"/>
        <item x="61"/>
        <item m="1" x="2500"/>
        <item m="1" x="764"/>
        <item m="1" x="2381"/>
        <item m="1" x="934"/>
        <item m="1" x="391"/>
        <item x="62"/>
        <item x="63"/>
        <item x="64"/>
        <item x="65"/>
        <item m="1" x="2109"/>
        <item m="1" x="2387"/>
        <item m="1" x="2553"/>
        <item m="1" x="276"/>
        <item m="1" x="277"/>
        <item m="1" x="278"/>
        <item m="1" x="2100"/>
        <item m="1" x="397"/>
        <item m="1" x="2131"/>
        <item m="1" x="2138"/>
        <item m="1" x="2743"/>
        <item x="66"/>
        <item x="67"/>
        <item m="1" x="2417"/>
        <item m="1" x="2731"/>
        <item m="1" x="2511"/>
        <item m="1" x="2551"/>
        <item m="1" x="535"/>
        <item m="1" x="596"/>
        <item m="1" x="2561"/>
        <item x="68"/>
        <item x="69"/>
        <item m="1" x="920"/>
        <item m="1" x="725"/>
        <item x="70"/>
        <item x="71"/>
        <item x="72"/>
        <item x="73"/>
        <item m="1" x="2488"/>
        <item x="74"/>
        <item x="75"/>
        <item x="76"/>
        <item x="77"/>
        <item x="78"/>
        <item m="1" x="2875"/>
        <item m="1" x="690"/>
        <item m="1" x="2149"/>
        <item m="1" x="933"/>
        <item m="1" x="227"/>
        <item x="79"/>
        <item m="1" x="2740"/>
        <item m="1" x="2082"/>
        <item m="1" x="2548"/>
        <item m="1" x="281"/>
        <item m="1" x="282"/>
        <item x="80"/>
        <item m="1" x="2105"/>
        <item m="1" x="2145"/>
        <item m="1" x="2314"/>
        <item m="1" x="283"/>
        <item m="1" x="2796"/>
        <item m="1" x="2107"/>
        <item m="1" x="284"/>
        <item m="1" x="2758"/>
        <item m="1" x="361"/>
        <item m="1" x="2738"/>
        <item m="1" x="908"/>
        <item m="1" x="285"/>
        <item m="1" x="286"/>
        <item m="1" x="287"/>
        <item m="1" x="288"/>
        <item x="81"/>
        <item m="1" x="289"/>
        <item m="1" x="290"/>
        <item x="82"/>
        <item x="83"/>
        <item x="84"/>
        <item x="85"/>
        <item m="1" x="2482"/>
        <item m="1" x="2486"/>
        <item m="1" x="1010"/>
        <item m="1" x="2748"/>
        <item m="1" x="3167"/>
        <item m="1" x="2294"/>
        <item x="86"/>
        <item x="87"/>
        <item x="88"/>
        <item x="89"/>
        <item x="90"/>
        <item m="1" x="598"/>
        <item x="91"/>
        <item x="92"/>
        <item x="93"/>
        <item x="94"/>
        <item x="95"/>
        <item m="1" x="2910"/>
        <item m="1" x="670"/>
        <item m="1" x="291"/>
        <item m="1" x="292"/>
        <item m="1" x="293"/>
        <item m="1" x="294"/>
        <item m="1" x="280"/>
        <item m="1" x="995"/>
        <item m="1" x="2408"/>
        <item x="13"/>
        <item x="96"/>
        <item m="1" x="2096"/>
        <item m="1" x="996"/>
        <item m="1" x="2414"/>
        <item m="1" x="2543"/>
        <item m="1" x="2523"/>
        <item m="1" x="959"/>
        <item m="1" x="295"/>
        <item m="1" x="296"/>
        <item m="1" x="297"/>
        <item m="1" x="298"/>
        <item m="1" x="299"/>
        <item m="1" x="300"/>
        <item m="1" x="301"/>
        <item x="36"/>
        <item x="97"/>
        <item x="98"/>
        <item x="99"/>
        <item m="1" x="644"/>
        <item x="100"/>
        <item x="101"/>
        <item m="1" x="2522"/>
        <item m="1" x="2454"/>
        <item m="1" x="2146"/>
        <item m="1" x="2132"/>
        <item x="102"/>
        <item m="1" x="2480"/>
        <item x="103"/>
        <item m="1" x="302"/>
        <item m="1" x="303"/>
        <item m="1" x="2374"/>
        <item m="1" x="501"/>
        <item x="104"/>
        <item m="1" x="754"/>
        <item m="1" x="304"/>
        <item x="105"/>
        <item m="1" x="305"/>
        <item x="106"/>
        <item x="107"/>
        <item x="108"/>
        <item m="1" x="2117"/>
        <item x="109"/>
        <item x="110"/>
        <item x="111"/>
        <item x="112"/>
        <item x="113"/>
        <item x="114"/>
        <item m="1" x="2782"/>
        <item m="1" x="2468"/>
        <item x="115"/>
        <item m="1" x="2118"/>
        <item m="1" x="307"/>
        <item m="1" x="308"/>
        <item m="1" x="369"/>
        <item m="1" x="306"/>
        <item m="1" x="2342"/>
        <item m="1" x="388"/>
        <item m="1" x="309"/>
        <item m="1" x="310"/>
        <item m="1" x="3168"/>
        <item m="1" x="2884"/>
        <item x="116"/>
        <item x="117"/>
        <item x="118"/>
        <item m="1" x="2284"/>
        <item m="1" x="2555"/>
        <item m="1" x="2298"/>
        <item m="1" x="2747"/>
        <item m="1" x="311"/>
        <item m="1" x="3156"/>
        <item m="1" x="312"/>
        <item m="1" x="313"/>
        <item m="1" x="314"/>
        <item m="1" x="2252"/>
        <item m="1" x="2226"/>
        <item m="1" x="495"/>
        <item m="1" x="2885"/>
        <item m="1" x="2322"/>
        <item x="119"/>
        <item m="1" x="2461"/>
        <item m="1" x="2382"/>
        <item m="1" x="2418"/>
        <item m="1" x="2330"/>
        <item x="120"/>
        <item m="1" x="2742"/>
        <item x="121"/>
        <item m="1" x="1007"/>
        <item m="1" x="315"/>
        <item m="1" x="316"/>
        <item m="1" x="2150"/>
        <item m="1" x="2230"/>
        <item m="1" x="2870"/>
        <item m="1" x="317"/>
        <item m="1" x="2229"/>
        <item m="1" x="459"/>
        <item m="1" x="608"/>
        <item m="1" x="2301"/>
        <item m="1" x="2413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m="1" x="318"/>
        <item x="134"/>
        <item x="135"/>
        <item x="136"/>
        <item x="137"/>
        <item x="138"/>
        <item m="1" x="319"/>
        <item m="1" x="320"/>
        <item m="1" x="2228"/>
        <item m="1" x="2083"/>
        <item x="139"/>
        <item x="140"/>
        <item x="141"/>
        <item x="142"/>
        <item m="1" x="2538"/>
        <item m="1" x="991"/>
        <item m="1" x="2872"/>
        <item x="143"/>
        <item x="144"/>
        <item m="1" x="321"/>
        <item m="1" x="322"/>
        <item m="1" x="323"/>
        <item m="1" x="324"/>
        <item m="1" x="325"/>
        <item x="145"/>
        <item x="146"/>
        <item x="147"/>
        <item x="148"/>
        <item x="149"/>
        <item x="150"/>
        <item x="151"/>
        <item m="1" x="327"/>
        <item x="152"/>
        <item x="153"/>
        <item m="1" x="3130"/>
        <item m="1" x="429"/>
        <item m="1" x="328"/>
        <item m="1" x="329"/>
        <item m="1" x="330"/>
        <item m="1" x="326"/>
        <item m="1" x="2371"/>
        <item m="1" x="745"/>
        <item x="154"/>
        <item x="155"/>
        <item x="156"/>
        <item x="157"/>
        <item m="1" x="2749"/>
        <item m="1" x="662"/>
        <item m="1" x="719"/>
        <item m="1" x="847"/>
        <item m="1" x="2188"/>
        <item x="158"/>
        <item x="159"/>
        <item x="160"/>
        <item x="161"/>
        <item x="162"/>
        <item m="1" x="331"/>
        <item m="1" x="332"/>
        <item m="1" x="333"/>
        <item m="1" x="334"/>
        <item x="163"/>
        <item x="164"/>
        <item x="165"/>
        <item m="1" x="2139"/>
        <item x="166"/>
        <item x="167"/>
        <item x="168"/>
        <item x="169"/>
        <item x="170"/>
        <item x="171"/>
        <item m="1" x="767"/>
        <item m="1" x="2103"/>
        <item m="1" x="2714"/>
        <item m="1" x="335"/>
        <item m="1" x="336"/>
        <item m="1" x="337"/>
        <item m="1" x="880"/>
        <item m="1" x="988"/>
        <item m="1" x="2119"/>
        <item m="1" x="2535"/>
        <item m="1" x="2741"/>
        <item m="1" x="2249"/>
        <item m="1" x="226"/>
        <item m="1" x="504"/>
        <item x="172"/>
        <item x="173"/>
        <item x="174"/>
        <item m="1" x="2547"/>
        <item x="175"/>
        <item m="1" x="338"/>
        <item m="1" x="339"/>
        <item m="1" x="2155"/>
        <item m="1" x="3171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m="1" x="2115"/>
        <item x="191"/>
        <item x="192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m="1" x="350"/>
        <item x="207"/>
        <item x="208"/>
        <item x="209"/>
        <item x="210"/>
        <item x="211"/>
        <item x="212"/>
        <item m="1" x="351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 defaultSubtotal="0">
      <items count="173">
        <item sd="0" m="1" x="135"/>
        <item sd="0" m="1" x="114"/>
        <item sd="0" m="1" x="116"/>
        <item sd="0" m="1" x="147"/>
        <item sd="0" m="1" x="91"/>
        <item sd="0" m="1" x="121"/>
        <item sd="0" m="1" x="112"/>
        <item sd="0" m="1" x="124"/>
        <item sd="0" m="1" x="101"/>
        <item sd="0" m="1" x="165"/>
        <item sd="0" m="1" x="151"/>
        <item sd="0" m="1" x="102"/>
        <item sd="0" m="1" x="105"/>
        <item sd="0" m="1" x="133"/>
        <item sd="0" m="1" x="144"/>
        <item sd="0" m="1" x="157"/>
        <item sd="0" m="1" x="95"/>
        <item sd="0" m="1" x="162"/>
        <item sd="0" m="1" x="96"/>
        <item sd="0" m="1" x="128"/>
        <item sd="0" m="1" x="125"/>
        <item sd="0" m="1" x="146"/>
        <item sd="0" m="1" x="129"/>
        <item sd="0" m="1" x="126"/>
        <item sd="0" m="1" x="97"/>
        <item sd="0" m="1" x="120"/>
        <item sd="0" m="1" x="155"/>
        <item sd="0" m="1" x="107"/>
        <item sd="0" m="1" x="92"/>
        <item sd="0" m="1" x="160"/>
        <item sd="0" m="1" x="117"/>
        <item sd="0" m="1" x="156"/>
        <item sd="0" m="1" x="148"/>
        <item sd="0" m="1" x="143"/>
        <item sd="0" m="1" x="140"/>
        <item sd="0" x="3"/>
        <item sd="0" m="1" x="168"/>
        <item sd="0" m="1" x="161"/>
        <item sd="0" x="40"/>
        <item sd="0" x="5"/>
        <item sd="0" x="20"/>
        <item sd="0" x="6"/>
        <item sd="0" x="42"/>
        <item sd="0" x="13"/>
        <item sd="0" m="1" x="99"/>
        <item sd="0" x="0"/>
        <item sd="0" m="1" x="153"/>
        <item sd="0" m="1" x="119"/>
        <item sd="0" m="1" x="111"/>
        <item sd="0" m="1" x="137"/>
        <item sd="0" x="43"/>
        <item sd="0" x="15"/>
        <item sd="0" x="35"/>
        <item sd="0" x="17"/>
        <item sd="0" x="24"/>
        <item sd="0" x="44"/>
        <item sd="0" x="46"/>
        <item sd="0" x="47"/>
        <item sd="0" m="1" x="130"/>
        <item sd="0" x="14"/>
        <item sd="0" x="48"/>
        <item sd="0" x="52"/>
        <item sd="0" x="53"/>
        <item sd="0" x="4"/>
        <item sd="0" x="36"/>
        <item sd="0" x="55"/>
        <item sd="0" x="2"/>
        <item sd="0" x="57"/>
        <item sd="0" x="19"/>
        <item sd="0" x="58"/>
        <item sd="0" m="1" x="103"/>
        <item sd="0" m="1" x="150"/>
        <item sd="0" x="60"/>
        <item sd="0" m="1" x="136"/>
        <item sd="0" x="61"/>
        <item sd="0" x="62"/>
        <item sd="0" m="1" x="159"/>
        <item sd="0" x="38"/>
        <item sd="0" x="34"/>
        <item sd="0" x="63"/>
        <item sd="0" x="64"/>
        <item sd="0" x="66"/>
        <item sd="0" x="67"/>
        <item sd="0" x="68"/>
        <item sd="0" x="30"/>
        <item sd="0" x="69"/>
        <item sd="0" m="1" x="106"/>
        <item sd="0" x="9"/>
        <item sd="0" x="71"/>
        <item sd="0" m="1" x="110"/>
        <item sd="0" x="73"/>
        <item sd="0" x="8"/>
        <item sd="0" x="75"/>
        <item sd="0" m="1" x="127"/>
        <item sd="0" x="21"/>
        <item sd="0" m="1" x="167"/>
        <item sd="0" m="1" x="142"/>
        <item sd="0" m="1" x="109"/>
        <item sd="0" x="10"/>
        <item sd="0" x="11"/>
        <item sd="0" m="1" x="169"/>
        <item sd="0" x="77"/>
        <item sd="0" m="1" x="90"/>
        <item sd="0" x="37"/>
        <item sd="0" m="1" x="104"/>
        <item sd="0" m="1" x="139"/>
        <item sd="0" x="1"/>
        <item sd="0" x="16"/>
        <item sd="0" x="78"/>
        <item sd="0" x="79"/>
        <item sd="0" m="1" x="138"/>
        <item sd="0" x="12"/>
        <item sd="0" m="1" x="94"/>
        <item sd="0" m="1" x="149"/>
        <item sd="0" x="80"/>
        <item sd="0" x="81"/>
        <item sd="0" x="22"/>
        <item sd="0" x="82"/>
        <item sd="0" x="33"/>
        <item sd="0" x="18"/>
        <item sd="0" m="1" x="132"/>
        <item sd="0" m="1" x="170"/>
        <item sd="0" m="1" x="172"/>
        <item sd="0" x="25"/>
        <item sd="0" m="1" x="123"/>
        <item sd="0" x="84"/>
        <item sd="0" x="29"/>
        <item sd="0" m="1" x="166"/>
        <item sd="0" x="7"/>
        <item sd="0" x="85"/>
        <item sd="0" m="1" x="131"/>
        <item sd="0" x="28"/>
        <item sd="0" m="1" x="154"/>
        <item sd="0" x="86"/>
        <item sd="0" x="23"/>
        <item sd="0" m="1" x="122"/>
        <item sd="0" m="1" x="145"/>
        <item sd="0" m="1" x="93"/>
        <item sd="0" m="1" x="158"/>
        <item sd="0" m="1" x="134"/>
        <item sd="0" x="41"/>
        <item sd="0" m="1" x="163"/>
        <item sd="0" x="45"/>
        <item sd="0" x="51"/>
        <item sd="0" x="56"/>
        <item sd="0" m="1" x="98"/>
        <item sd="0" x="59"/>
        <item sd="0" m="1" x="89"/>
        <item sd="0" x="76"/>
        <item sd="0" x="87"/>
        <item sd="0" m="1" x="113"/>
        <item sd="0" x="65"/>
        <item sd="0" m="1" x="108"/>
        <item sd="0" x="70"/>
        <item sd="0" m="1" x="100"/>
        <item sd="0" m="1" x="152"/>
        <item sd="0" x="50"/>
        <item sd="0" x="39"/>
        <item m="1" x="118"/>
        <item sd="0" x="72"/>
        <item sd="0" x="49"/>
        <item sd="0" x="74"/>
        <item sd="0" m="1" x="141"/>
        <item m="1" x="115"/>
        <item sd="0" x="27"/>
        <item sd="0" x="26"/>
        <item sd="0" x="54"/>
        <item sd="0" m="1" x="88"/>
        <item sd="0" m="1" x="171"/>
        <item sd="0" x="31"/>
        <item sd="0" x="83"/>
        <item sd="0" x="32"/>
        <item m="1" x="16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>
      <items count="23">
        <item sd="0" m="1" x="13"/>
        <item sd="0" m="1" x="17"/>
        <item sd="0" m="1" x="18"/>
        <item sd="0" m="1" x="15"/>
        <item sd="0" m="1" x="19"/>
        <item sd="0" m="1" x="20"/>
        <item sd="0" x="6"/>
        <item sd="0" x="9"/>
        <item sd="0" m="1" x="14"/>
        <item sd="0" x="7"/>
        <item sd="0" x="5"/>
        <item sd="0" x="4"/>
        <item sd="0" x="0"/>
        <item sd="0" x="1"/>
        <item sd="0" x="8"/>
        <item sd="0" x="10"/>
        <item sd="0" x="3"/>
        <item sd="0" x="2"/>
        <item sd="0" m="1" x="16"/>
        <item sd="0" x="12"/>
        <item x="11"/>
        <item m="1" x="21"/>
        <item t="default" sd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111">
        <item x="7"/>
        <item m="1" x="93"/>
        <item x="24"/>
        <item x="30"/>
        <item x="19"/>
        <item m="1" x="79"/>
        <item x="38"/>
        <item x="34"/>
        <item x="17"/>
        <item sd="0" m="1" x="76"/>
        <item m="1" x="87"/>
        <item x="9"/>
        <item x="12"/>
        <item x="25"/>
        <item m="1" x="96"/>
        <item x="6"/>
        <item x="0"/>
        <item m="1" x="75"/>
        <item x="1"/>
        <item x="14"/>
        <item x="2"/>
        <item m="1" x="90"/>
        <item m="1" x="105"/>
        <item m="1" x="86"/>
        <item x="3"/>
        <item x="36"/>
        <item x="4"/>
        <item m="1" x="109"/>
        <item x="8"/>
        <item x="20"/>
        <item x="22"/>
        <item x="28"/>
        <item x="23"/>
        <item x="21"/>
        <item m="1" x="107"/>
        <item x="71"/>
        <item x="66"/>
        <item x="40"/>
        <item x="43"/>
        <item m="1" x="99"/>
        <item x="56"/>
        <item x="62"/>
        <item x="57"/>
        <item x="44"/>
        <item x="60"/>
        <item x="64"/>
        <item x="45"/>
        <item x="46"/>
        <item x="72"/>
        <item x="58"/>
        <item x="69"/>
        <item x="59"/>
        <item m="1" x="77"/>
        <item x="65"/>
        <item m="1" x="89"/>
        <item m="1" x="104"/>
        <item x="48"/>
        <item x="63"/>
        <item x="73"/>
        <item x="42"/>
        <item x="54"/>
        <item x="61"/>
        <item x="68"/>
        <item x="52"/>
        <item x="70"/>
        <item x="51"/>
        <item m="1" x="85"/>
        <item m="1" x="92"/>
        <item sd="0" x="13"/>
        <item x="18"/>
        <item x="10"/>
        <item x="15"/>
        <item x="11"/>
        <item sd="0" x="27"/>
        <item x="5"/>
        <item x="74"/>
        <item m="1" x="88"/>
        <item m="1" x="100"/>
        <item m="1" x="101"/>
        <item m="1" x="83"/>
        <item m="1" x="103"/>
        <item x="67"/>
        <item x="16"/>
        <item m="1" x="81"/>
        <item x="49"/>
        <item x="35"/>
        <item m="1" x="78"/>
        <item m="1" x="82"/>
        <item m="1" x="91"/>
        <item x="41"/>
        <item m="1" x="97"/>
        <item m="1" x="94"/>
        <item x="55"/>
        <item x="26"/>
        <item x="47"/>
        <item x="53"/>
        <item m="1" x="102"/>
        <item m="1" x="106"/>
        <item m="1" x="84"/>
        <item x="39"/>
        <item m="1" x="98"/>
        <item x="50"/>
        <item x="29"/>
        <item x="31"/>
        <item m="1" x="108"/>
        <item x="32"/>
        <item x="33"/>
        <item m="1" x="95"/>
        <item m="1" x="80"/>
        <item x="3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3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12"/>
    <field x="16"/>
    <field x="9"/>
    <field x="11"/>
  </rowFields>
  <rowItems count="87">
    <i>
      <x v="35"/>
    </i>
    <i>
      <x v="38"/>
    </i>
    <i>
      <x v="39"/>
    </i>
    <i>
      <x v="40"/>
    </i>
    <i>
      <x v="41"/>
    </i>
    <i>
      <x v="42"/>
    </i>
    <i>
      <x v="43"/>
    </i>
    <i>
      <x v="45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2"/>
    </i>
    <i>
      <x v="74"/>
    </i>
    <i>
      <x v="75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7"/>
    </i>
    <i>
      <x v="88"/>
    </i>
    <i>
      <x v="90"/>
    </i>
    <i>
      <x v="91"/>
    </i>
    <i>
      <x v="92"/>
    </i>
    <i>
      <x v="94"/>
    </i>
    <i>
      <x v="98"/>
    </i>
    <i>
      <x v="99"/>
    </i>
    <i>
      <x v="101"/>
    </i>
    <i>
      <x v="103"/>
    </i>
    <i>
      <x v="106"/>
    </i>
    <i>
      <x v="107"/>
    </i>
    <i>
      <x v="108"/>
    </i>
    <i>
      <x v="109"/>
    </i>
    <i>
      <x v="111"/>
    </i>
    <i>
      <x v="114"/>
    </i>
    <i>
      <x v="115"/>
    </i>
    <i>
      <x v="116"/>
    </i>
    <i>
      <x v="117"/>
    </i>
    <i>
      <x v="118"/>
    </i>
    <i>
      <x v="119"/>
    </i>
    <i>
      <x v="123"/>
    </i>
    <i>
      <x v="125"/>
    </i>
    <i>
      <x v="126"/>
    </i>
    <i>
      <x v="128"/>
    </i>
    <i>
      <x v="129"/>
    </i>
    <i>
      <x v="131"/>
    </i>
    <i>
      <x v="133"/>
    </i>
    <i>
      <x v="134"/>
    </i>
    <i>
      <x v="140"/>
    </i>
    <i>
      <x v="142"/>
    </i>
    <i>
      <x v="143"/>
    </i>
    <i>
      <x v="144"/>
    </i>
    <i>
      <x v="146"/>
    </i>
    <i>
      <x v="148"/>
    </i>
    <i>
      <x v="151"/>
    </i>
    <i>
      <x v="153"/>
    </i>
    <i>
      <x v="156"/>
    </i>
    <i>
      <x v="157"/>
    </i>
    <i>
      <x v="159"/>
    </i>
    <i>
      <x v="160"/>
    </i>
    <i>
      <x v="161"/>
    </i>
    <i>
      <x v="164"/>
    </i>
    <i>
      <x v="165"/>
    </i>
    <i>
      <x v="166"/>
    </i>
    <i>
      <x v="169"/>
    </i>
    <i>
      <x v="170"/>
    </i>
    <i>
      <x v="171"/>
    </i>
  </rowItems>
  <colFields count="1">
    <field x="6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pageFields count="3">
    <pageField fld="14" hier="-1"/>
    <pageField fld="7" hier="-1"/>
    <pageField fld="0" hier="-1"/>
  </pageFields>
  <dataFields count="1">
    <dataField name="Sum of Итого" fld="23" baseField="0" baseItem="0" numFmtId="167"/>
  </dataFields>
  <formats count="126">
    <format dxfId="370">
      <pivotArea dataOnly="0" labelOnly="1" outline="0" axis="axisValues" fieldPosition="0"/>
    </format>
    <format dxfId="369">
      <pivotArea field="12" type="button" dataOnly="0" labelOnly="1" outline="0" axis="axisRow" fieldPosition="0"/>
    </format>
    <format dxfId="368">
      <pivotArea dataOnly="0" labelOnly="1" grandCol="1" outline="0" fieldPosition="0"/>
    </format>
    <format dxfId="367">
      <pivotArea type="origin" dataOnly="0" labelOnly="1" outline="0" fieldPosition="0"/>
    </format>
    <format dxfId="366">
      <pivotArea type="topRight" dataOnly="0" labelOnly="1" outline="0" fieldPosition="0"/>
    </format>
    <format dxfId="365">
      <pivotArea field="12" type="button" dataOnly="0" labelOnly="1" outline="0" axis="axisRow" fieldPosition="0"/>
    </format>
    <format dxfId="364">
      <pivotArea field="9" type="button" dataOnly="0" labelOnly="1" outline="0" axis="axisRow" fieldPosition="2"/>
    </format>
    <format dxfId="363">
      <pivotArea field="11" type="button" dataOnly="0" labelOnly="1" outline="0" axis="axisRow" fieldPosition="3"/>
    </format>
    <format dxfId="362">
      <pivotArea dataOnly="0" labelOnly="1" outline="0" offset="A256" fieldPosition="0">
        <references count="1">
          <reference field="12" count="1">
            <x v="38"/>
          </reference>
        </references>
      </pivotArea>
    </format>
    <format dxfId="361">
      <pivotArea dataOnly="0" labelOnly="1" outline="0" offset="A256" fieldPosition="0">
        <references count="1">
          <reference field="12" count="1">
            <x v="39"/>
          </reference>
        </references>
      </pivotArea>
    </format>
    <format dxfId="360">
      <pivotArea dataOnly="0" labelOnly="1" outline="0" offset="A256" fieldPosition="0">
        <references count="1">
          <reference field="12" count="1">
            <x v="40"/>
          </reference>
        </references>
      </pivotArea>
    </format>
    <format dxfId="359">
      <pivotArea dataOnly="0" labelOnly="1" outline="0" offset="A256" fieldPosition="0">
        <references count="1">
          <reference field="12" count="1">
            <x v="41"/>
          </reference>
        </references>
      </pivotArea>
    </format>
    <format dxfId="358">
      <pivotArea dataOnly="0" labelOnly="1" outline="0" offset="A256" fieldPosition="0">
        <references count="1">
          <reference field="12" count="1">
            <x v="42"/>
          </reference>
        </references>
      </pivotArea>
    </format>
    <format dxfId="357">
      <pivotArea dataOnly="0" labelOnly="1" outline="0" offset="A256" fieldPosition="0">
        <references count="1">
          <reference field="12" count="1">
            <x v="43"/>
          </reference>
        </references>
      </pivotArea>
    </format>
    <format dxfId="356">
      <pivotArea dataOnly="0" labelOnly="1" outline="0" offset="A256" fieldPosition="0">
        <references count="1">
          <reference field="12" count="1">
            <x v="45"/>
          </reference>
        </references>
      </pivotArea>
    </format>
    <format dxfId="355">
      <pivotArea dataOnly="0" labelOnly="1" outline="0" offset="A256" fieldPosition="0">
        <references count="1">
          <reference field="12" count="1">
            <x v="50"/>
          </reference>
        </references>
      </pivotArea>
    </format>
    <format dxfId="354">
      <pivotArea dataOnly="0" labelOnly="1" outline="0" offset="A256" fieldPosition="0">
        <references count="1">
          <reference field="12" count="1">
            <x v="52"/>
          </reference>
        </references>
      </pivotArea>
    </format>
    <format dxfId="353">
      <pivotArea dataOnly="0" labelOnly="1" outline="0" offset="A256" fieldPosition="0">
        <references count="1">
          <reference field="12" count="1">
            <x v="53"/>
          </reference>
        </references>
      </pivotArea>
    </format>
    <format dxfId="352">
      <pivotArea dataOnly="0" labelOnly="1" outline="0" offset="A256" fieldPosition="0">
        <references count="1">
          <reference field="12" count="1">
            <x v="54"/>
          </reference>
        </references>
      </pivotArea>
    </format>
    <format dxfId="351">
      <pivotArea dataOnly="0" labelOnly="1" outline="0" offset="A256" fieldPosition="0">
        <references count="1">
          <reference field="12" count="1">
            <x v="55"/>
          </reference>
        </references>
      </pivotArea>
    </format>
    <format dxfId="350">
      <pivotArea dataOnly="0" labelOnly="1" outline="0" offset="A256" fieldPosition="0">
        <references count="1">
          <reference field="12" count="1">
            <x v="56"/>
          </reference>
        </references>
      </pivotArea>
    </format>
    <format dxfId="349">
      <pivotArea dataOnly="0" labelOnly="1" outline="0" offset="A256" fieldPosition="0">
        <references count="1">
          <reference field="12" count="1">
            <x v="57"/>
          </reference>
        </references>
      </pivotArea>
    </format>
    <format dxfId="348">
      <pivotArea dataOnly="0" labelOnly="1" outline="0" offset="A256" fieldPosition="0">
        <references count="1">
          <reference field="12" count="1">
            <x v="58"/>
          </reference>
        </references>
      </pivotArea>
    </format>
    <format dxfId="347">
      <pivotArea dataOnly="0" labelOnly="1" outline="0" offset="A256" fieldPosition="0">
        <references count="1">
          <reference field="12" count="1">
            <x v="59"/>
          </reference>
        </references>
      </pivotArea>
    </format>
    <format dxfId="346">
      <pivotArea dataOnly="0" labelOnly="1" outline="0" offset="A256" fieldPosition="0">
        <references count="1">
          <reference field="12" count="1">
            <x v="60"/>
          </reference>
        </references>
      </pivotArea>
    </format>
    <format dxfId="345">
      <pivotArea dataOnly="0" labelOnly="1" outline="0" offset="A256" fieldPosition="0">
        <references count="1">
          <reference field="12" count="1">
            <x v="61"/>
          </reference>
        </references>
      </pivotArea>
    </format>
    <format dxfId="344">
      <pivotArea dataOnly="0" labelOnly="1" outline="0" offset="A256" fieldPosition="0">
        <references count="1">
          <reference field="12" count="1">
            <x v="62"/>
          </reference>
        </references>
      </pivotArea>
    </format>
    <format dxfId="343">
      <pivotArea dataOnly="0" labelOnly="1" outline="0" offset="A256" fieldPosition="0">
        <references count="1">
          <reference field="12" count="1">
            <x v="63"/>
          </reference>
        </references>
      </pivotArea>
    </format>
    <format dxfId="342">
      <pivotArea dataOnly="0" labelOnly="1" outline="0" offset="A256" fieldPosition="0">
        <references count="1">
          <reference field="12" count="1">
            <x v="64"/>
          </reference>
        </references>
      </pivotArea>
    </format>
    <format dxfId="341">
      <pivotArea dataOnly="0" labelOnly="1" outline="0" offset="A256" fieldPosition="0">
        <references count="1">
          <reference field="12" count="1">
            <x v="65"/>
          </reference>
        </references>
      </pivotArea>
    </format>
    <format dxfId="340">
      <pivotArea dataOnly="0" labelOnly="1" outline="0" offset="A256" fieldPosition="0">
        <references count="1">
          <reference field="12" count="1">
            <x v="66"/>
          </reference>
        </references>
      </pivotArea>
    </format>
    <format dxfId="339">
      <pivotArea dataOnly="0" labelOnly="1" outline="0" offset="A256" fieldPosition="0">
        <references count="1">
          <reference field="12" count="1">
            <x v="67"/>
          </reference>
        </references>
      </pivotArea>
    </format>
    <format dxfId="338">
      <pivotArea dataOnly="0" labelOnly="1" outline="0" offset="A256" fieldPosition="0">
        <references count="1">
          <reference field="12" count="1">
            <x v="68"/>
          </reference>
        </references>
      </pivotArea>
    </format>
    <format dxfId="337">
      <pivotArea dataOnly="0" labelOnly="1" outline="0" offset="A256" fieldPosition="0">
        <references count="1">
          <reference field="12" count="1">
            <x v="70"/>
          </reference>
        </references>
      </pivotArea>
    </format>
    <format dxfId="336">
      <pivotArea dataOnly="0" labelOnly="1" outline="0" offset="A256" fieldPosition="0">
        <references count="1">
          <reference field="12" count="1">
            <x v="72"/>
          </reference>
        </references>
      </pivotArea>
    </format>
    <format dxfId="335">
      <pivotArea dataOnly="0" labelOnly="1" outline="0" offset="A256" fieldPosition="0">
        <references count="1">
          <reference field="12" count="1">
            <x v="73"/>
          </reference>
        </references>
      </pivotArea>
    </format>
    <format dxfId="334">
      <pivotArea dataOnly="0" labelOnly="1" outline="0" offset="A256" fieldPosition="0">
        <references count="1">
          <reference field="12" count="1">
            <x v="74"/>
          </reference>
        </references>
      </pivotArea>
    </format>
    <format dxfId="333">
      <pivotArea dataOnly="0" labelOnly="1" outline="0" offset="A256" fieldPosition="0">
        <references count="1">
          <reference field="12" count="1">
            <x v="75"/>
          </reference>
        </references>
      </pivotArea>
    </format>
    <format dxfId="332">
      <pivotArea dataOnly="0" labelOnly="1" outline="0" offset="A256" fieldPosition="0">
        <references count="1">
          <reference field="12" count="1">
            <x v="76"/>
          </reference>
        </references>
      </pivotArea>
    </format>
    <format dxfId="331">
      <pivotArea dataOnly="0" labelOnly="1" outline="0" offset="A256" fieldPosition="0">
        <references count="1">
          <reference field="12" count="1">
            <x v="77"/>
          </reference>
        </references>
      </pivotArea>
    </format>
    <format dxfId="330">
      <pivotArea dataOnly="0" labelOnly="1" outline="0" offset="A256" fieldPosition="0">
        <references count="1">
          <reference field="12" count="1">
            <x v="78"/>
          </reference>
        </references>
      </pivotArea>
    </format>
    <format dxfId="329">
      <pivotArea dataOnly="0" labelOnly="1" outline="0" offset="A256" fieldPosition="0">
        <references count="1">
          <reference field="12" count="1">
            <x v="79"/>
          </reference>
        </references>
      </pivotArea>
    </format>
    <format dxfId="328">
      <pivotArea dataOnly="0" labelOnly="1" outline="0" offset="A256" fieldPosition="0">
        <references count="1">
          <reference field="12" count="1">
            <x v="80"/>
          </reference>
        </references>
      </pivotArea>
    </format>
    <format dxfId="327">
      <pivotArea dataOnly="0" labelOnly="1" outline="0" offset="A256" fieldPosition="0">
        <references count="1">
          <reference field="12" count="1">
            <x v="81"/>
          </reference>
        </references>
      </pivotArea>
    </format>
    <format dxfId="326">
      <pivotArea dataOnly="0" labelOnly="1" outline="0" offset="A256" fieldPosition="0">
        <references count="1">
          <reference field="12" count="1">
            <x v="82"/>
          </reference>
        </references>
      </pivotArea>
    </format>
    <format dxfId="325">
      <pivotArea dataOnly="0" labelOnly="1" outline="0" offset="A256" fieldPosition="0">
        <references count="1">
          <reference field="12" count="1">
            <x v="83"/>
          </reference>
        </references>
      </pivotArea>
    </format>
    <format dxfId="324">
      <pivotArea dataOnly="0" labelOnly="1" outline="0" offset="A256" fieldPosition="0">
        <references count="1">
          <reference field="12" count="1">
            <x v="84"/>
          </reference>
        </references>
      </pivotArea>
    </format>
    <format dxfId="323">
      <pivotArea dataOnly="0" labelOnly="1" outline="0" offset="A256" fieldPosition="0">
        <references count="1">
          <reference field="12" count="1">
            <x v="85"/>
          </reference>
        </references>
      </pivotArea>
    </format>
    <format dxfId="322">
      <pivotArea dataOnly="0" labelOnly="1" outline="0" offset="A256" fieldPosition="0">
        <references count="1">
          <reference field="12" count="1">
            <x v="87"/>
          </reference>
        </references>
      </pivotArea>
    </format>
    <format dxfId="321">
      <pivotArea dataOnly="0" labelOnly="1" outline="0" offset="A256" fieldPosition="0">
        <references count="1">
          <reference field="12" count="1">
            <x v="88"/>
          </reference>
        </references>
      </pivotArea>
    </format>
    <format dxfId="320">
      <pivotArea dataOnly="0" labelOnly="1" outline="0" offset="A256" fieldPosition="0">
        <references count="1">
          <reference field="12" count="1">
            <x v="89"/>
          </reference>
        </references>
      </pivotArea>
    </format>
    <format dxfId="319">
      <pivotArea dataOnly="0" labelOnly="1" outline="0" offset="A256" fieldPosition="0">
        <references count="1">
          <reference field="12" count="1">
            <x v="90"/>
          </reference>
        </references>
      </pivotArea>
    </format>
    <format dxfId="318">
      <pivotArea dataOnly="0" labelOnly="1" outline="0" offset="A256" fieldPosition="0">
        <references count="1">
          <reference field="12" count="1">
            <x v="91"/>
          </reference>
        </references>
      </pivotArea>
    </format>
    <format dxfId="317">
      <pivotArea dataOnly="0" labelOnly="1" outline="0" offset="A256" fieldPosition="0">
        <references count="1">
          <reference field="12" count="1">
            <x v="92"/>
          </reference>
        </references>
      </pivotArea>
    </format>
    <format dxfId="316">
      <pivotArea dataOnly="0" labelOnly="1" outline="0" offset="A256" fieldPosition="0">
        <references count="1">
          <reference field="12" count="1">
            <x v="93"/>
          </reference>
        </references>
      </pivotArea>
    </format>
    <format dxfId="315">
      <pivotArea dataOnly="0" labelOnly="1" outline="0" offset="A256" fieldPosition="0">
        <references count="1">
          <reference field="12" count="1">
            <x v="94"/>
          </reference>
        </references>
      </pivotArea>
    </format>
    <format dxfId="314">
      <pivotArea dataOnly="0" labelOnly="1" outline="0" offset="A256" fieldPosition="0">
        <references count="1">
          <reference field="12" count="1">
            <x v="95"/>
          </reference>
        </references>
      </pivotArea>
    </format>
    <format dxfId="313">
      <pivotArea dataOnly="0" labelOnly="1" outline="0" offset="A256" fieldPosition="0">
        <references count="1">
          <reference field="12" count="1">
            <x v="98"/>
          </reference>
        </references>
      </pivotArea>
    </format>
    <format dxfId="312">
      <pivotArea dataOnly="0" labelOnly="1" outline="0" offset="A256" fieldPosition="0">
        <references count="1">
          <reference field="12" count="1">
            <x v="99"/>
          </reference>
        </references>
      </pivotArea>
    </format>
    <format dxfId="311">
      <pivotArea dataOnly="0" labelOnly="1" outline="0" offset="A256" fieldPosition="0">
        <references count="1">
          <reference field="12" count="1">
            <x v="100"/>
          </reference>
        </references>
      </pivotArea>
    </format>
    <format dxfId="310">
      <pivotArea dataOnly="0" labelOnly="1" outline="0" offset="A256" fieldPosition="0">
        <references count="1">
          <reference field="12" count="1">
            <x v="101"/>
          </reference>
        </references>
      </pivotArea>
    </format>
    <format dxfId="309">
      <pivotArea dataOnly="0" labelOnly="1" outline="0" offset="A256" fieldPosition="0">
        <references count="1">
          <reference field="12" count="1">
            <x v="103"/>
          </reference>
        </references>
      </pivotArea>
    </format>
    <format dxfId="308">
      <pivotArea dataOnly="0" labelOnly="1" outline="0" offset="A256" fieldPosition="0">
        <references count="1">
          <reference field="12" count="1">
            <x v="106"/>
          </reference>
        </references>
      </pivotArea>
    </format>
    <format dxfId="307">
      <pivotArea dataOnly="0" labelOnly="1" outline="0" offset="A256" fieldPosition="0">
        <references count="1">
          <reference field="12" count="1">
            <x v="107"/>
          </reference>
        </references>
      </pivotArea>
    </format>
    <format dxfId="306">
      <pivotArea dataOnly="0" labelOnly="1" outline="0" offset="A256" fieldPosition="0">
        <references count="1">
          <reference field="12" count="1">
            <x v="108"/>
          </reference>
        </references>
      </pivotArea>
    </format>
    <format dxfId="305">
      <pivotArea dataOnly="0" labelOnly="1" outline="0" offset="A256" fieldPosition="0">
        <references count="1">
          <reference field="12" count="1">
            <x v="109"/>
          </reference>
        </references>
      </pivotArea>
    </format>
    <format dxfId="304">
      <pivotArea dataOnly="0" labelOnly="1" outline="0" offset="A256" fieldPosition="0">
        <references count="1">
          <reference field="12" count="1">
            <x v="111"/>
          </reference>
        </references>
      </pivotArea>
    </format>
    <format dxfId="303">
      <pivotArea dataOnly="0" labelOnly="1" outline="0" offset="A256" fieldPosition="0">
        <references count="1">
          <reference field="12" count="1">
            <x v="114"/>
          </reference>
        </references>
      </pivotArea>
    </format>
    <format dxfId="302">
      <pivotArea dataOnly="0" labelOnly="1" outline="0" offset="A256" fieldPosition="0">
        <references count="1">
          <reference field="12" count="1">
            <x v="115"/>
          </reference>
        </references>
      </pivotArea>
    </format>
    <format dxfId="301">
      <pivotArea dataOnly="0" labelOnly="1" outline="0" offset="A256" fieldPosition="0">
        <references count="1">
          <reference field="12" count="1">
            <x v="116"/>
          </reference>
        </references>
      </pivotArea>
    </format>
    <format dxfId="300">
      <pivotArea dataOnly="0" labelOnly="1" outline="0" offset="A256" fieldPosition="0">
        <references count="1">
          <reference field="12" count="1">
            <x v="117"/>
          </reference>
        </references>
      </pivotArea>
    </format>
    <format dxfId="299">
      <pivotArea dataOnly="0" labelOnly="1" outline="0" offset="A256" fieldPosition="0">
        <references count="1">
          <reference field="12" count="1">
            <x v="118"/>
          </reference>
        </references>
      </pivotArea>
    </format>
    <format dxfId="298">
      <pivotArea dataOnly="0" labelOnly="1" outline="0" offset="A256" fieldPosition="0">
        <references count="1">
          <reference field="12" count="1">
            <x v="119"/>
          </reference>
        </references>
      </pivotArea>
    </format>
    <format dxfId="297">
      <pivotArea dataOnly="0" labelOnly="1" outline="0" offset="A256" fieldPosition="0">
        <references count="1">
          <reference field="12" count="1">
            <x v="123"/>
          </reference>
        </references>
      </pivotArea>
    </format>
    <format dxfId="296">
      <pivotArea dataOnly="0" labelOnly="1" outline="0" offset="A256" fieldPosition="0">
        <references count="1">
          <reference field="12" count="1">
            <x v="124"/>
          </reference>
        </references>
      </pivotArea>
    </format>
    <format dxfId="295">
      <pivotArea dataOnly="0" labelOnly="1" outline="0" offset="A256" fieldPosition="0">
        <references count="1">
          <reference field="12" count="1">
            <x v="125"/>
          </reference>
        </references>
      </pivotArea>
    </format>
    <format dxfId="294">
      <pivotArea dataOnly="0" labelOnly="1" outline="0" offset="A256" fieldPosition="0">
        <references count="1">
          <reference field="12" count="1">
            <x v="127"/>
          </reference>
        </references>
      </pivotArea>
    </format>
    <format dxfId="293">
      <pivotArea dataOnly="0" labelOnly="1" outline="0" offset="A256" fieldPosition="0">
        <references count="1">
          <reference field="12" count="1">
            <x v="128"/>
          </reference>
        </references>
      </pivotArea>
    </format>
    <format dxfId="292">
      <pivotArea dataOnly="0" labelOnly="1" outline="0" offset="A256" fieldPosition="0">
        <references count="1">
          <reference field="12" count="1">
            <x v="129"/>
          </reference>
        </references>
      </pivotArea>
    </format>
    <format dxfId="291">
      <pivotArea dataOnly="0" labelOnly="1" outline="0" offset="A256" fieldPosition="0">
        <references count="1">
          <reference field="12" count="1">
            <x v="130"/>
          </reference>
        </references>
      </pivotArea>
    </format>
    <format dxfId="290">
      <pivotArea dataOnly="0" labelOnly="1" outline="0" offset="A256" fieldPosition="0">
        <references count="1">
          <reference field="12" count="1">
            <x v="131"/>
          </reference>
        </references>
      </pivotArea>
    </format>
    <format dxfId="289">
      <pivotArea dataOnly="0" labelOnly="1" outline="0" offset="A256" fieldPosition="0">
        <references count="1">
          <reference field="12" count="1">
            <x v="133"/>
          </reference>
        </references>
      </pivotArea>
    </format>
    <format dxfId="288">
      <pivotArea dataOnly="0" labelOnly="1" outline="0" offset="A256" fieldPosition="0">
        <references count="1">
          <reference field="12" count="1">
            <x v="134"/>
          </reference>
        </references>
      </pivotArea>
    </format>
    <format dxfId="287">
      <pivotArea dataOnly="0" labelOnly="1" outline="0" offset="A256" fieldPosition="0">
        <references count="1">
          <reference field="12" count="1">
            <x v="139"/>
          </reference>
        </references>
      </pivotArea>
    </format>
    <format dxfId="286">
      <pivotArea dataOnly="0" labelOnly="1" outline="0" offset="A256" fieldPosition="0">
        <references count="1">
          <reference field="12" count="1">
            <x v="140"/>
          </reference>
        </references>
      </pivotArea>
    </format>
    <format dxfId="285">
      <pivotArea dataOnly="0" labelOnly="1" outline="0" offset="A256" fieldPosition="0">
        <references count="1">
          <reference field="12" count="1">
            <x v="141"/>
          </reference>
        </references>
      </pivotArea>
    </format>
    <format dxfId="284">
      <pivotArea dataOnly="0" labelOnly="1" outline="0" offset="A256" fieldPosition="0">
        <references count="1">
          <reference field="12" count="1">
            <x v="142"/>
          </reference>
        </references>
      </pivotArea>
    </format>
    <format dxfId="283">
      <pivotArea dataOnly="0" labelOnly="1" outline="0" offset="A256" fieldPosition="0">
        <references count="1">
          <reference field="12" count="1">
            <x v="143"/>
          </reference>
        </references>
      </pivotArea>
    </format>
    <format dxfId="282">
      <pivotArea dataOnly="0" labelOnly="1" outline="0" offset="A256" fieldPosition="0">
        <references count="1">
          <reference field="12" count="1">
            <x v="144"/>
          </reference>
        </references>
      </pivotArea>
    </format>
    <format dxfId="281">
      <pivotArea dataOnly="0" labelOnly="1" outline="0" offset="A256" fieldPosition="0">
        <references count="1">
          <reference field="12" count="1">
            <x v="145"/>
          </reference>
        </references>
      </pivotArea>
    </format>
    <format dxfId="280">
      <pivotArea dataOnly="0" labelOnly="1" outline="0" offset="A256" fieldPosition="0">
        <references count="1">
          <reference field="12" count="1">
            <x v="146"/>
          </reference>
        </references>
      </pivotArea>
    </format>
    <format dxfId="279">
      <pivotArea dataOnly="0" labelOnly="1" outline="0" offset="A256" fieldPosition="0">
        <references count="1">
          <reference field="12" count="1">
            <x v="147"/>
          </reference>
        </references>
      </pivotArea>
    </format>
    <format dxfId="278">
      <pivotArea dataOnly="0" labelOnly="1" outline="0" offset="A256" fieldPosition="0">
        <references count="1">
          <reference field="12" count="1">
            <x v="148"/>
          </reference>
        </references>
      </pivotArea>
    </format>
    <format dxfId="277">
      <pivotArea dataOnly="0" labelOnly="1" outline="0" offset="A256" fieldPosition="0">
        <references count="1">
          <reference field="12" count="1">
            <x v="150"/>
          </reference>
        </references>
      </pivotArea>
    </format>
    <format dxfId="276">
      <pivotArea dataOnly="0" labelOnly="1" outline="0" offset="A256" fieldPosition="0">
        <references count="1">
          <reference field="12" count="1">
            <x v="51"/>
          </reference>
        </references>
      </pivotArea>
    </format>
    <format dxfId="275">
      <pivotArea outline="0" fieldPosition="0">
        <references count="1">
          <reference field="12" count="1" selected="0">
            <x v="35"/>
          </reference>
        </references>
      </pivotArea>
    </format>
    <format dxfId="274">
      <pivotArea outline="0" fieldPosition="0">
        <references count="1">
          <reference field="12" count="1" selected="0">
            <x v="40"/>
          </reference>
        </references>
      </pivotArea>
    </format>
    <format dxfId="273">
      <pivotArea dataOnly="0" labelOnly="1" outline="0" offset="A256" fieldPosition="0">
        <references count="1">
          <reference field="12" count="1">
            <x v="35"/>
          </reference>
        </references>
      </pivotArea>
    </format>
    <format dxfId="272">
      <pivotArea outline="0" collapsedLevelsAreSubtotals="1" fieldPosition="0"/>
    </format>
    <format dxfId="271">
      <pivotArea dataOnly="0" labelOnly="1" outline="0" fieldPosition="0">
        <references count="1">
          <reference field="6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70">
      <pivotArea dataOnly="0" labelOnly="1" grandCol="1" outline="0" fieldPosition="0"/>
    </format>
    <format dxfId="269">
      <pivotArea dataOnly="0" labelOnly="1" outline="0" fieldPosition="0">
        <references count="1">
          <reference field="6" count="1">
            <x v="1"/>
          </reference>
        </references>
      </pivotArea>
    </format>
    <format dxfId="268">
      <pivotArea dataOnly="0" labelOnly="1" outline="0" fieldPosition="0">
        <references count="1">
          <reference field="6" count="6">
            <x v="2"/>
            <x v="3"/>
            <x v="4"/>
            <x v="5"/>
            <x v="6"/>
            <x v="7"/>
          </reference>
        </references>
      </pivotArea>
    </format>
    <format dxfId="267">
      <pivotArea dataOnly="0" labelOnly="1" grandCol="1" outline="0" fieldPosition="0"/>
    </format>
    <format dxfId="266">
      <pivotArea outline="0" fieldPosition="0">
        <references count="2">
          <reference field="12" count="1" selected="0">
            <x v="43"/>
          </reference>
          <reference field="16" count="1" selected="0">
            <x v="73"/>
          </reference>
        </references>
      </pivotArea>
    </format>
    <format dxfId="265">
      <pivotArea dataOnly="0" labelOnly="1" outline="0" offset="IV256" fieldPosition="0">
        <references count="1">
          <reference field="12" count="1">
            <x v="43"/>
          </reference>
        </references>
      </pivotArea>
    </format>
    <format dxfId="264">
      <pivotArea dataOnly="0" labelOnly="1" outline="0" fieldPosition="0">
        <references count="2">
          <reference field="12" count="1" selected="0">
            <x v="43"/>
          </reference>
          <reference field="16" count="1">
            <x v="73"/>
          </reference>
        </references>
      </pivotArea>
    </format>
    <format dxfId="263">
      <pivotArea outline="0" fieldPosition="0">
        <references count="2">
          <reference field="12" count="1" selected="0">
            <x v="43"/>
          </reference>
          <reference field="16" count="1" selected="0">
            <x v="9"/>
          </reference>
        </references>
      </pivotArea>
    </format>
    <format dxfId="262">
      <pivotArea dataOnly="0" labelOnly="1" outline="0" fieldPosition="0">
        <references count="2">
          <reference field="12" count="1" selected="0">
            <x v="43"/>
          </reference>
          <reference field="16" count="1">
            <x v="9"/>
          </reference>
        </references>
      </pivotArea>
    </format>
    <format dxfId="261">
      <pivotArea dataOnly="0" labelOnly="1" outline="0" fieldPosition="0">
        <references count="2">
          <reference field="12" count="1" selected="0">
            <x v="43"/>
          </reference>
          <reference field="16" count="1">
            <x v="73"/>
          </reference>
        </references>
      </pivotArea>
    </format>
    <format dxfId="260">
      <pivotArea dataOnly="0" labelOnly="1" outline="0" fieldPosition="0">
        <references count="2">
          <reference field="12" count="1" selected="0">
            <x v="43"/>
          </reference>
          <reference field="16" count="1">
            <x v="9"/>
          </reference>
        </references>
      </pivotArea>
    </format>
    <format dxfId="259">
      <pivotArea dataOnly="0" labelOnly="1" outline="0" offset="IV1" fieldPosition="0">
        <references count="1">
          <reference field="12" count="1">
            <x v="43"/>
          </reference>
        </references>
      </pivotArea>
    </format>
    <format dxfId="258">
      <pivotArea dataOnly="0" labelOnly="1" outline="0" fieldPosition="0">
        <references count="1">
          <reference field="6" count="1">
            <x v="0"/>
          </reference>
        </references>
      </pivotArea>
    </format>
    <format dxfId="257">
      <pivotArea dataOnly="0" labelOnly="1" outline="0" fieldPosition="0">
        <references count="1">
          <reference field="6" count="1">
            <x v="0"/>
          </reference>
        </references>
      </pivotArea>
    </format>
    <format dxfId="256">
      <pivotArea outline="0" fieldPosition="0">
        <references count="2">
          <reference field="6" count="1" selected="0">
            <x v="2"/>
          </reference>
          <reference field="12" count="1" selected="0">
            <x v="43"/>
          </reference>
        </references>
      </pivotArea>
    </format>
    <format dxfId="255">
      <pivotArea dataOnly="0" labelOnly="1" outline="0" fieldPosition="0">
        <references count="1">
          <reference field="6" count="7">
            <x v="1"/>
            <x v="2"/>
            <x v="3"/>
            <x v="4"/>
            <x v="5"/>
            <x v="6"/>
            <x v="7"/>
          </reference>
        </references>
      </pivotArea>
    </format>
    <format dxfId="254">
      <pivotArea outline="0" fieldPosition="0">
        <references count="2">
          <reference field="6" count="2" selected="0">
            <x v="2"/>
            <x v="3"/>
          </reference>
          <reference field="12" count="1" selected="0">
            <x v="40"/>
          </reference>
        </references>
      </pivotArea>
    </format>
    <format dxfId="8">
      <pivotArea outline="0" fieldPosition="0">
        <references count="2">
          <reference field="6" count="3" selected="0">
            <x v="2"/>
            <x v="3"/>
            <x v="4"/>
          </reference>
          <reference field="12" count="1" selected="0">
            <x v="40"/>
          </reference>
        </references>
      </pivotArea>
    </format>
    <format dxfId="7">
      <pivotArea outline="0" fieldPosition="0">
        <references count="2">
          <reference field="6" count="3" selected="0">
            <x v="2"/>
            <x v="3"/>
            <x v="4"/>
          </reference>
          <reference field="12" count="1" selected="0">
            <x v="40"/>
          </reference>
        </references>
      </pivotArea>
    </format>
    <format dxfId="6">
      <pivotArea outline="0" fieldPosition="0">
        <references count="2">
          <reference field="6" count="3" selected="0">
            <x v="2"/>
            <x v="3"/>
            <x v="4"/>
          </reference>
          <reference field="12" count="1" selected="0">
            <x v="40"/>
          </reference>
        </references>
      </pivotArea>
    </format>
    <format dxfId="5">
      <pivotArea outline="0" fieldPosition="0">
        <references count="2">
          <reference field="6" count="4" selected="0">
            <x v="4"/>
            <x v="5"/>
            <x v="6"/>
            <x v="7"/>
          </reference>
          <reference field="12" count="1" selected="0">
            <x v="116"/>
          </reference>
        </references>
      </pivotArea>
    </format>
    <format dxfId="4">
      <pivotArea outline="0" fieldPosition="0">
        <references count="2">
          <reference field="6" count="4" selected="0">
            <x v="4"/>
            <x v="5"/>
            <x v="6"/>
            <x v="7"/>
          </reference>
          <reference field="12" count="1" selected="0">
            <x v="116"/>
          </reference>
        </references>
      </pivotArea>
    </format>
    <format dxfId="3">
      <pivotArea outline="0" fieldPosition="0">
        <references count="2">
          <reference field="6" count="1" selected="0">
            <x v="1"/>
          </reference>
          <reference field="12" count="1" selected="0">
            <x v="116"/>
          </reference>
        </references>
      </pivotArea>
    </format>
    <format dxfId="2">
      <pivotArea outline="0" fieldPosition="0">
        <references count="2">
          <reference field="6" count="1" selected="0">
            <x v="1"/>
          </reference>
          <reference field="12" count="1" selected="0">
            <x v="116"/>
          </reference>
        </references>
      </pivotArea>
    </format>
    <format dxfId="1">
      <pivotArea outline="0" fieldPosition="0">
        <references count="2">
          <reference field="6" count="1" selected="0">
            <x v="7"/>
          </reference>
          <reference field="12" count="1" selected="0">
            <x v="128"/>
          </reference>
        </references>
      </pivotArea>
    </format>
    <format dxfId="0">
      <pivotArea outline="0" fieldPosition="0">
        <references count="2">
          <reference field="6" count="1" selected="0">
            <x v="7"/>
          </reference>
          <reference field="12" count="1" selected="0">
            <x v="12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\" cacheId="40" applyNumberFormats="0" applyBorderFormats="0" applyFontFormats="0" applyPatternFormats="0" applyAlignmentFormats="0" applyWidthHeightFormats="1" dataCaption="Values" updatedVersion="5" minRefreshableVersion="3" useAutoFormatting="1" rowGrandTotals="0" itemPrintTitles="1" createdVersion="6" indent="0" compact="0" compactData="0" gridDropZones="1" multipleFieldFilters="0">
  <location ref="A7:D162" firstHeaderRow="2" firstDataRow="2" firstDataCol="3" rowPageCount="4" colPageCount="1"/>
  <pivotFields count="24">
    <pivotField axis="axisPage" compact="0" outline="0" multipleItemSelectionAllowed="1" showAll="0">
      <items count="21">
        <item sd="0" x="4"/>
        <item sd="0" m="1" x="11"/>
        <item sd="0" m="1" x="15"/>
        <item sd="0" m="1" x="19"/>
        <item sd="0" m="1" x="16"/>
        <item sd="0" m="1" x="7"/>
        <item sd="0" m="1" x="9"/>
        <item sd="0" m="1" x="14"/>
        <item sd="0" m="1" x="12"/>
        <item sd="0" m="1" x="6"/>
        <item h="1" sd="0" m="1" x="10"/>
        <item x="2"/>
        <item h="1" sd="0" m="1" x="17"/>
        <item x="0"/>
        <item x="3"/>
        <item sd="0" m="1" x="8"/>
        <item sd="0" x="1"/>
        <item m="1" x="13"/>
        <item m="1" x="18"/>
        <item h="1" x="5"/>
        <item t="default" sd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>
      <items count="11">
        <item x="7"/>
        <item x="6"/>
        <item x="4"/>
        <item x="3"/>
        <item x="2"/>
        <item x="5"/>
        <item x="1"/>
        <item m="1" x="9"/>
        <item x="8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>
      <items count="9">
        <item x="4"/>
        <item x="3"/>
        <item x="2"/>
        <item m="1" x="6"/>
        <item m="1" x="7"/>
        <item x="1"/>
        <item x="0"/>
        <item x="5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2">
        <item sd="0" x="1"/>
        <item sd="0" x="4"/>
        <item sd="0" x="5"/>
        <item sd="0" m="1" x="17"/>
        <item sd="0" m="1" x="11"/>
        <item sd="0" x="3"/>
        <item sd="0" x="2"/>
        <item sd="0" m="1" x="12"/>
        <item sd="0" m="1" x="8"/>
        <item sd="0" m="1" x="9"/>
        <item sd="0" m="1" x="16"/>
        <item sd="0" m="1" x="13"/>
        <item sd="0" m="1" x="10"/>
        <item sd="0" m="1" x="19"/>
        <item sd="0" m="1" x="15"/>
        <item sd="0" m="1" x="14"/>
        <item sd="0" m="1" x="18"/>
        <item sd="0" m="1" x="20"/>
        <item sd="0" x="0"/>
        <item x="7"/>
        <item sd="0" x="6"/>
        <item t="default" sd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176">
        <item x="2"/>
        <item m="1" x="2225"/>
        <item m="1" x="2362"/>
        <item m="1" x="376"/>
        <item m="1" x="2293"/>
        <item m="1" x="2328"/>
        <item m="1" x="2540"/>
        <item m="1" x="2541"/>
        <item m="1" x="707"/>
        <item m="1" x="862"/>
        <item m="1" x="927"/>
        <item m="1" x="2520"/>
        <item m="1" x="2120"/>
        <item m="1" x="2365"/>
        <item m="1" x="2366"/>
        <item m="1" x="2370"/>
        <item m="1" x="2372"/>
        <item m="1" x="700"/>
        <item m="1" x="702"/>
        <item m="1" x="712"/>
        <item m="1" x="715"/>
        <item m="1" x="2336"/>
        <item m="1" x="2339"/>
        <item m="1" x="2349"/>
        <item m="1" x="2353"/>
        <item m="1" x="2358"/>
        <item m="1" x="2375"/>
        <item m="1" x="701"/>
        <item m="1" x="703"/>
        <item m="1" x="704"/>
        <item m="1" x="705"/>
        <item m="1" x="709"/>
        <item m="1" x="713"/>
        <item m="1" x="716"/>
        <item m="1" x="721"/>
        <item m="1" x="724"/>
        <item m="1" x="727"/>
        <item m="1" x="2334"/>
        <item m="1" x="2337"/>
        <item m="1" x="2340"/>
        <item m="1" x="2344"/>
        <item m="1" x="2345"/>
        <item m="1" x="2347"/>
        <item m="1" x="2350"/>
        <item m="1" x="2354"/>
        <item m="1" x="2359"/>
        <item m="1" x="2361"/>
        <item m="1" x="681"/>
        <item m="1" x="684"/>
        <item m="1" x="685"/>
        <item m="1" x="687"/>
        <item m="1" x="2317"/>
        <item m="1" x="2318"/>
        <item m="1" x="2114"/>
        <item m="1" x="2338"/>
        <item m="1" x="2453"/>
        <item m="1" x="928"/>
        <item m="1" x="2563"/>
        <item m="1" x="2191"/>
        <item m="1" x="768"/>
        <item m="1" x="2080"/>
        <item m="1" x="2327"/>
        <item m="1" x="2142"/>
        <item m="1" x="2143"/>
        <item x="17"/>
        <item m="1" x="231"/>
        <item m="1" x="232"/>
        <item m="1" x="233"/>
        <item m="1" x="2406"/>
        <item m="1" x="2200"/>
        <item x="9"/>
        <item m="1" x="2871"/>
        <item m="1" x="2182"/>
        <item m="1" x="2869"/>
        <item m="1" x="242"/>
        <item m="1" x="243"/>
        <item x="11"/>
        <item m="1" x="247"/>
        <item m="1" x="249"/>
        <item m="1" x="266"/>
        <item m="1" x="267"/>
        <item m="1" x="268"/>
        <item m="1" x="272"/>
        <item x="15"/>
        <item m="1" x="279"/>
        <item m="1" x="2240"/>
        <item m="1" x="2388"/>
        <item x="7"/>
        <item m="1" x="2389"/>
        <item m="1" x="2390"/>
        <item x="0"/>
        <item x="3"/>
        <item m="1" x="2391"/>
        <item m="1" x="2392"/>
        <item m="1" x="2393"/>
        <item m="1" x="2394"/>
        <item m="1" x="2395"/>
        <item m="1" x="2396"/>
        <item m="1" x="2397"/>
        <item m="1" x="2398"/>
        <item m="1" x="2399"/>
        <item x="1"/>
        <item m="1" x="2386"/>
        <item m="1" x="2400"/>
        <item x="4"/>
        <item x="5"/>
        <item x="6"/>
        <item m="1" x="2401"/>
        <item m="1" x="2402"/>
        <item m="1" x="899"/>
        <item m="1" x="2446"/>
        <item m="1" x="2403"/>
        <item m="1" x="2373"/>
        <item m="1" x="723"/>
        <item m="1" x="464"/>
        <item m="1" x="3022"/>
        <item m="1" x="3139"/>
        <item m="1" x="2223"/>
        <item m="1" x="1017"/>
        <item m="1" x="3050"/>
        <item m="1" x="3140"/>
        <item m="1" x="2227"/>
        <item m="1" x="3071"/>
        <item m="1" x="2306"/>
        <item m="1" x="3142"/>
        <item m="1" x="3089"/>
        <item m="1" x="2307"/>
        <item m="1" x="3146"/>
        <item m="1" x="3102"/>
        <item m="1" x="1018"/>
        <item m="1" x="1019"/>
        <item m="1" x="3152"/>
        <item m="1" x="3116"/>
        <item m="1" x="1020"/>
        <item m="1" x="1021"/>
        <item m="1" x="882"/>
        <item m="1" x="1022"/>
        <item m="1" x="1023"/>
        <item m="1" x="884"/>
        <item m="1" x="2272"/>
        <item m="1" x="2911"/>
        <item m="1" x="2912"/>
        <item m="1" x="888"/>
        <item m="1" x="2510"/>
        <item m="1" x="2949"/>
        <item m="1" x="2950"/>
        <item m="1" x="890"/>
        <item m="1" x="2512"/>
        <item m="1" x="1024"/>
        <item m="1" x="893"/>
        <item m="1" x="2514"/>
        <item m="1" x="1025"/>
        <item m="1" x="2913"/>
        <item m="1" x="1026"/>
        <item m="1" x="896"/>
        <item m="1" x="1027"/>
        <item m="1" x="2764"/>
        <item m="1" x="2951"/>
        <item m="1" x="1028"/>
        <item m="1" x="900"/>
        <item m="1" x="1029"/>
        <item m="1" x="1030"/>
        <item m="1" x="2952"/>
        <item m="1" x="1031"/>
        <item m="1" x="903"/>
        <item m="1" x="1032"/>
        <item m="1" x="1033"/>
        <item m="1" x="2993"/>
        <item m="1" x="905"/>
        <item m="1" x="1034"/>
        <item m="1" x="1035"/>
        <item m="1" x="1036"/>
        <item m="1" x="3023"/>
        <item m="1" x="1037"/>
        <item m="1" x="3100"/>
        <item m="1" x="1038"/>
        <item m="1" x="1039"/>
        <item m="1" x="3051"/>
        <item m="1" x="3113"/>
        <item m="1" x="3170"/>
        <item m="1" x="1040"/>
        <item m="1" x="2914"/>
        <item m="1" x="831"/>
        <item m="1" x="1041"/>
        <item m="1" x="2953"/>
        <item m="1" x="838"/>
        <item m="1" x="2278"/>
        <item m="1" x="1042"/>
        <item m="1" x="2994"/>
        <item m="1" x="956"/>
        <item m="1" x="1043"/>
        <item m="1" x="3024"/>
        <item m="1" x="2915"/>
        <item m="1" x="2534"/>
        <item m="1" x="1044"/>
        <item m="1" x="1045"/>
        <item m="1" x="2954"/>
        <item m="1" x="1046"/>
        <item m="1" x="1047"/>
        <item m="1" x="1048"/>
        <item m="1" x="2995"/>
        <item m="1" x="1049"/>
        <item m="1" x="1050"/>
        <item m="1" x="3052"/>
        <item m="1" x="3025"/>
        <item m="1" x="1051"/>
        <item m="1" x="1052"/>
        <item m="1" x="3072"/>
        <item m="1" x="3053"/>
        <item m="1" x="1053"/>
        <item m="1" x="1054"/>
        <item m="1" x="1055"/>
        <item m="1" x="3090"/>
        <item m="1" x="3073"/>
        <item m="1" x="1056"/>
        <item m="1" x="1057"/>
        <item m="1" x="1058"/>
        <item m="1" x="3103"/>
        <item m="1" x="1059"/>
        <item m="1" x="1060"/>
        <item m="1" x="2236"/>
        <item m="1" x="1061"/>
        <item m="1" x="2955"/>
        <item m="1" x="1062"/>
        <item m="1" x="1063"/>
        <item m="1" x="2238"/>
        <item m="1" x="1064"/>
        <item m="1" x="2996"/>
        <item m="1" x="1065"/>
        <item m="1" x="1066"/>
        <item m="1" x="2916"/>
        <item m="1" x="3026"/>
        <item m="1" x="1067"/>
        <item m="1" x="1068"/>
        <item m="1" x="2956"/>
        <item m="1" x="3054"/>
        <item m="1" x="1069"/>
        <item m="1" x="1070"/>
        <item m="1" x="1071"/>
        <item m="1" x="3074"/>
        <item m="1" x="1072"/>
        <item m="1" x="843"/>
        <item m="1" x="1073"/>
        <item m="1" x="3091"/>
        <item m="1" x="848"/>
        <item m="1" x="2241"/>
        <item m="1" x="3088"/>
        <item m="1" x="3104"/>
        <item m="1" x="854"/>
        <item m="1" x="2243"/>
        <item m="1" x="2917"/>
        <item m="1" x="3101"/>
        <item m="1" x="3117"/>
        <item m="1" x="2244"/>
        <item m="1" x="2957"/>
        <item m="1" x="3114"/>
        <item m="1" x="834"/>
        <item m="1" x="2245"/>
        <item m="1" x="2997"/>
        <item m="1" x="832"/>
        <item m="1" x="840"/>
        <item m="1" x="2205"/>
        <item m="1" x="2246"/>
        <item m="1" x="3027"/>
        <item m="1" x="839"/>
        <item m="1" x="845"/>
        <item m="1" x="1074"/>
        <item m="1" x="2247"/>
        <item m="1" x="1075"/>
        <item m="1" x="844"/>
        <item m="1" x="849"/>
        <item m="1" x="1076"/>
        <item m="1" x="1077"/>
        <item m="1" x="1078"/>
        <item m="1" x="1079"/>
        <item m="1" x="855"/>
        <item m="1" x="1080"/>
        <item m="1" x="1081"/>
        <item m="1" x="1082"/>
        <item m="1" x="859"/>
        <item m="1" x="1083"/>
        <item m="1" x="1084"/>
        <item m="1" x="1085"/>
        <item m="1" x="864"/>
        <item m="1" x="1086"/>
        <item m="1" x="1087"/>
        <item m="1" x="1088"/>
        <item m="1" x="870"/>
        <item m="1" x="1089"/>
        <item m="1" x="1090"/>
        <item m="1" x="1091"/>
        <item m="1" x="875"/>
        <item m="1" x="1092"/>
        <item m="1" x="1093"/>
        <item m="1" x="1094"/>
        <item m="1" x="877"/>
        <item m="1" x="1095"/>
        <item m="1" x="1096"/>
        <item m="1" x="1097"/>
        <item m="1" x="2176"/>
        <item m="1" x="1098"/>
        <item m="1" x="1099"/>
        <item m="1" x="1100"/>
        <item m="1" x="2178"/>
        <item m="1" x="1101"/>
        <item m="1" x="1102"/>
        <item m="1" x="1103"/>
        <item m="1" x="2180"/>
        <item m="1" x="1104"/>
        <item m="1" x="1105"/>
        <item m="1" x="2183"/>
        <item m="1" x="1106"/>
        <item m="1" x="1107"/>
        <item m="1" x="2184"/>
        <item m="1" x="1108"/>
        <item m="1" x="1109"/>
        <item m="1" x="2918"/>
        <item m="1" x="1110"/>
        <item m="1" x="2185"/>
        <item m="1" x="1111"/>
        <item m="1" x="1112"/>
        <item m="1" x="2958"/>
        <item m="1" x="1113"/>
        <item m="1" x="2189"/>
        <item m="1" x="1114"/>
        <item m="1" x="1115"/>
        <item m="1" x="1116"/>
        <item m="1" x="2919"/>
        <item m="1" x="2190"/>
        <item m="1" x="1117"/>
        <item m="1" x="1118"/>
        <item m="1" x="363"/>
        <item m="1" x="2959"/>
        <item m="1" x="2192"/>
        <item m="1" x="1119"/>
        <item m="1" x="2515"/>
        <item m="1" x="364"/>
        <item m="1" x="2998"/>
        <item m="1" x="1120"/>
        <item m="1" x="2516"/>
        <item m="1" x="365"/>
        <item m="1" x="3028"/>
        <item m="1" x="2920"/>
        <item m="1" x="1121"/>
        <item m="1" x="2517"/>
        <item m="1" x="2960"/>
        <item m="1" x="1122"/>
        <item m="1" x="1123"/>
        <item m="1" x="2999"/>
        <item m="1" x="1124"/>
        <item m="1" x="1125"/>
        <item m="1" x="3029"/>
        <item m="1" x="2477"/>
        <item m="1" x="1126"/>
        <item m="1" x="3055"/>
        <item m="1" x="2479"/>
        <item m="1" x="1127"/>
        <item m="1" x="1128"/>
        <item m="1" x="1129"/>
        <item m="1" x="3075"/>
        <item m="1" x="1130"/>
        <item m="1" x="1131"/>
        <item m="1" x="374"/>
        <item m="1" x="3092"/>
        <item m="1" x="1132"/>
        <item m="1" x="1133"/>
        <item m="1" x="3105"/>
        <item m="1" x="1134"/>
        <item m="1" x="1135"/>
        <item m="1" x="1136"/>
        <item m="1" x="3118"/>
        <item m="1" x="1137"/>
        <item m="1" x="1138"/>
        <item m="1" x="1139"/>
        <item m="1" x="1140"/>
        <item m="1" x="426"/>
        <item m="1" x="835"/>
        <item m="1" x="1141"/>
        <item m="1" x="1142"/>
        <item m="1" x="1143"/>
        <item m="1" x="2525"/>
        <item m="1" x="1144"/>
        <item m="1" x="2921"/>
        <item m="1" x="1145"/>
        <item m="1" x="1146"/>
        <item m="1" x="2410"/>
        <item m="1" x="1147"/>
        <item m="1" x="2961"/>
        <item m="1" x="1148"/>
        <item m="1" x="1149"/>
        <item m="1" x="2412"/>
        <item m="1" x="1150"/>
        <item m="1" x="3000"/>
        <item m="1" x="1151"/>
        <item m="1" x="1152"/>
        <item m="1" x="1153"/>
        <item m="1" x="1154"/>
        <item m="1" x="3030"/>
        <item m="1" x="1155"/>
        <item m="1" x="1156"/>
        <item m="1" x="3056"/>
        <item m="1" x="1157"/>
        <item m="1" x="1158"/>
        <item m="1" x="1159"/>
        <item m="1" x="3076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367"/>
        <item m="1" x="1174"/>
        <item m="1" x="1175"/>
        <item m="1" x="1176"/>
        <item m="1" x="1001"/>
        <item m="1" x="1177"/>
        <item m="1" x="646"/>
        <item m="1" x="377"/>
        <item m="1" x="1178"/>
        <item m="1" x="648"/>
        <item m="1" x="1179"/>
        <item m="1" x="1180"/>
        <item m="1" x="650"/>
        <item m="1" x="1181"/>
        <item m="1" x="1182"/>
        <item m="1" x="652"/>
        <item m="1" x="1183"/>
        <item m="1" x="654"/>
        <item m="1" x="1184"/>
        <item m="1" x="1185"/>
        <item m="1" x="1186"/>
        <item m="1" x="382"/>
        <item m="1" x="3001"/>
        <item m="1" x="1187"/>
        <item m="1" x="1188"/>
        <item m="1" x="936"/>
        <item m="1" x="1189"/>
        <item m="1" x="1190"/>
        <item m="1" x="1191"/>
        <item m="1" x="2206"/>
        <item m="1" x="1192"/>
        <item m="1" x="3077"/>
        <item m="1" x="1193"/>
        <item m="1" x="1194"/>
        <item m="1" x="941"/>
        <item m="1" x="1195"/>
        <item m="1" x="1196"/>
        <item m="1" x="1197"/>
        <item m="1" x="1198"/>
        <item m="1" x="943"/>
        <item m="1" x="1199"/>
        <item m="1" x="1200"/>
        <item m="1" x="1201"/>
        <item m="1" x="1202"/>
        <item m="1" x="945"/>
        <item m="1" x="2922"/>
        <item m="1" x="1203"/>
        <item m="1" x="1204"/>
        <item m="1" x="947"/>
        <item m="1" x="2962"/>
        <item m="1" x="1205"/>
        <item m="1" x="1206"/>
        <item m="1" x="949"/>
        <item m="1" x="3002"/>
        <item m="1" x="1207"/>
        <item m="1" x="1208"/>
        <item m="1" x="952"/>
        <item m="1" x="3031"/>
        <item m="1" x="1209"/>
        <item m="1" x="954"/>
        <item m="1" x="3057"/>
        <item m="1" x="1210"/>
        <item m="1" x="422"/>
        <item m="1" x="3078"/>
        <item m="1" x="915"/>
        <item m="1" x="1211"/>
        <item m="1" x="1212"/>
        <item m="1" x="2717"/>
        <item m="1" x="3093"/>
        <item m="1" x="1213"/>
        <item m="1" x="1214"/>
        <item m="1" x="2725"/>
        <item m="1" x="3106"/>
        <item m="1" x="1215"/>
        <item m="1" x="430"/>
        <item m="1" x="3119"/>
        <item m="1" x="1216"/>
        <item m="1" x="1217"/>
        <item m="1" x="2726"/>
        <item m="1" x="1218"/>
        <item m="1" x="891"/>
        <item m="1" x="1219"/>
        <item m="1" x="894"/>
        <item m="1" x="1220"/>
        <item m="1" x="897"/>
        <item m="1" x="1221"/>
        <item m="1" x="1222"/>
        <item m="1" x="901"/>
        <item m="1" x="1223"/>
        <item m="1" x="1224"/>
        <item m="1" x="904"/>
        <item m="1" x="1225"/>
        <item m="1" x="1226"/>
        <item m="1" x="906"/>
        <item m="1" x="1227"/>
        <item m="1" x="1228"/>
        <item m="1" x="971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3069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2923"/>
        <item m="1" x="1272"/>
        <item m="1" x="1273"/>
        <item m="1" x="2963"/>
        <item m="1" x="1274"/>
        <item m="1" x="433"/>
        <item m="1" x="1275"/>
        <item m="1" x="3003"/>
        <item m="1" x="434"/>
        <item m="1" x="1276"/>
        <item m="1" x="3032"/>
        <item m="1" x="1277"/>
        <item m="1" x="436"/>
        <item m="1" x="1278"/>
        <item m="1" x="1279"/>
        <item m="1" x="3058"/>
        <item m="1" x="443"/>
        <item m="1" x="1280"/>
        <item m="1" x="1281"/>
        <item m="1" x="3079"/>
        <item m="1" x="447"/>
        <item m="1" x="1282"/>
        <item m="1" x="3094"/>
        <item m="1" x="972"/>
        <item m="1" x="1283"/>
        <item m="1" x="3107"/>
        <item m="1" x="1284"/>
        <item m="1" x="1285"/>
        <item m="1" x="1286"/>
        <item m="1" x="1287"/>
        <item m="1" x="1288"/>
        <item m="1" x="1289"/>
        <item m="1" x="863"/>
        <item m="1" x="1290"/>
        <item m="1" x="868"/>
        <item m="1" x="1291"/>
        <item m="1" x="874"/>
        <item m="1" x="1292"/>
        <item m="1" x="876"/>
        <item m="1" x="2546"/>
        <item m="1" x="1293"/>
        <item m="1" x="2175"/>
        <item m="1" x="1294"/>
        <item m="1" x="865"/>
        <item m="1" x="1295"/>
        <item m="1" x="2177"/>
        <item m="1" x="2279"/>
        <item m="1" x="871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923"/>
        <item m="1" x="1326"/>
        <item m="1" x="1327"/>
        <item m="1" x="924"/>
        <item m="1" x="942"/>
        <item m="1" x="2924"/>
        <item m="1" x="1328"/>
        <item m="1" x="944"/>
        <item m="1" x="2964"/>
        <item m="1" x="1329"/>
        <item m="1" x="946"/>
        <item m="1" x="1330"/>
        <item m="1" x="3004"/>
        <item m="1" x="1331"/>
        <item m="1" x="948"/>
        <item m="1" x="1332"/>
        <item m="1" x="3033"/>
        <item m="1" x="1333"/>
        <item m="1" x="951"/>
        <item m="1" x="1334"/>
        <item m="1" x="1335"/>
        <item m="1" x="1336"/>
        <item m="1" x="953"/>
        <item m="1" x="1337"/>
        <item m="1" x="1338"/>
        <item m="1" x="1339"/>
        <item m="1" x="1340"/>
        <item m="1" x="2207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2925"/>
        <item m="1" x="1367"/>
        <item m="1" x="1368"/>
        <item m="1" x="2965"/>
        <item m="1" x="1369"/>
        <item m="1" x="229"/>
        <item m="1" x="1370"/>
        <item m="1" x="1371"/>
        <item m="1" x="1372"/>
        <item m="1" x="352"/>
        <item m="1" x="1373"/>
        <item m="1" x="1374"/>
        <item m="1" x="1012"/>
        <item m="1" x="1375"/>
        <item m="1" x="1376"/>
        <item m="1" x="1013"/>
        <item m="1" x="2926"/>
        <item m="1" x="1377"/>
        <item m="1" x="353"/>
        <item m="1" x="1378"/>
        <item m="1" x="354"/>
        <item m="1" x="1379"/>
        <item m="1" x="929"/>
        <item m="1" x="2966"/>
        <item m="1" x="1380"/>
        <item m="1" x="3005"/>
        <item m="1" x="1381"/>
        <item m="1" x="359"/>
        <item m="1" x="2765"/>
        <item m="1" x="3034"/>
        <item m="1" x="921"/>
        <item m="1" x="2766"/>
        <item m="1" x="3059"/>
        <item m="1" x="1382"/>
        <item m="1" x="2767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982"/>
        <item m="1" x="2256"/>
        <item m="1" x="2239"/>
        <item m="1" x="1397"/>
        <item m="1" x="984"/>
        <item m="1" x="2242"/>
        <item m="1" x="1398"/>
        <item m="1" x="2208"/>
        <item m="1" x="370"/>
        <item m="1" x="1399"/>
        <item m="1" x="1400"/>
        <item m="1" x="2927"/>
        <item m="1" x="1401"/>
        <item m="1" x="2209"/>
        <item m="1" x="2181"/>
        <item m="1" x="2967"/>
        <item m="1" x="1402"/>
        <item m="1" x="2210"/>
        <item m="1" x="3006"/>
        <item m="1" x="1403"/>
        <item m="1" x="1404"/>
        <item m="1" x="3035"/>
        <item m="1" x="1405"/>
        <item m="1" x="2186"/>
        <item m="1" x="2518"/>
        <item m="1" x="3060"/>
        <item m="1" x="1406"/>
        <item m="1" x="1407"/>
        <item m="1" x="2265"/>
        <item m="1" x="3080"/>
        <item m="1" x="1408"/>
        <item m="1" x="751"/>
        <item m="1" x="1409"/>
        <item m="1" x="1410"/>
        <item m="1" x="1411"/>
        <item m="1" x="752"/>
        <item m="1" x="2411"/>
        <item m="1" x="2501"/>
        <item m="1" x="1412"/>
        <item m="1" x="1413"/>
        <item m="1" x="1414"/>
        <item m="1" x="2505"/>
        <item m="1" x="1415"/>
        <item m="1" x="1416"/>
        <item m="1" x="1417"/>
        <item m="1" x="1418"/>
        <item m="1" x="2490"/>
        <item m="1" x="1419"/>
        <item m="1" x="1420"/>
        <item m="1" x="1421"/>
        <item m="1" x="1422"/>
        <item m="1" x="1423"/>
        <item m="1" x="1424"/>
        <item m="1" x="1425"/>
        <item m="1" x="2928"/>
        <item m="1" x="1426"/>
        <item m="1" x="2929"/>
        <item m="1" x="1427"/>
        <item m="1" x="1428"/>
        <item m="1" x="2968"/>
        <item m="1" x="1429"/>
        <item m="1" x="2969"/>
        <item m="1" x="1430"/>
        <item m="1" x="1431"/>
        <item m="1" x="1432"/>
        <item m="1" x="3007"/>
        <item m="1" x="1433"/>
        <item m="1" x="460"/>
        <item m="1" x="1434"/>
        <item m="1" x="1435"/>
        <item m="1" x="3036"/>
        <item m="1" x="529"/>
        <item m="1" x="1436"/>
        <item m="1" x="1437"/>
        <item m="1" x="392"/>
        <item m="1" x="629"/>
        <item m="1" x="1438"/>
        <item m="1" x="1439"/>
        <item m="1" x="395"/>
        <item m="1" x="634"/>
        <item m="1" x="1440"/>
        <item m="1" x="1441"/>
        <item m="1" x="398"/>
        <item m="1" x="641"/>
        <item m="1" x="1442"/>
        <item m="1" x="1443"/>
        <item m="1" x="1444"/>
        <item m="1" x="403"/>
        <item m="1" x="750"/>
        <item m="1" x="1445"/>
        <item m="1" x="3108"/>
        <item m="1" x="1446"/>
        <item m="1" x="406"/>
        <item m="1" x="1447"/>
        <item m="1" x="3120"/>
        <item m="1" x="413"/>
        <item m="1" x="1448"/>
        <item m="1" x="408"/>
        <item m="1" x="1449"/>
        <item m="1" x="3095"/>
        <item m="1" x="960"/>
        <item m="1" x="1450"/>
        <item m="1" x="1451"/>
        <item m="1" x="1452"/>
        <item m="1" x="3109"/>
        <item m="1" x="961"/>
        <item m="1" x="1453"/>
        <item m="1" x="1454"/>
        <item m="1" x="1455"/>
        <item m="1" x="3121"/>
        <item m="1" x="1456"/>
        <item m="1" x="1457"/>
        <item m="1" x="1458"/>
        <item m="1" x="1459"/>
        <item m="1" x="1460"/>
        <item m="1" x="1461"/>
        <item m="1" x="1462"/>
        <item m="1" x="1463"/>
        <item m="1" x="1464"/>
        <item m="1" x="2481"/>
        <item m="1" x="1465"/>
        <item m="1" x="1466"/>
        <item m="1" x="1467"/>
        <item m="1" x="1468"/>
        <item m="1" x="1469"/>
        <item m="1" x="2483"/>
        <item m="1" x="1470"/>
        <item m="1" x="1471"/>
        <item m="1" x="1472"/>
        <item m="1" x="1473"/>
        <item m="1" x="1474"/>
        <item m="1" x="1475"/>
        <item m="1" x="1476"/>
        <item m="1" x="1477"/>
        <item m="1" x="3070"/>
        <item m="1" x="1478"/>
        <item m="1" x="1479"/>
        <item m="1" x="2485"/>
        <item m="1" x="1480"/>
        <item m="1" x="1481"/>
        <item m="1" x="1482"/>
        <item m="1" x="1483"/>
        <item m="1" x="1484"/>
        <item m="1" x="1485"/>
        <item m="1" x="1486"/>
        <item m="1" x="1487"/>
        <item m="1" x="467"/>
        <item m="1" x="1488"/>
        <item m="1" x="1489"/>
        <item m="1" x="1490"/>
        <item m="1" x="493"/>
        <item m="1" x="1491"/>
        <item m="1" x="3165"/>
        <item m="1" x="1492"/>
        <item m="1" x="502"/>
        <item m="1" x="1493"/>
        <item m="1" x="1494"/>
        <item m="1" x="511"/>
        <item m="1" x="1495"/>
        <item m="1" x="1496"/>
        <item m="1" x="522"/>
        <item m="1" x="1497"/>
        <item m="1" x="1498"/>
        <item m="1" x="530"/>
        <item m="1" x="1499"/>
        <item m="1" x="1500"/>
        <item m="1" x="532"/>
        <item m="1" x="1501"/>
        <item m="1" x="1502"/>
        <item m="1" x="534"/>
        <item m="1" x="1503"/>
        <item m="1" x="541"/>
        <item m="1" x="1504"/>
        <item m="1" x="1505"/>
        <item m="1" x="2445"/>
        <item m="1" x="1506"/>
        <item m="1" x="1507"/>
        <item m="1" x="2447"/>
        <item m="1" x="1508"/>
        <item m="1" x="1509"/>
        <item m="1" x="1510"/>
        <item m="1" x="1511"/>
        <item m="1" x="2449"/>
        <item m="1" x="1512"/>
        <item m="1" x="1513"/>
        <item m="1" x="1514"/>
        <item m="1" x="2450"/>
        <item m="1" x="1515"/>
        <item m="1" x="1516"/>
        <item m="1" x="1517"/>
        <item m="1" x="2903"/>
        <item m="1" x="1518"/>
        <item m="1" x="2904"/>
        <item m="1" x="1519"/>
        <item m="1" x="2930"/>
        <item m="1" x="1520"/>
        <item m="1" x="2906"/>
        <item m="1" x="1521"/>
        <item m="1" x="2970"/>
        <item m="1" x="1522"/>
        <item m="1" x="2909"/>
        <item m="1" x="1523"/>
        <item m="1" x="2437"/>
        <item m="1" x="1524"/>
        <item m="1" x="1525"/>
        <item m="1" x="2768"/>
        <item m="1" x="1526"/>
        <item m="1" x="1527"/>
        <item m="1" x="2769"/>
        <item m="1" x="1528"/>
        <item m="1" x="1529"/>
        <item m="1" x="997"/>
        <item m="1" x="2770"/>
        <item m="1" x="1530"/>
        <item m="1" x="1531"/>
        <item m="1" x="1532"/>
        <item m="1" x="2771"/>
        <item m="1" x="1533"/>
        <item m="1" x="1534"/>
        <item m="1" x="1535"/>
        <item m="1" x="2772"/>
        <item m="1" x="1536"/>
        <item m="1" x="1537"/>
        <item m="1" x="1538"/>
        <item m="1" x="2773"/>
        <item m="1" x="1539"/>
        <item m="1" x="1540"/>
        <item m="1" x="1541"/>
        <item m="1" x="977"/>
        <item m="1" x="1542"/>
        <item m="1" x="1543"/>
        <item m="1" x="1544"/>
        <item m="1" x="978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2211"/>
        <item m="1" x="1587"/>
        <item m="1" x="1588"/>
        <item m="1" x="1589"/>
        <item m="1" x="1590"/>
        <item m="1" x="1591"/>
        <item m="1" x="1592"/>
        <item m="1" x="1593"/>
        <item m="1" x="1594"/>
        <item m="1" x="1595"/>
        <item m="1" x="1596"/>
        <item m="1" x="1597"/>
        <item m="1" x="1598"/>
        <item m="1" x="1599"/>
        <item m="1" x="1600"/>
        <item m="1" x="1601"/>
        <item m="1" x="1602"/>
        <item m="1" x="1603"/>
        <item m="1" x="1604"/>
        <item m="1" x="1605"/>
        <item m="1" x="1606"/>
        <item m="1" x="1607"/>
        <item m="1" x="1608"/>
        <item m="1" x="761"/>
        <item m="1" x="1609"/>
        <item m="1" x="1610"/>
        <item m="1" x="1611"/>
        <item m="1" x="1612"/>
        <item m="1" x="1613"/>
        <item m="1" x="1614"/>
        <item m="1" x="1615"/>
        <item m="1" x="1616"/>
        <item m="1" x="1617"/>
        <item m="1" x="1618"/>
        <item m="1" x="1619"/>
        <item m="1" x="1620"/>
        <item m="1" x="1621"/>
        <item m="1" x="2931"/>
        <item m="1" x="1622"/>
        <item m="1" x="1623"/>
        <item m="1" x="1624"/>
        <item m="1" x="2971"/>
        <item m="1" x="1625"/>
        <item m="1" x="1626"/>
        <item m="1" x="1627"/>
        <item m="1" x="1628"/>
        <item m="1" x="1629"/>
        <item m="1" x="1630"/>
        <item m="1" x="1631"/>
        <item m="1" x="1632"/>
        <item m="1" x="1633"/>
        <item m="1" x="1634"/>
        <item m="1" x="1635"/>
        <item m="1" x="1636"/>
        <item m="1" x="1637"/>
        <item m="1" x="1638"/>
        <item m="1" x="371"/>
        <item m="1" x="3008"/>
        <item m="1" x="1639"/>
        <item m="1" x="1640"/>
        <item m="1" x="1641"/>
        <item m="1" x="3037"/>
        <item m="1" x="1642"/>
        <item m="1" x="1643"/>
        <item m="1" x="1644"/>
        <item m="1" x="1645"/>
        <item m="1" x="1646"/>
        <item m="1" x="1647"/>
        <item m="1" x="1648"/>
        <item m="1" x="1649"/>
        <item m="1" x="1650"/>
        <item m="1" x="1651"/>
        <item m="1" x="1652"/>
        <item m="1" x="1653"/>
        <item m="1" x="1654"/>
        <item m="1" x="1655"/>
        <item m="1" x="1656"/>
        <item m="1" x="1657"/>
        <item m="1" x="1658"/>
        <item m="1" x="1659"/>
        <item m="1" x="2932"/>
        <item m="1" x="1660"/>
        <item m="1" x="1661"/>
        <item m="1" x="1662"/>
        <item m="1" x="2448"/>
        <item m="1" x="2212"/>
        <item m="1" x="1663"/>
        <item m="1" x="1664"/>
        <item m="1" x="1665"/>
        <item m="1" x="1666"/>
        <item m="1" x="1667"/>
        <item m="1" x="1668"/>
        <item m="1" x="1669"/>
        <item m="1" x="1670"/>
        <item m="1" x="1671"/>
        <item m="1" x="1672"/>
        <item m="1" x="1673"/>
        <item m="1" x="2972"/>
        <item m="1" x="1674"/>
        <item m="1" x="1675"/>
        <item m="1" x="3009"/>
        <item m="1" x="1676"/>
        <item m="1" x="1677"/>
        <item m="1" x="3038"/>
        <item m="1" x="1678"/>
        <item m="1" x="1679"/>
        <item m="1" x="1680"/>
        <item m="1" x="1681"/>
        <item m="1" x="1682"/>
        <item m="1" x="1683"/>
        <item m="1" x="1684"/>
        <item m="1" x="1685"/>
        <item m="1" x="1686"/>
        <item m="1" x="1687"/>
        <item m="1" x="1688"/>
        <item m="1" x="1689"/>
        <item m="1" x="1690"/>
        <item m="1" x="1691"/>
        <item m="1" x="1692"/>
        <item m="1" x="1693"/>
        <item m="1" x="1694"/>
        <item m="1" x="1695"/>
        <item m="1" x="2933"/>
        <item m="1" x="1696"/>
        <item m="1" x="2266"/>
        <item m="1" x="1697"/>
        <item m="1" x="2973"/>
        <item m="1" x="1698"/>
        <item m="1" x="2267"/>
        <item m="1" x="1699"/>
        <item m="1" x="1700"/>
        <item m="1" x="2268"/>
        <item m="1" x="1701"/>
        <item m="1" x="1702"/>
        <item m="1" x="1703"/>
        <item m="1" x="2270"/>
        <item m="1" x="1704"/>
        <item m="1" x="1705"/>
        <item m="1" x="1706"/>
        <item m="1" x="1707"/>
        <item m="1" x="2908"/>
        <item m="1" x="1708"/>
        <item m="1" x="1709"/>
        <item m="1" x="1710"/>
        <item m="1" x="2934"/>
        <item m="1" x="2935"/>
        <item m="1" x="1711"/>
        <item m="1" x="1712"/>
        <item m="1" x="2974"/>
        <item m="1" x="2975"/>
        <item m="1" x="1713"/>
        <item m="1" x="1714"/>
        <item m="1" x="3010"/>
        <item m="1" x="1715"/>
        <item m="1" x="1716"/>
        <item m="1" x="1717"/>
        <item m="1" x="3039"/>
        <item m="1" x="1718"/>
        <item m="1" x="1719"/>
        <item m="1" x="1720"/>
        <item m="1" x="3061"/>
        <item m="1" x="1721"/>
        <item m="1" x="1722"/>
        <item m="1" x="1723"/>
        <item m="1" x="1724"/>
        <item m="1" x="1725"/>
        <item m="1" x="1726"/>
        <item m="1" x="1727"/>
        <item m="1" x="1728"/>
        <item m="1" x="1729"/>
        <item m="1" x="1011"/>
        <item m="1" x="1730"/>
        <item m="1" x="1731"/>
        <item m="1" x="1732"/>
        <item m="1" x="1733"/>
        <item m="1" x="1734"/>
        <item m="1" x="1735"/>
        <item m="1" x="1736"/>
        <item m="1" x="1737"/>
        <item m="1" x="1015"/>
        <item m="1" x="2936"/>
        <item m="1" x="1738"/>
        <item m="1" x="2976"/>
        <item m="1" x="1739"/>
        <item m="1" x="1740"/>
        <item m="1" x="3011"/>
        <item m="1" x="1741"/>
        <item m="1" x="3040"/>
        <item m="1" x="1742"/>
        <item m="1" x="1743"/>
        <item m="1" x="3062"/>
        <item m="1" x="1744"/>
        <item m="1" x="3081"/>
        <item m="1" x="1745"/>
        <item m="1" x="1746"/>
        <item m="1" x="1747"/>
        <item m="1" x="1748"/>
        <item m="1" x="1749"/>
        <item m="1" x="1750"/>
        <item m="1" x="1751"/>
        <item m="1" x="1752"/>
        <item m="1" x="1753"/>
        <item m="1" x="1754"/>
        <item m="1" x="1755"/>
        <item m="1" x="1756"/>
        <item m="1" x="1757"/>
        <item m="1" x="1758"/>
        <item m="1" x="1759"/>
        <item m="1" x="2937"/>
        <item m="1" x="1760"/>
        <item m="1" x="1761"/>
        <item m="1" x="1762"/>
        <item m="1" x="1763"/>
        <item m="1" x="1764"/>
        <item m="1" x="1765"/>
        <item m="1" x="1766"/>
        <item m="1" x="981"/>
        <item m="1" x="1767"/>
        <item m="1" x="1768"/>
        <item m="1" x="412"/>
        <item m="1" x="1769"/>
        <item m="1" x="1770"/>
        <item m="1" x="1771"/>
        <item m="1" x="1772"/>
        <item m="1" x="1773"/>
        <item m="1" x="2938"/>
        <item m="1" x="1774"/>
        <item m="1" x="2977"/>
        <item m="1" x="3012"/>
        <item m="1" x="3041"/>
        <item m="1" x="3063"/>
        <item m="1" x="3082"/>
        <item m="1" x="1775"/>
        <item m="1" x="1776"/>
        <item m="1" x="1777"/>
        <item m="1" x="1778"/>
        <item m="1" x="1779"/>
        <item m="1" x="1780"/>
        <item m="1" x="2213"/>
        <item m="1" x="1781"/>
        <item m="1" x="2214"/>
        <item m="1" x="1782"/>
        <item m="1" x="1783"/>
        <item m="1" x="1784"/>
        <item m="1" x="1785"/>
        <item m="1" x="1786"/>
        <item m="1" x="1787"/>
        <item m="1" x="1788"/>
        <item m="1" x="1789"/>
        <item m="1" x="1790"/>
        <item m="1" x="1791"/>
        <item m="1" x="1792"/>
        <item m="1" x="1793"/>
        <item m="1" x="1794"/>
        <item m="1" x="1795"/>
        <item m="1" x="1796"/>
        <item m="1" x="2275"/>
        <item m="1" x="2507"/>
        <item m="1" x="1797"/>
        <item m="1" x="963"/>
        <item m="1" x="964"/>
        <item m="1" x="1798"/>
        <item m="1" x="1799"/>
        <item m="1" x="2524"/>
        <item m="1" x="2526"/>
        <item m="1" x="1800"/>
        <item m="1" x="2527"/>
        <item m="1" x="1801"/>
        <item m="1" x="1802"/>
        <item m="1" x="2528"/>
        <item m="1" x="1803"/>
        <item m="1" x="2530"/>
        <item m="1" x="1804"/>
        <item m="1" x="2531"/>
        <item m="1" x="1805"/>
        <item m="1" x="378"/>
        <item m="1" x="379"/>
        <item m="1" x="1806"/>
        <item m="1" x="1807"/>
        <item m="1" x="1808"/>
        <item m="1" x="380"/>
        <item m="1" x="383"/>
        <item m="1" x="965"/>
        <item m="1" x="1809"/>
        <item m="1" x="966"/>
        <item m="1" x="496"/>
        <item m="1" x="1810"/>
        <item m="1" x="505"/>
        <item m="1" x="1811"/>
        <item m="1" x="1812"/>
        <item m="1" x="1813"/>
        <item m="1" x="1814"/>
        <item m="1" x="2533"/>
        <item m="1" x="1815"/>
        <item m="1" x="1816"/>
        <item m="1" x="1817"/>
        <item m="1" x="1818"/>
        <item m="1" x="1819"/>
        <item m="1" x="1820"/>
        <item m="1" x="3141"/>
        <item m="1" x="1821"/>
        <item m="1" x="1822"/>
        <item m="1" x="1823"/>
        <item m="1" x="1824"/>
        <item m="1" x="1825"/>
        <item m="1" x="1826"/>
        <item m="1" x="1827"/>
        <item m="1" x="1828"/>
        <item m="1" x="1829"/>
        <item m="1" x="1830"/>
        <item m="1" x="1831"/>
        <item m="1" x="1832"/>
        <item m="1" x="1833"/>
        <item m="1" x="1834"/>
        <item m="1" x="1835"/>
        <item m="1" x="1836"/>
        <item m="1" x="1837"/>
        <item m="1" x="1838"/>
        <item m="1" x="3013"/>
        <item m="1" x="1839"/>
        <item m="1" x="3042"/>
        <item m="1" x="1840"/>
        <item m="1" x="1841"/>
        <item m="1" x="1842"/>
        <item m="1" x="1843"/>
        <item m="1" x="1844"/>
        <item m="1" x="1845"/>
        <item m="1" x="1846"/>
        <item m="1" x="404"/>
        <item m="1" x="2978"/>
        <item m="1" x="1847"/>
        <item m="1" x="405"/>
        <item m="1" x="1848"/>
        <item m="1" x="1849"/>
        <item m="1" x="407"/>
        <item m="1" x="1850"/>
        <item m="1" x="1851"/>
        <item m="1" x="417"/>
        <item m="1" x="1852"/>
        <item m="1" x="2789"/>
        <item m="1" x="418"/>
        <item m="1" x="1853"/>
        <item m="1" x="717"/>
        <item m="1" x="2509"/>
        <item m="1" x="1854"/>
        <item m="1" x="2130"/>
        <item m="1" x="1855"/>
        <item m="1" x="1856"/>
        <item m="1" x="1857"/>
        <item m="1" x="930"/>
        <item m="1" x="1858"/>
        <item m="1" x="1859"/>
        <item m="1" x="396"/>
        <item m="1" x="1860"/>
        <item m="1" x="1861"/>
        <item m="1" x="1862"/>
        <item m="1" x="1863"/>
        <item m="1" x="1864"/>
        <item m="1" x="1865"/>
        <item m="1" x="1866"/>
        <item m="1" x="1867"/>
        <item m="1" x="1868"/>
        <item m="1" x="1869"/>
        <item m="1" x="1870"/>
        <item m="1" x="1871"/>
        <item m="1" x="1872"/>
        <item m="1" x="1873"/>
        <item m="1" x="1874"/>
        <item m="1" x="1875"/>
        <item m="1" x="1876"/>
        <item m="1" x="1877"/>
        <item m="1" x="1878"/>
        <item m="1" x="2475"/>
        <item m="1" x="1879"/>
        <item m="1" x="919"/>
        <item m="1" x="1880"/>
        <item m="1" x="1881"/>
        <item m="1" x="1882"/>
        <item m="1" x="1883"/>
        <item m="1" x="1884"/>
        <item m="1" x="1885"/>
        <item m="1" x="1886"/>
        <item m="1" x="1887"/>
        <item m="1" x="1888"/>
        <item m="1" x="1889"/>
        <item m="1" x="1890"/>
        <item m="1" x="1891"/>
        <item m="1" x="1892"/>
        <item m="1" x="1893"/>
        <item m="1" x="1894"/>
        <item m="1" x="1895"/>
        <item m="1" x="1896"/>
        <item m="1" x="1897"/>
        <item m="1" x="1898"/>
        <item m="1" x="1899"/>
        <item m="1" x="1900"/>
        <item m="1" x="1901"/>
        <item m="1" x="1902"/>
        <item m="1" x="1903"/>
        <item m="1" x="1904"/>
        <item m="1" x="1905"/>
        <item m="1" x="1906"/>
        <item m="1" x="1907"/>
        <item m="1" x="1908"/>
        <item m="1" x="1909"/>
        <item m="1" x="1910"/>
        <item m="1" x="1911"/>
        <item m="1" x="1912"/>
        <item m="1" x="1913"/>
        <item m="1" x="1914"/>
        <item m="1" x="1915"/>
        <item m="1" x="1916"/>
        <item m="1" x="1917"/>
        <item m="1" x="1918"/>
        <item m="1" x="1919"/>
        <item m="1" x="1920"/>
        <item m="1" x="1921"/>
        <item m="1" x="1922"/>
        <item m="1" x="2939"/>
        <item m="1" x="1923"/>
        <item m="1" x="2979"/>
        <item m="1" x="1924"/>
        <item m="1" x="1925"/>
        <item m="1" x="1926"/>
        <item m="1" x="1927"/>
        <item m="1" x="1928"/>
        <item m="1" x="1929"/>
        <item m="1" x="1930"/>
        <item m="1" x="1931"/>
        <item m="1" x="1932"/>
        <item m="1" x="1933"/>
        <item m="1" x="2940"/>
        <item m="1" x="1934"/>
        <item m="1" x="2980"/>
        <item m="1" x="1935"/>
        <item m="1" x="3014"/>
        <item m="1" x="1936"/>
        <item m="1" x="3043"/>
        <item m="1" x="1937"/>
        <item m="1" x="3064"/>
        <item m="1" x="1938"/>
        <item m="1" x="3083"/>
        <item m="1" x="1939"/>
        <item m="1" x="1940"/>
        <item m="1" x="1941"/>
        <item m="1" x="1942"/>
        <item m="1" x="1943"/>
        <item m="1" x="1944"/>
        <item m="1" x="1945"/>
        <item m="1" x="1946"/>
        <item m="1" x="1947"/>
        <item m="1" x="1948"/>
        <item m="1" x="1949"/>
        <item m="1" x="1950"/>
        <item m="1" x="1951"/>
        <item m="1" x="1952"/>
        <item m="1" x="3044"/>
        <item m="1" x="1953"/>
        <item m="1" x="3065"/>
        <item m="1" x="885"/>
        <item m="1" x="1954"/>
        <item m="1" x="1955"/>
        <item m="1" x="1956"/>
        <item m="1" x="2981"/>
        <item m="1" x="1957"/>
        <item m="1" x="1958"/>
        <item m="1" x="2215"/>
        <item m="1" x="1959"/>
        <item m="1" x="3084"/>
        <item m="1" x="1960"/>
        <item m="1" x="3096"/>
        <item m="1" x="1961"/>
        <item m="1" x="1962"/>
        <item m="1" x="2436"/>
        <item m="1" x="841"/>
        <item m="1" x="1963"/>
        <item m="1" x="1964"/>
        <item m="1" x="2202"/>
        <item m="1" x="856"/>
        <item m="1" x="2204"/>
        <item m="1" x="860"/>
        <item m="1" x="2216"/>
        <item m="1" x="866"/>
        <item m="1" x="2217"/>
        <item m="1" x="872"/>
        <item m="1" x="2218"/>
        <item m="1" x="2220"/>
        <item m="1" x="878"/>
        <item m="1" x="887"/>
        <item m="1" x="889"/>
        <item m="1" x="892"/>
        <item m="1" x="895"/>
        <item m="1" x="898"/>
        <item m="1" x="902"/>
        <item m="1" x="2187"/>
        <item m="1" x="2941"/>
        <item m="1" x="2982"/>
        <item m="1" x="2942"/>
        <item m="1" x="2983"/>
        <item m="1" x="3015"/>
        <item m="1" x="3045"/>
        <item m="1" x="3066"/>
        <item m="1" x="3085"/>
        <item m="1" x="3097"/>
        <item m="1" x="3110"/>
        <item m="1" x="3122"/>
        <item m="1" x="2422"/>
        <item m="1" x="836"/>
        <item m="1" x="2943"/>
        <item m="1" x="2984"/>
        <item m="1" x="1965"/>
        <item m="1" x="1966"/>
        <item m="1" x="1967"/>
        <item m="1" x="1968"/>
        <item m="1" x="2985"/>
        <item m="1" x="1969"/>
        <item m="1" x="3016"/>
        <item m="1" x="1970"/>
        <item m="1" x="1971"/>
        <item m="1" x="1972"/>
        <item m="1" x="1973"/>
        <item m="1" x="1974"/>
        <item m="1" x="1975"/>
        <item m="1" x="2890"/>
        <item m="1" x="1976"/>
        <item m="1" x="1977"/>
        <item m="1" x="1978"/>
        <item m="1" x="1979"/>
        <item m="1" x="2899"/>
        <item m="1" x="1980"/>
        <item m="1" x="1981"/>
        <item m="1" x="1982"/>
        <item m="1" x="1983"/>
        <item m="1" x="2944"/>
        <item m="1" x="2986"/>
        <item m="1" x="1984"/>
        <item m="1" x="2987"/>
        <item m="1" x="1985"/>
        <item m="1" x="3017"/>
        <item m="1" x="1986"/>
        <item m="1" x="3046"/>
        <item m="1" x="1987"/>
        <item m="1" x="3067"/>
        <item m="1" x="1988"/>
        <item m="1" x="3086"/>
        <item m="1" x="1989"/>
        <item m="1" x="3098"/>
        <item m="1" x="3111"/>
        <item m="1" x="3123"/>
        <item m="1" x="837"/>
        <item m="1" x="842"/>
        <item m="1" x="1990"/>
        <item m="1" x="846"/>
        <item m="1" x="1991"/>
        <item m="1" x="850"/>
        <item m="1" x="857"/>
        <item m="1" x="1992"/>
        <item m="1" x="861"/>
        <item m="1" x="867"/>
        <item m="1" x="873"/>
        <item m="1" x="2308"/>
        <item m="1" x="2312"/>
        <item m="1" x="2945"/>
        <item m="1" x="2988"/>
        <item m="1" x="1993"/>
        <item m="1" x="3018"/>
        <item m="1" x="3047"/>
        <item m="1" x="3068"/>
        <item m="1" x="3087"/>
        <item m="1" x="2946"/>
        <item m="1" x="2989"/>
        <item m="1" x="2519"/>
        <item m="1" x="362"/>
        <item m="1" x="3019"/>
        <item m="1" x="3048"/>
        <item m="1" x="3160"/>
        <item m="1" x="3163"/>
        <item m="1" x="2990"/>
        <item m="1" x="1994"/>
        <item m="1" x="3020"/>
        <item m="1" x="1995"/>
        <item m="1" x="2947"/>
        <item m="1" x="2463"/>
        <item m="1" x="2465"/>
        <item m="1" x="937"/>
        <item m="1" x="939"/>
        <item m="1" x="2948"/>
        <item m="1" x="2991"/>
        <item m="1" x="3021"/>
        <item m="1" x="3049"/>
        <item m="1" x="931"/>
        <item m="1" x="393"/>
        <item m="1" x="1996"/>
        <item m="1" x="1997"/>
        <item m="1" x="1998"/>
        <item m="1" x="1999"/>
        <item m="1" x="2000"/>
        <item m="1" x="2001"/>
        <item m="1" x="2002"/>
        <item m="1" x="2003"/>
        <item m="1" x="2004"/>
        <item m="1" x="2005"/>
        <item m="1" x="2006"/>
        <item m="1" x="2007"/>
        <item m="1" x="2008"/>
        <item m="1" x="2009"/>
        <item m="1" x="2010"/>
        <item m="1" x="2011"/>
        <item m="1" x="2012"/>
        <item m="1" x="2013"/>
        <item m="1" x="2014"/>
        <item m="1" x="2015"/>
        <item m="1" x="2016"/>
        <item m="1" x="523"/>
        <item m="1" x="531"/>
        <item m="1" x="533"/>
        <item m="1" x="366"/>
        <item m="1" x="368"/>
        <item m="1" x="375"/>
        <item m="1" x="2017"/>
        <item m="1" x="2018"/>
        <item m="1" x="2019"/>
        <item m="1" x="2020"/>
        <item m="1" x="2021"/>
        <item m="1" x="2022"/>
        <item m="1" x="2023"/>
        <item m="1" x="2024"/>
        <item m="1" x="2025"/>
        <item m="1" x="2026"/>
        <item m="1" x="2027"/>
        <item m="1" x="2028"/>
        <item m="1" x="2029"/>
        <item m="1" x="2030"/>
        <item m="1" x="2031"/>
        <item m="1" x="2032"/>
        <item m="1" x="2033"/>
        <item m="1" x="2034"/>
        <item m="1" x="2035"/>
        <item m="1" x="2036"/>
        <item m="1" x="2037"/>
        <item m="1" x="2038"/>
        <item m="1" x="2039"/>
        <item m="1" x="2040"/>
        <item m="1" x="2041"/>
        <item m="1" x="2042"/>
        <item m="1" x="2043"/>
        <item m="1" x="2044"/>
        <item m="1" x="2045"/>
        <item m="1" x="2046"/>
        <item m="1" x="2047"/>
        <item m="1" x="2048"/>
        <item m="1" x="2049"/>
        <item m="1" x="423"/>
        <item m="1" x="425"/>
        <item m="1" x="427"/>
        <item m="1" x="431"/>
        <item m="1" x="435"/>
        <item m="1" x="437"/>
        <item m="1" x="2050"/>
        <item m="1" x="381"/>
        <item m="1" x="384"/>
        <item m="1" x="2051"/>
        <item m="1" x="2052"/>
        <item m="1" x="372"/>
        <item m="1" x="2053"/>
        <item m="1" x="2556"/>
        <item m="1" x="494"/>
        <item m="1" x="503"/>
        <item m="1" x="2054"/>
        <item m="1" x="2055"/>
        <item m="1" x="2056"/>
        <item m="1" x="2057"/>
        <item m="1" x="2058"/>
        <item m="1" x="2059"/>
        <item m="1" x="2060"/>
        <item m="1" x="2061"/>
        <item m="1" x="2062"/>
        <item m="1" x="2063"/>
        <item m="1" x="2064"/>
        <item m="1" x="2065"/>
        <item m="1" x="2066"/>
        <item m="1" x="2067"/>
        <item m="1" x="2068"/>
        <item m="1" x="2069"/>
        <item m="1" x="2070"/>
        <item m="1" x="373"/>
        <item m="1" x="2071"/>
        <item m="1" x="2072"/>
        <item m="1" x="2073"/>
        <item m="1" x="401"/>
        <item m="1" x="402"/>
        <item m="1" x="2074"/>
        <item m="1" x="2075"/>
        <item m="1" x="2076"/>
        <item m="1" x="2077"/>
        <item m="1" x="2078"/>
        <item m="1" x="2079"/>
        <item m="1" x="386"/>
        <item m="1" x="542"/>
        <item m="1" x="471"/>
        <item m="1" x="414"/>
        <item m="1" x="2797"/>
        <item m="1" x="446"/>
        <item m="1" x="543"/>
        <item m="1" x="512"/>
        <item m="1" x="597"/>
        <item m="1" x="2129"/>
        <item m="1" x="2568"/>
        <item m="1" x="675"/>
        <item m="1" x="2435"/>
        <item m="1" x="2569"/>
        <item m="1" x="718"/>
        <item m="1" x="2095"/>
        <item m="1" x="2570"/>
        <item m="1" x="2439"/>
        <item m="1" x="544"/>
        <item m="1" x="2571"/>
        <item m="1" x="2718"/>
        <item m="1" x="2572"/>
        <item m="1" x="2745"/>
        <item m="1" x="2573"/>
        <item m="1" x="2810"/>
        <item m="1" x="2893"/>
        <item m="1" x="763"/>
        <item m="1" x="2574"/>
        <item m="1" x="2719"/>
        <item m="1" x="749"/>
        <item m="1" x="2720"/>
        <item m="1" x="2575"/>
        <item m="1" x="2721"/>
        <item m="1" x="225"/>
        <item m="1" x="419"/>
        <item m="1" x="2722"/>
        <item m="1" x="2425"/>
        <item m="1" x="2576"/>
        <item m="1" x="545"/>
        <item m="1" x="2577"/>
        <item m="1" x="2578"/>
        <item m="1" x="385"/>
        <item m="1" x="2579"/>
        <item m="1" x="2128"/>
        <item m="1" x="2754"/>
        <item m="1" x="3143"/>
        <item m="1" x="2111"/>
        <item m="1" x="546"/>
        <item m="1" x="410"/>
        <item m="1" x="720"/>
        <item m="1" x="2457"/>
        <item m="1" x="610"/>
        <item m="1" x="2580"/>
        <item m="1" x="2775"/>
        <item m="1" x="2581"/>
        <item m="1" x="2471"/>
        <item m="1" x="2894"/>
        <item m="1" x="2582"/>
        <item m="1" x="356"/>
        <item m="1" x="2583"/>
        <item m="1" x="3148"/>
        <item m="1" x="2798"/>
        <item m="1" x="2584"/>
        <item m="1" x="2735"/>
        <item m="1" x="2896"/>
        <item m="1" x="472"/>
        <item m="1" x="2821"/>
        <item m="1" x="974"/>
        <item m="1" x="2498"/>
        <item m="1" x="657"/>
        <item m="1" x="2585"/>
        <item m="1" x="734"/>
        <item m="1" x="547"/>
        <item m="1" x="2784"/>
        <item m="1" x="623"/>
        <item m="1" x="2737"/>
        <item m="1" x="451"/>
        <item m="1" x="640"/>
        <item m="1" x="2586"/>
        <item m="1" x="2587"/>
        <item m="1" x="624"/>
        <item m="1" x="2588"/>
        <item m="1" x="851"/>
        <item m="1" x="2750"/>
        <item m="1" x="2589"/>
        <item m="1" x="2822"/>
        <item m="1" x="2881"/>
        <item m="1" x="2590"/>
        <item m="1" x="692"/>
        <item m="1" x="2591"/>
        <item m="1" x="852"/>
        <item m="1" x="2592"/>
        <item m="1" x="741"/>
        <item m="1" x="2593"/>
        <item m="1" x="2594"/>
        <item m="1" x="2595"/>
        <item m="1" x="524"/>
        <item m="1" x="2596"/>
        <item m="1" x="2443"/>
        <item m="1" x="2597"/>
        <item m="1" x="2878"/>
        <item m="1" x="2598"/>
        <item m="1" x="2420"/>
        <item m="1" x="2599"/>
        <item m="1" x="2258"/>
        <item m="1" x="2600"/>
        <item m="1" x="665"/>
        <item m="1" x="2193"/>
        <item m="1" x="513"/>
        <item m="1" x="2601"/>
        <item m="1" x="2602"/>
        <item m="1" x="2603"/>
        <item m="1" x="2604"/>
        <item m="1" x="2605"/>
        <item m="1" x="2606"/>
        <item m="1" x="2607"/>
        <item m="1" x="2608"/>
        <item m="1" x="2234"/>
        <item m="1" x="2823"/>
        <item m="1" x="2492"/>
        <item m="1" x="2609"/>
        <item m="1" x="2147"/>
        <item m="1" x="548"/>
        <item m="1" x="2610"/>
        <item m="1" x="2830"/>
        <item m="1" x="740"/>
        <item m="1" x="2611"/>
        <item m="1" x="2844"/>
        <item m="1" x="2612"/>
        <item m="1" x="2467"/>
        <item m="1" x="2613"/>
        <item m="1" x="2614"/>
        <item m="1" x="549"/>
        <item m="1" x="2615"/>
        <item m="1" x="2616"/>
        <item m="1" x="2617"/>
        <item m="1" x="514"/>
        <item m="1" x="2618"/>
        <item m="1" x="2799"/>
        <item m="1" x="438"/>
        <item m="1" x="2619"/>
        <item m="1" x="473"/>
        <item m="1" x="452"/>
        <item m="1" x="2620"/>
        <item m="1" x="453"/>
        <item m="1" x="2621"/>
        <item m="1" x="474"/>
        <item m="1" x="2776"/>
        <item m="1" x="2622"/>
        <item m="1" x="550"/>
        <item m="1" x="551"/>
        <item m="1" x="2623"/>
        <item m="1" x="2624"/>
        <item m="1" x="475"/>
        <item m="1" x="2625"/>
        <item m="1" x="611"/>
        <item m="1" x="599"/>
        <item m="1" x="2626"/>
        <item m="1" x="2627"/>
        <item m="1" x="664"/>
        <item m="1" x="2628"/>
        <item m="1" x="536"/>
        <item m="1" x="737"/>
        <item m="1" x="729"/>
        <item m="1" x="2629"/>
        <item m="1" x="230"/>
        <item m="1" x="2895"/>
        <item m="1" x="2777"/>
        <item m="1" x="2630"/>
        <item m="1" x="3135"/>
        <item m="1" x="771"/>
        <item m="1" x="3144"/>
        <item m="1" x="454"/>
        <item m="1" x="772"/>
        <item m="1" x="355"/>
        <item m="1" x="2297"/>
        <item m="1" x="476"/>
        <item m="1" x="773"/>
        <item m="1" x="698"/>
        <item m="1" x="477"/>
        <item m="1" x="2086"/>
        <item m="1" x="774"/>
        <item m="1" x="658"/>
        <item m="1" x="2790"/>
        <item m="1" x="775"/>
        <item m="1" x="2800"/>
        <item m="1" x="776"/>
        <item m="1" x="497"/>
        <item m="1" x="2631"/>
        <item m="1" x="2419"/>
        <item m="1" x="2632"/>
        <item m="1" x="515"/>
        <item m="1" x="552"/>
        <item m="1" x="957"/>
        <item m="1" x="584"/>
        <item m="1" x="2316"/>
        <item m="1" x="465"/>
        <item m="1" x="600"/>
        <item m="1" x="659"/>
        <item m="1" x="663"/>
        <item m="1" x="461"/>
        <item m="1" x="680"/>
        <item m="1" x="739"/>
        <item m="1" x="455"/>
        <item m="1" x="2728"/>
        <item m="1" x="498"/>
        <item m="1" x="2854"/>
        <item m="1" x="3126"/>
        <item m="1" x="470"/>
        <item m="1" x="525"/>
        <item m="1" x="612"/>
        <item m="1" x="2757"/>
        <item m="1" x="2521"/>
        <item m="1" x="699"/>
        <item m="1" x="2633"/>
        <item m="1" x="756"/>
        <item m="1" x="2634"/>
        <item m="1" x="358"/>
        <item m="1" x="2195"/>
        <item m="1" x="2136"/>
        <item m="1" x="439"/>
        <item m="1" x="553"/>
        <item m="1" x="2635"/>
        <item m="1" x="554"/>
        <item m="1" x="2636"/>
        <item m="1" x="613"/>
        <item m="1" x="2637"/>
        <item m="1" x="478"/>
        <item m="1" x="614"/>
        <item m="1" x="2791"/>
        <item m="1" x="450"/>
        <item m="1" x="555"/>
        <item m="1" x="2864"/>
        <item m="1" x="516"/>
        <item m="1" x="607"/>
        <item m="1" x="2831"/>
        <item m="1" x="2783"/>
        <item m="1" x="517"/>
        <item m="1" x="635"/>
        <item m="1" x="601"/>
        <item m="1" x="653"/>
        <item m="1" x="556"/>
        <item m="1" x="2787"/>
        <item m="1" x="2126"/>
        <item m="1" x="479"/>
        <item m="1" x="585"/>
        <item m="1" x="2638"/>
        <item m="1" x="2801"/>
        <item m="1" x="2639"/>
        <item m="1" x="557"/>
        <item m="1" x="853"/>
        <item m="1" x="2640"/>
        <item m="1" x="615"/>
        <item m="1" x="2641"/>
        <item m="1" x="637"/>
        <item m="1" x="558"/>
        <item m="1" x="2642"/>
        <item m="1" x="2304"/>
        <item m="1" x="2832"/>
        <item m="1" x="2643"/>
        <item m="1" x="2557"/>
        <item m="1" x="2644"/>
        <item m="1" x="3172"/>
        <item m="1" x="2645"/>
        <item m="1" x="2499"/>
        <item m="1" x="625"/>
        <item m="1" x="2302"/>
        <item m="1" x="2646"/>
        <item m="1" x="691"/>
        <item m="1" x="559"/>
        <item m="1" x="2259"/>
        <item m="1" x="586"/>
        <item m="1" x="445"/>
        <item m="1" x="507"/>
        <item m="1" x="2845"/>
        <item m="1" x="587"/>
        <item m="1" x="2806"/>
        <item m="1" x="440"/>
        <item m="1" x="560"/>
        <item m="1" x="962"/>
        <item m="1" x="2879"/>
        <item m="1" x="561"/>
        <item m="1" x="2860"/>
        <item m="1" x="777"/>
        <item m="1" x="480"/>
        <item m="1" x="456"/>
        <item m="1" x="2647"/>
        <item m="1" x="2811"/>
        <item m="1" x="778"/>
        <item m="1" x="616"/>
        <item m="1" x="518"/>
        <item m="1" x="2905"/>
        <item m="1" x="562"/>
        <item m="1" x="2648"/>
        <item m="1" x="481"/>
        <item m="1" x="2846"/>
        <item m="1" x="2649"/>
        <item m="1" x="462"/>
        <item m="1" x="563"/>
        <item m="1" x="482"/>
        <item m="1" x="2650"/>
        <item m="1" x="779"/>
        <item m="1" x="2224"/>
        <item m="1" x="755"/>
        <item m="1" x="2153"/>
        <item m="1" x="526"/>
        <item m="1" x="714"/>
        <item m="1" x="780"/>
        <item m="1" x="674"/>
        <item m="1" x="781"/>
        <item m="1" x="3099"/>
        <item m="1" x="2651"/>
        <item m="1" x="2712"/>
        <item m="1" x="2802"/>
        <item m="1" x="913"/>
        <item m="1" x="676"/>
        <item m="1" x="782"/>
        <item m="1" x="508"/>
        <item m="1" x="783"/>
        <item m="1" x="588"/>
        <item m="1" x="2807"/>
        <item m="1" x="441"/>
        <item m="1" x="784"/>
        <item m="1" x="2778"/>
        <item m="1" x="3173"/>
        <item m="1" x="785"/>
        <item m="1" x="483"/>
        <item m="1" x="457"/>
        <item m="1" x="2273"/>
        <item m="1" x="786"/>
        <item m="1" x="2156"/>
        <item m="1" x="3112"/>
        <item m="1" x="2803"/>
        <item m="1" x="787"/>
        <item m="1" x="2833"/>
        <item m="1" x="519"/>
        <item m="1" x="2380"/>
        <item m="1" x="3127"/>
        <item m="1" x="788"/>
        <item m="1" x="390"/>
        <item m="1" x="3124"/>
        <item m="1" x="789"/>
        <item m="1" x="520"/>
        <item m="1" x="679"/>
        <item m="1" x="2652"/>
        <item m="1" x="2309"/>
        <item m="1" x="2653"/>
        <item m="1" x="2654"/>
        <item m="1" x="521"/>
        <item m="1" x="2135"/>
        <item m="1" x="527"/>
        <item m="1" x="2474"/>
        <item m="1" x="2167"/>
        <item m="1" x="790"/>
        <item m="1" x="791"/>
        <item m="1" x="564"/>
        <item m="1" x="2824"/>
        <item m="1" x="3174"/>
        <item m="1" x="602"/>
        <item m="1" x="2331"/>
        <item m="1" x="617"/>
        <item m="1" x="2751"/>
        <item m="1" x="2655"/>
        <item m="1" x="2300"/>
        <item m="1" x="509"/>
        <item m="1" x="2656"/>
        <item m="1" x="565"/>
        <item m="1" x="2657"/>
        <item m="1" x="3145"/>
        <item m="1" x="2658"/>
        <item m="1" x="537"/>
        <item m="1" x="2659"/>
        <item m="1" x="2825"/>
        <item m="1" x="2660"/>
        <item m="1" x="2661"/>
        <item m="1" x="2826"/>
        <item m="1" x="2158"/>
        <item m="1" x="2662"/>
        <item m="1" x="2876"/>
        <item m="1" x="2663"/>
        <item m="1" x="2664"/>
        <item m="1" x="2665"/>
        <item m="1" x="566"/>
        <item m="1" x="484"/>
        <item m="1" x="2666"/>
        <item m="1" x="2834"/>
        <item m="1" x="499"/>
        <item m="1" x="2667"/>
        <item m="1" x="589"/>
        <item m="1" x="2668"/>
        <item m="1" x="2847"/>
        <item m="1" x="2669"/>
        <item m="1" x="603"/>
        <item m="1" x="2804"/>
        <item m="1" x="2670"/>
        <item m="1" x="2855"/>
        <item m="1" x="2671"/>
        <item m="1" x="618"/>
        <item m="1" x="2861"/>
        <item m="1" x="2672"/>
        <item m="1" x="626"/>
        <item m="1" x="2673"/>
        <item m="1" x="567"/>
        <item m="1" x="485"/>
        <item m="1" x="2674"/>
        <item m="1" x="409"/>
        <item m="1" x="2805"/>
        <item m="1" x="2848"/>
        <item m="1" x="2675"/>
        <item m="1" x="2676"/>
        <item m="1" x="528"/>
        <item m="1" x="695"/>
        <item m="1" x="2299"/>
        <item m="1" x="2677"/>
        <item m="1" x="2127"/>
        <item m="1" x="2159"/>
        <item m="1" x="2678"/>
        <item m="1" x="2679"/>
        <item m="1" x="2812"/>
        <item m="1" x="2680"/>
        <item m="1" x="689"/>
        <item m="1" x="399"/>
        <item m="1" x="2681"/>
        <item m="1" x="732"/>
        <item m="1" x="2792"/>
        <item m="1" x="538"/>
        <item m="1" x="2887"/>
        <item m="1" x="2682"/>
        <item m="1" x="2827"/>
        <item m="1" x="500"/>
        <item m="1" x="2683"/>
        <item m="1" x="2835"/>
        <item m="1" x="792"/>
        <item m="1" x="420"/>
        <item m="1" x="735"/>
        <item m="1" x="793"/>
        <item m="1" x="706"/>
        <item m="1" x="2849"/>
        <item m="1" x="486"/>
        <item m="1" x="2684"/>
        <item m="1" x="736"/>
        <item m="1" x="2809"/>
        <item m="1" x="2685"/>
        <item m="1" x="568"/>
        <item m="1" x="2686"/>
        <item m="1" x="2466"/>
        <item m="1" x="2856"/>
        <item m="1" x="466"/>
        <item m="1" x="2687"/>
        <item m="1" x="2828"/>
        <item m="1" x="487"/>
        <item m="1" x="2688"/>
        <item m="1" x="2355"/>
        <item m="1" x="2689"/>
        <item m="1" x="2793"/>
        <item m="1" x="2690"/>
        <item m="1" x="539"/>
        <item m="1" x="488"/>
        <item m="1" x="540"/>
        <item m="1" x="2785"/>
        <item m="1" x="656"/>
        <item m="1" x="649"/>
        <item m="1" x="3149"/>
        <item m="1" x="2329"/>
        <item m="1" x="590"/>
        <item m="1" x="638"/>
        <item m="1" x="2897"/>
        <item m="1" x="489"/>
        <item m="1" x="794"/>
        <item m="1" x="766"/>
        <item m="1" x="490"/>
        <item m="1" x="795"/>
        <item m="1" x="2829"/>
        <item m="1" x="2261"/>
        <item m="1" x="3150"/>
        <item m="1" x="2691"/>
        <item m="1" x="2179"/>
        <item m="1" x="796"/>
        <item m="1" x="619"/>
        <item m="1" x="2464"/>
        <item m="1" x="797"/>
        <item m="1" x="3154"/>
        <item m="1" x="491"/>
        <item m="1" x="569"/>
        <item m="1" x="2794"/>
        <item m="1" x="2692"/>
        <item m="1" x="798"/>
        <item m="1" x="2898"/>
        <item m="1" x="510"/>
        <item m="1" x="2693"/>
        <item m="1" x="2857"/>
        <item m="1" x="2694"/>
        <item m="1" x="604"/>
        <item m="1" x="2695"/>
        <item m="1" x="591"/>
        <item m="1" x="2752"/>
        <item m="1" x="2836"/>
        <item m="1" x="907"/>
        <item m="1" x="411"/>
        <item m="1" x="2549"/>
        <item m="1" x="570"/>
        <item m="1" x="2506"/>
        <item m="1" x="722"/>
        <item m="1" x="2106"/>
        <item m="1" x="986"/>
        <item m="1" x="2858"/>
        <item m="1" x="2862"/>
        <item m="1" x="799"/>
        <item m="1" x="3153"/>
        <item m="1" x="800"/>
        <item m="1" x="2432"/>
        <item m="1" x="801"/>
        <item m="1" x="620"/>
        <item m="1" x="733"/>
        <item m="1" x="592"/>
        <item m="1" x="2837"/>
        <item m="1" x="2558"/>
        <item m="1" x="2424"/>
        <item m="1" x="627"/>
        <item m="1" x="668"/>
        <item m="1" x="357"/>
        <item m="1" x="3151"/>
        <item m="1" x="571"/>
        <item m="1" x="2696"/>
        <item m="1" x="2296"/>
        <item m="1" x="2838"/>
        <item m="1" x="593"/>
        <item m="1" x="802"/>
        <item m="1" x="2084"/>
        <item m="1" x="2276"/>
        <item m="1" x="661"/>
        <item m="1" x="803"/>
        <item m="1" x="694"/>
        <item m="1" x="804"/>
        <item m="1" x="2154"/>
        <item m="1" x="805"/>
        <item m="1" x="2151"/>
        <item m="1" x="2697"/>
        <item m="1" x="2415"/>
        <item m="1" x="806"/>
        <item m="1" x="2491"/>
        <item m="1" x="807"/>
        <item m="1" x="2813"/>
        <item m="1" x="808"/>
        <item m="1" x="2814"/>
        <item m="1" x="809"/>
        <item m="1" x="2815"/>
        <item m="1" x="2816"/>
        <item m="1" x="572"/>
        <item m="1" x="2839"/>
        <item m="1" x="594"/>
        <item m="1" x="2850"/>
        <item m="1" x="2426"/>
        <item m="1" x="605"/>
        <item m="1" x="3161"/>
        <item m="1" x="2859"/>
        <item m="1" x="2455"/>
        <item m="1" x="621"/>
        <item m="1" x="2470"/>
        <item m="1" x="810"/>
        <item m="1" x="573"/>
        <item m="1" x="811"/>
        <item m="1" x="2840"/>
        <item m="1" x="812"/>
        <item m="1" x="2841"/>
        <item m="1" x="813"/>
        <item m="1" x="574"/>
        <item m="1" x="746"/>
        <item m="1" x="595"/>
        <item m="1" x="814"/>
        <item m="1" x="575"/>
        <item m="1" x="815"/>
        <item m="1" x="576"/>
        <item m="1" x="816"/>
        <item m="1" x="577"/>
        <item m="1" x="2851"/>
        <item m="1" x="2427"/>
        <item m="1" x="2852"/>
        <item m="1" x="3132"/>
        <item m="1" x="817"/>
        <item m="1" x="2817"/>
        <item m="1" x="818"/>
        <item m="1" x="2818"/>
        <item m="1" x="819"/>
        <item m="1" x="622"/>
        <item m="1" x="578"/>
        <item m="1" x="2698"/>
        <item m="1" x="2842"/>
        <item m="1" x="606"/>
        <item m="1" x="628"/>
        <item m="1" x="2428"/>
        <item m="1" x="2456"/>
        <item m="1" x="579"/>
        <item m="1" x="580"/>
        <item m="1" x="581"/>
        <item m="1" x="820"/>
        <item m="1" x="582"/>
        <item m="1" x="821"/>
        <item m="1" x="970"/>
        <item m="1" x="583"/>
        <item m="1" x="743"/>
        <item m="1" x="822"/>
        <item m="1" x="2819"/>
        <item m="1" x="2820"/>
        <item m="1" x="980"/>
        <item m="1" x="2378"/>
        <item m="1" x="2699"/>
        <item m="1" x="823"/>
        <item m="1" x="2091"/>
        <item m="1" x="2868"/>
        <item m="1" x="2476"/>
        <item m="1" x="2992"/>
        <item m="1" x="2756"/>
        <item m="1" x="2700"/>
        <item m="1" x="2701"/>
        <item m="1" x="2137"/>
        <item m="1" x="824"/>
        <item m="1" x="825"/>
        <item m="1" x="666"/>
        <item m="1" x="2702"/>
        <item m="1" x="696"/>
        <item m="1" x="2703"/>
        <item m="1" x="738"/>
        <item m="1" x="753"/>
        <item m="1" x="2704"/>
        <item m="1" x="630"/>
        <item m="1" x="2429"/>
        <item m="1" x="826"/>
        <item m="1" x="827"/>
        <item m="1" x="828"/>
        <item m="1" x="829"/>
        <item m="1" x="2705"/>
        <item m="1" x="636"/>
        <item m="1" x="2706"/>
        <item m="1" x="2707"/>
        <item m="1" x="2324"/>
        <item m="1" x="2430"/>
        <item m="1" x="2708"/>
        <item m="1" x="2709"/>
        <item m="1" x="2235"/>
        <item m="1" x="2497"/>
        <item m="1" x="415"/>
        <item m="1" x="2458"/>
        <item m="1" x="2472"/>
        <item m="1" x="2459"/>
        <item m="1" x="639"/>
        <item m="1" x="830"/>
        <item m="1" x="688"/>
        <item m="1" x="2730"/>
        <item m="1" x="2168"/>
        <item m="1" x="968"/>
        <item m="1" x="932"/>
        <item m="1" x="770"/>
        <item m="1" x="3125"/>
        <item m="1" x="910"/>
        <item m="1" x="2733"/>
        <item x="8"/>
        <item m="1" x="2795"/>
        <item m="1" x="2110"/>
        <item m="1" x="2883"/>
        <item m="1" x="432"/>
        <item m="1" x="2729"/>
        <item m="1" x="2121"/>
        <item m="1" x="2171"/>
        <item m="1" x="2341"/>
        <item m="1" x="2108"/>
        <item m="1" x="400"/>
        <item m="1" x="1004"/>
        <item m="1" x="2873"/>
        <item m="1" x="2545"/>
        <item m="1" x="2889"/>
        <item m="1" x="2315"/>
        <item m="1" x="2739"/>
        <item m="1" x="935"/>
        <item m="1" x="2407"/>
        <item m="1" x="2385"/>
        <item m="1" x="3129"/>
        <item m="1" x="2260"/>
        <item m="1" x="2305"/>
        <item m="1" x="2097"/>
        <item x="10"/>
        <item m="1" x="424"/>
        <item m="1" x="2160"/>
        <item m="1" x="2088"/>
        <item m="1" x="2886"/>
        <item m="1" x="2292"/>
        <item m="1" x="463"/>
        <item m="1" x="2451"/>
        <item m="1" x="3158"/>
        <item m="1" x="2902"/>
        <item m="1" x="2880"/>
        <item m="1" x="2274"/>
        <item m="1" x="492"/>
        <item x="14"/>
        <item m="1" x="726"/>
        <item m="1" x="2133"/>
        <item m="1" x="421"/>
        <item m="1" x="2363"/>
        <item m="1" x="2174"/>
        <item m="1" x="645"/>
        <item m="1" x="2755"/>
        <item m="1" x="671"/>
        <item m="1" x="2320"/>
        <item m="1" x="2263"/>
        <item m="1" x="2144"/>
        <item m="1" x="631"/>
        <item m="1" x="2321"/>
        <item x="16"/>
        <item m="1" x="2173"/>
        <item m="1" x="2134"/>
        <item m="1" x="2098"/>
        <item m="1" x="2287"/>
        <item m="1" x="994"/>
        <item m="1" x="2462"/>
        <item m="1" x="917"/>
        <item m="1" x="2892"/>
        <item m="1" x="833"/>
        <item m="1" x="2452"/>
        <item m="1" x="2715"/>
        <item m="1" x="2286"/>
        <item m="1" x="2438"/>
        <item m="1" x="2333"/>
        <item m="1" x="992"/>
        <item m="1" x="2441"/>
        <item m="1" x="2102"/>
        <item m="1" x="2310"/>
        <item m="1" x="609"/>
        <item m="1" x="2277"/>
        <item m="1" x="2311"/>
        <item m="1" x="909"/>
        <item m="1" x="2431"/>
        <item m="1" x="2089"/>
        <item m="1" x="2357"/>
        <item x="224"/>
        <item m="1" x="742"/>
        <item m="1" x="2421"/>
        <item m="1" x="2877"/>
        <item m="1" x="2162"/>
        <item m="1" x="2085"/>
        <item m="1" x="2148"/>
        <item m="1" x="2760"/>
        <item x="18"/>
        <item x="19"/>
        <item m="1" x="2152"/>
        <item m="1" x="2494"/>
        <item m="1" x="990"/>
        <item m="1" x="677"/>
        <item m="1" x="2808"/>
        <item m="1" x="2087"/>
        <item m="1" x="3133"/>
        <item x="20"/>
        <item m="1" x="3131"/>
        <item m="1" x="2343"/>
        <item m="1" x="2444"/>
        <item m="1" x="387"/>
        <item x="21"/>
        <item m="1" x="3162"/>
        <item m="1" x="2248"/>
        <item m="1" x="858"/>
        <item x="22"/>
        <item m="1" x="3166"/>
        <item m="1" x="744"/>
        <item x="23"/>
        <item x="24"/>
        <item m="1" x="2081"/>
        <item m="1" x="2199"/>
        <item m="1" x="765"/>
        <item m="1" x="2194"/>
        <item m="1" x="697"/>
        <item m="1" x="416"/>
        <item m="1" x="2759"/>
        <item m="1" x="2867"/>
        <item m="1" x="506"/>
        <item m="1" x="2763"/>
        <item m="1" x="234"/>
        <item m="1" x="2442"/>
        <item m="1" x="728"/>
        <item m="1" x="2376"/>
        <item m="1" x="389"/>
        <item m="1" x="2285"/>
        <item m="1" x="757"/>
        <item m="1" x="2377"/>
        <item x="25"/>
        <item m="1" x="2536"/>
        <item m="1" x="2537"/>
        <item m="1" x="989"/>
        <item m="1" x="993"/>
        <item m="1" x="2529"/>
        <item m="1" x="2532"/>
        <item m="1" x="2542"/>
        <item m="1" x="2544"/>
        <item m="1" x="2291"/>
        <item m="1" x="442"/>
        <item m="1" x="2319"/>
        <item m="1" x="458"/>
        <item m="1" x="2351"/>
        <item m="1" x="2166"/>
        <item m="1" x="2289"/>
        <item m="1" x="2404"/>
        <item m="1" x="235"/>
        <item m="1" x="633"/>
        <item m="1" x="886"/>
        <item m="1" x="2282"/>
        <item m="1" x="236"/>
        <item m="1" x="2219"/>
        <item m="1" x="2323"/>
        <item m="1" x="2169"/>
        <item m="1" x="2092"/>
        <item m="1" x="2882"/>
        <item m="1" x="3159"/>
        <item x="26"/>
        <item m="1" x="449"/>
        <item m="1" x="2165"/>
        <item m="1" x="3128"/>
        <item m="1" x="2900"/>
        <item m="1" x="3157"/>
        <item m="1" x="710"/>
        <item m="1" x="2099"/>
        <item x="27"/>
        <item m="1" x="2495"/>
        <item m="1" x="911"/>
        <item m="1" x="2496"/>
        <item m="1" x="2502"/>
        <item m="1" x="2891"/>
        <item m="1" x="651"/>
        <item m="1" x="3134"/>
        <item m="1" x="2744"/>
        <item x="28"/>
        <item m="1" x="2290"/>
        <item m="1" x="759"/>
        <item m="1" x="2723"/>
        <item x="29"/>
        <item m="1" x="2090"/>
        <item m="1" x="912"/>
        <item m="1" x="2503"/>
        <item m="1" x="2713"/>
        <item m="1" x="2280"/>
        <item m="1" x="3138"/>
        <item m="1" x="394"/>
        <item m="1" x="2221"/>
        <item m="1" x="237"/>
        <item m="1" x="683"/>
        <item m="1" x="760"/>
        <item m="1" x="2552"/>
        <item m="1" x="428"/>
        <item m="1" x="2473"/>
        <item m="1" x="228"/>
        <item m="1" x="238"/>
        <item x="30"/>
        <item x="31"/>
        <item m="1" x="2440"/>
        <item m="1" x="940"/>
        <item m="1" x="925"/>
        <item m="1" x="2513"/>
        <item m="1" x="2853"/>
        <item m="1" x="2493"/>
        <item m="1" x="2163"/>
        <item m="1" x="2237"/>
        <item x="32"/>
        <item m="1" x="3155"/>
        <item x="33"/>
        <item m="1" x="2433"/>
        <item m="1" x="2727"/>
        <item m="1" x="869"/>
        <item m="1" x="2157"/>
        <item m="1" x="2559"/>
        <item m="1" x="708"/>
        <item m="1" x="983"/>
        <item m="1" x="2562"/>
        <item m="1" x="2564"/>
        <item m="1" x="2565"/>
        <item m="1" x="2567"/>
        <item m="1" x="998"/>
        <item m="1" x="2711"/>
        <item m="1" x="2736"/>
        <item m="1" x="2788"/>
        <item m="1" x="2489"/>
        <item m="1" x="667"/>
        <item m="1" x="2113"/>
        <item m="1" x="979"/>
        <item m="1" x="2283"/>
        <item m="1" x="2352"/>
        <item m="1" x="2367"/>
        <item m="1" x="2112"/>
        <item m="1" x="2364"/>
        <item m="1" x="2335"/>
        <item m="1" x="2233"/>
        <item m="1" x="239"/>
        <item m="1" x="2140"/>
        <item m="1" x="1000"/>
        <item m="1" x="1003"/>
        <item m="1" x="1006"/>
        <item m="1" x="1009"/>
        <item m="1" x="711"/>
        <item m="1" x="955"/>
        <item m="1" x="762"/>
        <item m="1" x="918"/>
        <item m="1" x="2508"/>
        <item m="1" x="2123"/>
        <item x="12"/>
        <item m="1" x="922"/>
        <item m="1" x="967"/>
        <item m="1" x="2469"/>
        <item m="1" x="2888"/>
        <item m="1" x="2907"/>
        <item m="1" x="3164"/>
        <item m="1" x="240"/>
        <item m="1" x="2094"/>
        <item m="1" x="672"/>
        <item m="1" x="2368"/>
        <item m="1" x="241"/>
        <item m="1" x="747"/>
        <item m="1" x="2379"/>
        <item m="1" x="660"/>
        <item m="1" x="2484"/>
        <item m="1" x="914"/>
        <item m="1" x="2866"/>
        <item m="1" x="3136"/>
        <item m="1" x="999"/>
        <item m="1" x="1016"/>
        <item m="1" x="2161"/>
        <item x="34"/>
        <item m="1" x="244"/>
        <item x="35"/>
        <item m="1" x="2405"/>
        <item m="1" x="2554"/>
        <item m="1" x="360"/>
        <item m="1" x="2196"/>
        <item m="1" x="2172"/>
        <item m="1" x="2774"/>
        <item x="37"/>
        <item m="1" x="883"/>
        <item m="1" x="2478"/>
        <item m="1" x="2843"/>
        <item m="1" x="2560"/>
        <item m="1" x="2116"/>
        <item m="1" x="2716"/>
        <item m="1" x="969"/>
        <item m="1" x="2504"/>
        <item m="1" x="2141"/>
        <item m="1" x="469"/>
        <item m="1" x="2732"/>
        <item m="1" x="2779"/>
        <item m="1" x="2170"/>
        <item m="1" x="245"/>
        <item m="1" x="2724"/>
        <item m="1" x="647"/>
        <item m="1" x="2550"/>
        <item m="1" x="1008"/>
        <item m="1" x="1002"/>
        <item m="1" x="2264"/>
        <item m="1" x="2416"/>
        <item m="1" x="2313"/>
        <item m="1" x="2348"/>
        <item x="38"/>
        <item m="1" x="2874"/>
        <item m="1" x="3147"/>
        <item m="1" x="2231"/>
        <item m="1" x="881"/>
        <item x="39"/>
        <item m="1" x="2254"/>
        <item m="1" x="632"/>
        <item m="1" x="642"/>
        <item m="1" x="2325"/>
        <item m="1" x="2346"/>
        <item m="1" x="246"/>
        <item x="40"/>
        <item m="1" x="938"/>
        <item m="1" x="916"/>
        <item m="1" x="975"/>
        <item m="1" x="2460"/>
        <item x="41"/>
        <item x="42"/>
        <item m="1" x="2746"/>
        <item m="1" x="2762"/>
        <item m="1" x="2255"/>
        <item m="1" x="2201"/>
        <item m="1" x="2164"/>
        <item m="1" x="3137"/>
        <item m="1" x="686"/>
        <item m="1" x="958"/>
        <item m="1" x="448"/>
        <item m="1" x="2332"/>
        <item m="1" x="2250"/>
        <item x="43"/>
        <item m="1" x="2288"/>
        <item m="1" x="976"/>
        <item m="1" x="926"/>
        <item m="1" x="655"/>
        <item m="1" x="2104"/>
        <item m="1" x="2122"/>
        <item m="1" x="2124"/>
        <item m="1" x="731"/>
        <item x="44"/>
        <item x="45"/>
        <item x="46"/>
        <item x="47"/>
        <item m="1" x="2203"/>
        <item x="48"/>
        <item m="1" x="2781"/>
        <item m="1" x="673"/>
        <item m="1" x="730"/>
        <item x="49"/>
        <item m="1" x="1005"/>
        <item m="1" x="1014"/>
        <item m="1" x="2786"/>
        <item m="1" x="950"/>
        <item m="1" x="2487"/>
        <item m="1" x="2093"/>
        <item m="1" x="2865"/>
        <item m="1" x="758"/>
        <item m="1" x="987"/>
        <item m="1" x="2761"/>
        <item m="1" x="252"/>
        <item m="1" x="253"/>
        <item m="1" x="254"/>
        <item m="1" x="2295"/>
        <item m="1" x="2780"/>
        <item m="1" x="2753"/>
        <item m="1" x="748"/>
        <item m="1" x="3115"/>
        <item m="1" x="2539"/>
        <item m="1" x="2253"/>
        <item m="1" x="3169"/>
        <item m="1" x="2101"/>
        <item m="1" x="2271"/>
        <item m="1" x="2232"/>
        <item m="1" x="255"/>
        <item m="1" x="2303"/>
        <item m="1" x="256"/>
        <item m="1" x="2863"/>
        <item m="1" x="250"/>
        <item m="1" x="251"/>
        <item m="1" x="248"/>
        <item m="1" x="2734"/>
        <item x="50"/>
        <item m="1" x="257"/>
        <item m="1" x="2326"/>
        <item m="1" x="2262"/>
        <item m="1" x="2901"/>
        <item m="1" x="2409"/>
        <item m="1" x="2566"/>
        <item m="1" x="2710"/>
        <item m="1" x="2251"/>
        <item m="1" x="258"/>
        <item m="1" x="259"/>
        <item m="1" x="260"/>
        <item m="1" x="261"/>
        <item m="1" x="262"/>
        <item m="1" x="263"/>
        <item m="1" x="264"/>
        <item m="1" x="265"/>
        <item m="1" x="985"/>
        <item m="1" x="444"/>
        <item m="1" x="2198"/>
        <item m="1" x="2360"/>
        <item m="1" x="693"/>
        <item m="1" x="2434"/>
        <item m="1" x="678"/>
        <item m="1" x="468"/>
        <item m="1" x="2125"/>
        <item m="1" x="769"/>
        <item m="1" x="2369"/>
        <item m="1" x="879"/>
        <item m="1" x="2423"/>
        <item m="1" x="973"/>
        <item m="1" x="669"/>
        <item x="51"/>
        <item m="1" x="2383"/>
        <item m="1" x="682"/>
        <item x="52"/>
        <item x="53"/>
        <item m="1" x="2197"/>
        <item m="1" x="2222"/>
        <item x="54"/>
        <item m="1" x="643"/>
        <item m="1" x="269"/>
        <item m="1" x="270"/>
        <item m="1" x="271"/>
        <item m="1" x="273"/>
        <item m="1" x="2281"/>
        <item m="1" x="274"/>
        <item m="1" x="275"/>
        <item m="1" x="2356"/>
        <item m="1" x="2257"/>
        <item m="1" x="2269"/>
        <item m="1" x="2384"/>
        <item x="55"/>
        <item x="56"/>
        <item x="57"/>
        <item x="58"/>
        <item x="59"/>
        <item x="60"/>
        <item x="61"/>
        <item m="1" x="2500"/>
        <item m="1" x="764"/>
        <item m="1" x="2381"/>
        <item m="1" x="934"/>
        <item m="1" x="391"/>
        <item x="62"/>
        <item x="63"/>
        <item x="64"/>
        <item x="65"/>
        <item m="1" x="2109"/>
        <item m="1" x="2387"/>
        <item m="1" x="2553"/>
        <item m="1" x="276"/>
        <item m="1" x="277"/>
        <item m="1" x="278"/>
        <item m="1" x="2100"/>
        <item m="1" x="397"/>
        <item m="1" x="2131"/>
        <item m="1" x="2138"/>
        <item m="1" x="2743"/>
        <item x="66"/>
        <item x="67"/>
        <item m="1" x="2417"/>
        <item m="1" x="2731"/>
        <item m="1" x="2511"/>
        <item m="1" x="2551"/>
        <item m="1" x="535"/>
        <item m="1" x="596"/>
        <item m="1" x="2561"/>
        <item x="68"/>
        <item x="69"/>
        <item m="1" x="920"/>
        <item m="1" x="725"/>
        <item x="70"/>
        <item x="71"/>
        <item x="72"/>
        <item x="73"/>
        <item m="1" x="2488"/>
        <item x="74"/>
        <item x="75"/>
        <item x="76"/>
        <item x="77"/>
        <item x="78"/>
        <item m="1" x="2875"/>
        <item m="1" x="690"/>
        <item m="1" x="2149"/>
        <item m="1" x="933"/>
        <item m="1" x="227"/>
        <item x="79"/>
        <item m="1" x="2740"/>
        <item m="1" x="2082"/>
        <item m="1" x="2548"/>
        <item m="1" x="281"/>
        <item m="1" x="282"/>
        <item x="80"/>
        <item m="1" x="2105"/>
        <item m="1" x="2145"/>
        <item m="1" x="2314"/>
        <item m="1" x="283"/>
        <item m="1" x="2796"/>
        <item m="1" x="2107"/>
        <item m="1" x="284"/>
        <item m="1" x="2758"/>
        <item m="1" x="361"/>
        <item m="1" x="2738"/>
        <item m="1" x="908"/>
        <item m="1" x="285"/>
        <item m="1" x="286"/>
        <item m="1" x="287"/>
        <item m="1" x="288"/>
        <item x="81"/>
        <item m="1" x="289"/>
        <item m="1" x="290"/>
        <item x="82"/>
        <item x="83"/>
        <item x="84"/>
        <item x="85"/>
        <item m="1" x="2482"/>
        <item m="1" x="2486"/>
        <item m="1" x="1010"/>
        <item m="1" x="2748"/>
        <item m="1" x="3167"/>
        <item m="1" x="2294"/>
        <item x="86"/>
        <item x="87"/>
        <item x="88"/>
        <item x="89"/>
        <item x="90"/>
        <item m="1" x="598"/>
        <item x="91"/>
        <item x="92"/>
        <item x="93"/>
        <item x="94"/>
        <item x="95"/>
        <item m="1" x="2910"/>
        <item m="1" x="670"/>
        <item m="1" x="291"/>
        <item m="1" x="292"/>
        <item m="1" x="293"/>
        <item m="1" x="294"/>
        <item m="1" x="280"/>
        <item m="1" x="995"/>
        <item m="1" x="2408"/>
        <item x="13"/>
        <item x="96"/>
        <item m="1" x="2096"/>
        <item m="1" x="996"/>
        <item m="1" x="2414"/>
        <item m="1" x="2543"/>
        <item m="1" x="2523"/>
        <item m="1" x="959"/>
        <item m="1" x="295"/>
        <item m="1" x="296"/>
        <item m="1" x="297"/>
        <item m="1" x="298"/>
        <item m="1" x="299"/>
        <item m="1" x="300"/>
        <item m="1" x="301"/>
        <item x="36"/>
        <item x="97"/>
        <item x="98"/>
        <item x="99"/>
        <item m="1" x="644"/>
        <item x="100"/>
        <item x="101"/>
        <item m="1" x="2522"/>
        <item m="1" x="2454"/>
        <item m="1" x="2146"/>
        <item m="1" x="2132"/>
        <item x="102"/>
        <item m="1" x="2480"/>
        <item x="103"/>
        <item m="1" x="302"/>
        <item m="1" x="303"/>
        <item m="1" x="2374"/>
        <item m="1" x="501"/>
        <item x="104"/>
        <item m="1" x="754"/>
        <item m="1" x="304"/>
        <item x="105"/>
        <item m="1" x="305"/>
        <item x="106"/>
        <item x="107"/>
        <item x="108"/>
        <item m="1" x="2117"/>
        <item x="109"/>
        <item x="110"/>
        <item x="111"/>
        <item x="112"/>
        <item x="113"/>
        <item x="114"/>
        <item m="1" x="2782"/>
        <item m="1" x="2468"/>
        <item x="115"/>
        <item m="1" x="2118"/>
        <item m="1" x="307"/>
        <item m="1" x="308"/>
        <item m="1" x="369"/>
        <item m="1" x="306"/>
        <item m="1" x="2342"/>
        <item m="1" x="388"/>
        <item m="1" x="309"/>
        <item m="1" x="310"/>
        <item m="1" x="3168"/>
        <item m="1" x="2884"/>
        <item x="116"/>
        <item x="117"/>
        <item x="118"/>
        <item m="1" x="2284"/>
        <item m="1" x="2555"/>
        <item m="1" x="2298"/>
        <item m="1" x="2747"/>
        <item m="1" x="311"/>
        <item m="1" x="3156"/>
        <item m="1" x="312"/>
        <item m="1" x="313"/>
        <item m="1" x="314"/>
        <item m="1" x="2252"/>
        <item m="1" x="2226"/>
        <item m="1" x="495"/>
        <item m="1" x="2885"/>
        <item m="1" x="2322"/>
        <item x="119"/>
        <item m="1" x="2461"/>
        <item m="1" x="2382"/>
        <item m="1" x="2418"/>
        <item m="1" x="2330"/>
        <item x="120"/>
        <item m="1" x="2742"/>
        <item x="121"/>
        <item m="1" x="1007"/>
        <item m="1" x="315"/>
        <item m="1" x="316"/>
        <item m="1" x="2150"/>
        <item m="1" x="2230"/>
        <item m="1" x="2870"/>
        <item m="1" x="317"/>
        <item m="1" x="2229"/>
        <item m="1" x="459"/>
        <item m="1" x="608"/>
        <item m="1" x="2301"/>
        <item m="1" x="2413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m="1" x="318"/>
        <item x="134"/>
        <item x="135"/>
        <item x="136"/>
        <item x="137"/>
        <item x="138"/>
        <item m="1" x="319"/>
        <item m="1" x="320"/>
        <item m="1" x="2228"/>
        <item m="1" x="2083"/>
        <item x="139"/>
        <item x="140"/>
        <item x="141"/>
        <item x="142"/>
        <item m="1" x="2538"/>
        <item m="1" x="991"/>
        <item m="1" x="2872"/>
        <item x="143"/>
        <item x="144"/>
        <item m="1" x="321"/>
        <item m="1" x="322"/>
        <item m="1" x="323"/>
        <item m="1" x="324"/>
        <item m="1" x="325"/>
        <item x="145"/>
        <item x="146"/>
        <item x="147"/>
        <item x="148"/>
        <item x="149"/>
        <item x="150"/>
        <item x="151"/>
        <item m="1" x="327"/>
        <item x="152"/>
        <item x="153"/>
        <item m="1" x="3130"/>
        <item m="1" x="429"/>
        <item m="1" x="328"/>
        <item m="1" x="329"/>
        <item m="1" x="330"/>
        <item m="1" x="326"/>
        <item m="1" x="2371"/>
        <item m="1" x="745"/>
        <item x="154"/>
        <item x="155"/>
        <item x="156"/>
        <item x="157"/>
        <item m="1" x="2749"/>
        <item m="1" x="662"/>
        <item m="1" x="719"/>
        <item m="1" x="847"/>
        <item m="1" x="2188"/>
        <item x="158"/>
        <item x="159"/>
        <item x="160"/>
        <item x="161"/>
        <item x="162"/>
        <item m="1" x="331"/>
        <item m="1" x="332"/>
        <item m="1" x="333"/>
        <item m="1" x="334"/>
        <item x="163"/>
        <item x="164"/>
        <item x="165"/>
        <item m="1" x="2139"/>
        <item x="166"/>
        <item x="167"/>
        <item x="168"/>
        <item x="169"/>
        <item x="170"/>
        <item x="171"/>
        <item m="1" x="767"/>
        <item m="1" x="2103"/>
        <item m="1" x="2714"/>
        <item m="1" x="335"/>
        <item m="1" x="336"/>
        <item m="1" x="337"/>
        <item m="1" x="880"/>
        <item m="1" x="988"/>
        <item m="1" x="2119"/>
        <item m="1" x="2535"/>
        <item m="1" x="2741"/>
        <item m="1" x="2249"/>
        <item m="1" x="226"/>
        <item m="1" x="504"/>
        <item x="172"/>
        <item x="173"/>
        <item x="174"/>
        <item m="1" x="2547"/>
        <item x="175"/>
        <item m="1" x="338"/>
        <item m="1" x="339"/>
        <item m="1" x="2155"/>
        <item m="1" x="3171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m="1" x="2115"/>
        <item x="191"/>
        <item x="192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m="1" x="350"/>
        <item x="207"/>
        <item x="208"/>
        <item x="209"/>
        <item x="210"/>
        <item x="211"/>
        <item x="212"/>
        <item m="1" x="351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 defaultSubtotal="0">
      <items count="173">
        <item m="1" x="135"/>
        <item m="1" x="114"/>
        <item m="1" x="116"/>
        <item m="1" x="147"/>
        <item m="1" x="91"/>
        <item m="1" x="121"/>
        <item m="1" x="112"/>
        <item m="1" x="124"/>
        <item m="1" x="101"/>
        <item m="1" x="165"/>
        <item m="1" x="151"/>
        <item m="1" x="102"/>
        <item m="1" x="105"/>
        <item m="1" x="133"/>
        <item m="1" x="144"/>
        <item m="1" x="157"/>
        <item m="1" x="95"/>
        <item m="1" x="162"/>
        <item m="1" x="96"/>
        <item m="1" x="128"/>
        <item m="1" x="125"/>
        <item m="1" x="146"/>
        <item m="1" x="129"/>
        <item m="1" x="126"/>
        <item m="1" x="97"/>
        <item m="1" x="120"/>
        <item m="1" x="155"/>
        <item m="1" x="107"/>
        <item m="1" x="92"/>
        <item m="1" x="160"/>
        <item m="1" x="117"/>
        <item m="1" x="156"/>
        <item m="1" x="148"/>
        <item m="1" x="143"/>
        <item m="1" x="140"/>
        <item x="3"/>
        <item m="1" x="168"/>
        <item m="1" x="161"/>
        <item x="40"/>
        <item x="5"/>
        <item x="20"/>
        <item x="6"/>
        <item x="42"/>
        <item x="13"/>
        <item m="1" x="99"/>
        <item x="0"/>
        <item m="1" x="153"/>
        <item m="1" x="119"/>
        <item m="1" x="111"/>
        <item m="1" x="137"/>
        <item x="43"/>
        <item x="15"/>
        <item x="35"/>
        <item x="17"/>
        <item x="24"/>
        <item x="44"/>
        <item x="46"/>
        <item x="47"/>
        <item m="1" x="130"/>
        <item x="14"/>
        <item x="48"/>
        <item x="52"/>
        <item x="53"/>
        <item x="4"/>
        <item x="36"/>
        <item x="55"/>
        <item x="2"/>
        <item x="57"/>
        <item x="19"/>
        <item x="58"/>
        <item m="1" x="103"/>
        <item m="1" x="150"/>
        <item x="60"/>
        <item m="1" x="136"/>
        <item x="61"/>
        <item x="62"/>
        <item m="1" x="159"/>
        <item x="38"/>
        <item x="34"/>
        <item x="63"/>
        <item x="64"/>
        <item x="66"/>
        <item x="67"/>
        <item x="68"/>
        <item x="30"/>
        <item x="69"/>
        <item m="1" x="106"/>
        <item x="9"/>
        <item x="71"/>
        <item m="1" x="110"/>
        <item x="73"/>
        <item x="8"/>
        <item x="75"/>
        <item m="1" x="127"/>
        <item x="21"/>
        <item m="1" x="167"/>
        <item m="1" x="142"/>
        <item m="1" x="109"/>
        <item x="10"/>
        <item x="11"/>
        <item m="1" x="169"/>
        <item x="77"/>
        <item m="1" x="90"/>
        <item x="37"/>
        <item m="1" x="104"/>
        <item m="1" x="139"/>
        <item x="1"/>
        <item x="16"/>
        <item x="78"/>
        <item x="79"/>
        <item m="1" x="138"/>
        <item x="12"/>
        <item m="1" x="94"/>
        <item m="1" x="149"/>
        <item x="80"/>
        <item x="81"/>
        <item x="22"/>
        <item x="82"/>
        <item x="33"/>
        <item x="18"/>
        <item m="1" x="132"/>
        <item m="1" x="170"/>
        <item m="1" x="172"/>
        <item x="25"/>
        <item m="1" x="123"/>
        <item x="84"/>
        <item x="29"/>
        <item m="1" x="166"/>
        <item x="7"/>
        <item x="85"/>
        <item m="1" x="131"/>
        <item x="28"/>
        <item m="1" x="154"/>
        <item x="86"/>
        <item x="23"/>
        <item m="1" x="122"/>
        <item m="1" x="145"/>
        <item m="1" x="93"/>
        <item m="1" x="158"/>
        <item m="1" x="134"/>
        <item x="41"/>
        <item m="1" x="163"/>
        <item x="45"/>
        <item x="51"/>
        <item x="56"/>
        <item m="1" x="98"/>
        <item x="59"/>
        <item m="1" x="89"/>
        <item x="76"/>
        <item x="87"/>
        <item m="1" x="113"/>
        <item x="65"/>
        <item m="1" x="108"/>
        <item x="70"/>
        <item m="1" x="100"/>
        <item m="1" x="152"/>
        <item x="50"/>
        <item x="39"/>
        <item m="1" x="118"/>
        <item x="72"/>
        <item x="49"/>
        <item x="74"/>
        <item m="1" x="141"/>
        <item m="1" x="115"/>
        <item x="27"/>
        <item x="26"/>
        <item x="54"/>
        <item m="1" x="88"/>
        <item m="1" x="171"/>
        <item x="31"/>
        <item x="83"/>
        <item x="32"/>
        <item m="1" x="16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>
      <items count="23">
        <item sd="0" m="1" x="13"/>
        <item sd="0" m="1" x="17"/>
        <item sd="0" m="1" x="18"/>
        <item sd="0" m="1" x="15"/>
        <item sd="0" m="1" x="19"/>
        <item sd="0" m="1" x="20"/>
        <item sd="0" x="6"/>
        <item sd="0" x="9"/>
        <item sd="0" m="1" x="14"/>
        <item sd="0" x="7"/>
        <item sd="0" x="5"/>
        <item sd="0" x="4"/>
        <item sd="0" x="0"/>
        <item sd="0" x="1"/>
        <item sd="0" x="8"/>
        <item sd="0" x="10"/>
        <item sd="0" x="3"/>
        <item sd="0" x="2"/>
        <item sd="0" m="1" x="16"/>
        <item sd="0" x="12"/>
        <item x="11"/>
        <item m="1" x="21"/>
        <item t="default" sd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3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12"/>
    <field x="9"/>
    <field x="11"/>
  </rowFields>
  <rowItems count="154">
    <i>
      <x v="35"/>
      <x v="5"/>
    </i>
    <i>
      <x v="38"/>
      <x/>
    </i>
    <i>
      <x v="39"/>
      <x v="18"/>
    </i>
    <i>
      <x v="40"/>
      <x/>
    </i>
    <i r="1">
      <x v="5"/>
    </i>
    <i>
      <x v="41"/>
      <x/>
    </i>
    <i r="1">
      <x v="6"/>
    </i>
    <i>
      <x v="42"/>
      <x/>
    </i>
    <i r="1">
      <x v="1"/>
    </i>
    <i r="1">
      <x v="5"/>
    </i>
    <i>
      <x v="43"/>
      <x/>
    </i>
    <i r="1">
      <x v="2"/>
    </i>
    <i r="1">
      <x v="5"/>
    </i>
    <i r="1">
      <x v="20"/>
    </i>
    <i>
      <x v="45"/>
      <x v="18"/>
    </i>
    <i>
      <x v="50"/>
      <x/>
    </i>
    <i r="1">
      <x v="1"/>
    </i>
    <i r="1">
      <x v="2"/>
    </i>
    <i r="1">
      <x v="5"/>
    </i>
    <i>
      <x v="51"/>
      <x/>
    </i>
    <i r="1">
      <x v="1"/>
    </i>
    <i r="1">
      <x v="2"/>
    </i>
    <i r="1">
      <x v="5"/>
    </i>
    <i r="1">
      <x v="6"/>
    </i>
    <i>
      <x v="52"/>
      <x/>
    </i>
    <i r="1">
      <x v="1"/>
    </i>
    <i r="1">
      <x v="6"/>
    </i>
    <i>
      <x v="53"/>
      <x/>
    </i>
    <i>
      <x v="54"/>
      <x/>
    </i>
    <i r="1">
      <x v="1"/>
    </i>
    <i>
      <x v="55"/>
      <x v="5"/>
    </i>
    <i>
      <x v="56"/>
      <x/>
    </i>
    <i>
      <x v="57"/>
      <x/>
    </i>
    <i>
      <x v="59"/>
      <x/>
    </i>
    <i r="1">
      <x v="1"/>
    </i>
    <i r="1">
      <x v="5"/>
    </i>
    <i>
      <x v="60"/>
      <x v="1"/>
    </i>
    <i>
      <x v="61"/>
      <x/>
    </i>
    <i>
      <x v="62"/>
      <x/>
    </i>
    <i>
      <x v="63"/>
      <x/>
    </i>
    <i r="1">
      <x v="1"/>
    </i>
    <i>
      <x v="64"/>
      <x/>
    </i>
    <i r="1">
      <x v="5"/>
    </i>
    <i>
      <x v="65"/>
      <x/>
    </i>
    <i>
      <x v="66"/>
      <x v="6"/>
    </i>
    <i>
      <x v="67"/>
      <x/>
    </i>
    <i>
      <x v="68"/>
      <x/>
    </i>
    <i r="1">
      <x v="1"/>
    </i>
    <i>
      <x v="69"/>
      <x/>
    </i>
    <i>
      <x v="72"/>
      <x/>
    </i>
    <i>
      <x v="74"/>
      <x v="5"/>
    </i>
    <i>
      <x v="75"/>
      <x/>
    </i>
    <i r="1">
      <x v="5"/>
    </i>
    <i>
      <x v="77"/>
      <x v="6"/>
    </i>
    <i>
      <x v="78"/>
      <x/>
    </i>
    <i r="1">
      <x v="1"/>
    </i>
    <i>
      <x v="79"/>
      <x/>
    </i>
    <i r="1">
      <x v="5"/>
    </i>
    <i r="1">
      <x v="6"/>
    </i>
    <i>
      <x v="80"/>
      <x/>
    </i>
    <i>
      <x v="81"/>
      <x/>
    </i>
    <i r="1">
      <x v="5"/>
    </i>
    <i>
      <x v="82"/>
      <x/>
    </i>
    <i>
      <x v="83"/>
      <x/>
    </i>
    <i>
      <x v="84"/>
      <x/>
    </i>
    <i>
      <x v="85"/>
      <x v="1"/>
    </i>
    <i>
      <x v="87"/>
      <x/>
    </i>
    <i>
      <x v="88"/>
      <x/>
    </i>
    <i>
      <x v="90"/>
      <x/>
    </i>
    <i r="1">
      <x v="1"/>
    </i>
    <i r="1">
      <x v="5"/>
    </i>
    <i r="1">
      <x v="6"/>
    </i>
    <i>
      <x v="91"/>
      <x/>
    </i>
    <i>
      <x v="92"/>
      <x/>
    </i>
    <i>
      <x v="94"/>
      <x/>
    </i>
    <i r="1">
      <x v="1"/>
    </i>
    <i r="1">
      <x v="5"/>
    </i>
    <i r="1">
      <x v="6"/>
    </i>
    <i>
      <x v="98"/>
      <x/>
    </i>
    <i r="1">
      <x v="1"/>
    </i>
    <i r="1">
      <x v="5"/>
    </i>
    <i r="1">
      <x v="6"/>
    </i>
    <i>
      <x v="99"/>
      <x v="5"/>
    </i>
    <i>
      <x v="101"/>
      <x v="5"/>
    </i>
    <i>
      <x v="103"/>
      <x v="1"/>
    </i>
    <i>
      <x v="106"/>
      <x/>
    </i>
    <i>
      <x v="107"/>
      <x/>
    </i>
    <i r="1">
      <x v="1"/>
    </i>
    <i r="1">
      <x v="5"/>
    </i>
    <i r="1">
      <x v="6"/>
    </i>
    <i>
      <x v="108"/>
      <x v="1"/>
    </i>
    <i>
      <x v="109"/>
      <x v="1"/>
    </i>
    <i r="1">
      <x v="5"/>
    </i>
    <i>
      <x v="111"/>
      <x v="6"/>
    </i>
    <i>
      <x v="114"/>
      <x/>
    </i>
    <i r="1">
      <x v="1"/>
    </i>
    <i r="1">
      <x v="6"/>
    </i>
    <i>
      <x v="115"/>
      <x/>
    </i>
    <i>
      <x v="116"/>
      <x/>
    </i>
    <i r="1">
      <x v="1"/>
    </i>
    <i r="1">
      <x v="5"/>
    </i>
    <i r="1">
      <x v="6"/>
    </i>
    <i>
      <x v="117"/>
      <x v="1"/>
    </i>
    <i r="1">
      <x v="6"/>
    </i>
    <i>
      <x v="118"/>
      <x/>
    </i>
    <i r="1">
      <x v="1"/>
    </i>
    <i r="1">
      <x v="5"/>
    </i>
    <i r="1">
      <x v="6"/>
    </i>
    <i>
      <x v="119"/>
      <x/>
    </i>
    <i r="1">
      <x v="1"/>
    </i>
    <i r="1">
      <x v="5"/>
    </i>
    <i r="1">
      <x v="6"/>
    </i>
    <i>
      <x v="123"/>
      <x/>
    </i>
    <i r="1">
      <x v="1"/>
    </i>
    <i>
      <x v="125"/>
      <x/>
    </i>
    <i r="1">
      <x v="1"/>
    </i>
    <i>
      <x v="126"/>
      <x v="1"/>
    </i>
    <i r="1">
      <x v="6"/>
    </i>
    <i>
      <x v="128"/>
      <x v="6"/>
    </i>
    <i>
      <x v="129"/>
      <x/>
    </i>
    <i r="1">
      <x v="1"/>
    </i>
    <i r="1">
      <x v="5"/>
    </i>
    <i>
      <x v="131"/>
      <x/>
    </i>
    <i r="1">
      <x v="1"/>
    </i>
    <i r="1">
      <x v="5"/>
    </i>
    <i>
      <x v="133"/>
      <x v="6"/>
    </i>
    <i>
      <x v="134"/>
      <x/>
    </i>
    <i>
      <x v="140"/>
      <x/>
    </i>
    <i>
      <x v="142"/>
      <x v="1"/>
    </i>
    <i r="1">
      <x v="6"/>
    </i>
    <i>
      <x v="143"/>
      <x v="6"/>
    </i>
    <i>
      <x v="144"/>
      <x v="1"/>
    </i>
    <i>
      <x v="146"/>
      <x v="1"/>
    </i>
    <i r="1">
      <x v="5"/>
    </i>
    <i>
      <x v="148"/>
      <x v="6"/>
    </i>
    <i>
      <x v="151"/>
      <x/>
    </i>
    <i r="1">
      <x v="1"/>
    </i>
    <i>
      <x v="153"/>
      <x v="1"/>
    </i>
    <i>
      <x v="156"/>
      <x v="5"/>
    </i>
    <i>
      <x v="157"/>
      <x/>
    </i>
    <i r="1">
      <x v="1"/>
    </i>
    <i r="1">
      <x v="6"/>
    </i>
    <i>
      <x v="159"/>
      <x v="5"/>
    </i>
    <i>
      <x v="160"/>
      <x/>
    </i>
    <i>
      <x v="161"/>
      <x/>
    </i>
    <i r="1">
      <x v="5"/>
    </i>
    <i>
      <x v="164"/>
      <x/>
    </i>
    <i>
      <x v="165"/>
      <x/>
    </i>
    <i r="1">
      <x v="1"/>
    </i>
    <i>
      <x v="166"/>
      <x/>
    </i>
    <i>
      <x v="169"/>
      <x v="2"/>
    </i>
    <i>
      <x v="170"/>
      <x/>
    </i>
    <i r="1">
      <x v="2"/>
    </i>
    <i>
      <x v="171"/>
      <x v="6"/>
    </i>
  </rowItems>
  <colItems count="1">
    <i/>
  </colItems>
  <pageFields count="4">
    <pageField fld="14" hier="-1"/>
    <pageField fld="6" hier="-1"/>
    <pageField fld="7" hier="-1"/>
    <pageField fld="0" hier="-1"/>
  </pageFields>
  <dataFields count="1">
    <dataField name="Sum of Итого" fld="23" baseField="0" baseItem="0"/>
  </dataFields>
  <formats count="11">
    <format dxfId="251">
      <pivotArea outline="0" collapsedLevelsAreSubtotals="1" fieldPosition="0"/>
    </format>
    <format dxfId="250">
      <pivotArea dataOnly="0" labelOnly="1" outline="0" axis="axisValues" fieldPosition="0"/>
    </format>
    <format dxfId="249">
      <pivotArea field="12" type="button" dataOnly="0" labelOnly="1" outline="0" axis="axisRow" fieldPosition="0"/>
    </format>
    <format dxfId="248">
      <pivotArea dataOnly="0" labelOnly="1" grandCol="1" outline="0" fieldPosition="0"/>
    </format>
    <format dxfId="247">
      <pivotArea type="origin" dataOnly="0" labelOnly="1" outline="0" fieldPosition="0"/>
    </format>
    <format dxfId="246">
      <pivotArea type="topRight" dataOnly="0" labelOnly="1" outline="0" fieldPosition="0"/>
    </format>
    <format dxfId="245">
      <pivotArea field="12" type="button" dataOnly="0" labelOnly="1" outline="0" axis="axisRow" fieldPosition="0"/>
    </format>
    <format dxfId="244">
      <pivotArea field="9" type="button" dataOnly="0" labelOnly="1" outline="0" axis="axisRow" fieldPosition="1"/>
    </format>
    <format dxfId="243">
      <pivotArea field="11" type="button" dataOnly="0" labelOnly="1" outline="0" axis="axisRow" fieldPosition="2"/>
    </format>
    <format dxfId="242">
      <pivotArea dataOnly="0" labelOnly="1" outline="0" offset="A256" fieldPosition="0">
        <references count="2">
          <reference field="9" count="1">
            <x v="17"/>
          </reference>
          <reference field="12" count="1" selected="0">
            <x v="50"/>
          </reference>
        </references>
      </pivotArea>
    </format>
    <format dxfId="241">
      <pivotArea dataOnly="0" labelOnly="1" outline="0" offset="A256" fieldPosition="0">
        <references count="2">
          <reference field="9" count="1">
            <x v="0"/>
          </reference>
          <reference field="12" count="1" selected="0">
            <x v="98"/>
          </reference>
        </references>
      </pivotArea>
    </format>
  </formats>
  <pivotTableStyleInfo name="PivotStyleLight16" showRowHeaders="1" showColHeaders="1" showRowStripes="0" showColStripes="0" showLastColumn="1"/>
  <filters count="1">
    <filter fld="12" type="captionNotContains" evalOrder="-1" id="1" stringValue1="Orbico">
      <autoFilter ref="A1">
        <filterColumn colId="0">
          <customFilters>
            <customFilter operator="notEqual" val="*Orbico*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\" cacheId="40" applyNumberFormats="0" applyBorderFormats="0" applyFontFormats="0" applyPatternFormats="0" applyAlignmentFormats="0" applyWidthHeightFormats="1" dataCaption="Values" updatedVersion="5" minRefreshableVersion="3" useAutoFormatting="1" rowGrandTotals="0" itemPrintTitles="1" createdVersion="6" indent="0" compact="0" compactData="0" gridDropZones="1" multipleFieldFilters="0">
  <location ref="A7:C96" firstHeaderRow="2" firstDataRow="2" firstDataCol="2" rowPageCount="4" colPageCount="1"/>
  <pivotFields count="24">
    <pivotField axis="axisPage" compact="0" outline="0" multipleItemSelectionAllowed="1" showAll="0">
      <items count="21">
        <item sd="0" x="4"/>
        <item sd="0" m="1" x="11"/>
        <item sd="0" m="1" x="15"/>
        <item sd="0" m="1" x="19"/>
        <item sd="0" m="1" x="16"/>
        <item sd="0" m="1" x="7"/>
        <item sd="0" m="1" x="9"/>
        <item sd="0" m="1" x="14"/>
        <item sd="0" m="1" x="12"/>
        <item sd="0" m="1" x="6"/>
        <item h="1" sd="0" m="1" x="10"/>
        <item x="2"/>
        <item h="1" sd="0" m="1" x="17"/>
        <item x="0"/>
        <item x="3"/>
        <item sd="0" m="1" x="8"/>
        <item sd="0" x="1"/>
        <item m="1" x="13"/>
        <item m="1" x="18"/>
        <item x="5"/>
        <item t="default" sd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>
      <items count="11">
        <item x="7"/>
        <item x="6"/>
        <item x="4"/>
        <item x="3"/>
        <item x="2"/>
        <item x="5"/>
        <item x="1"/>
        <item m="1" x="9"/>
        <item x="8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>
      <items count="9">
        <item x="4"/>
        <item x="3"/>
        <item x="2"/>
        <item m="1" x="6"/>
        <item m="1" x="7"/>
        <item x="1"/>
        <item x="0"/>
        <item x="5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22">
        <item sd="0" x="1"/>
        <item sd="0" x="4"/>
        <item sd="0" x="5"/>
        <item sd="0" m="1" x="17"/>
        <item sd="0" m="1" x="11"/>
        <item sd="0" x="3"/>
        <item sd="0" x="2"/>
        <item sd="0" m="1" x="12"/>
        <item sd="0" m="1" x="8"/>
        <item sd="0" m="1" x="9"/>
        <item sd="0" m="1" x="16"/>
        <item sd="0" m="1" x="13"/>
        <item sd="0" m="1" x="10"/>
        <item sd="0" m="1" x="19"/>
        <item sd="0" m="1" x="15"/>
        <item sd="0" m="1" x="14"/>
        <item sd="0" m="1" x="18"/>
        <item sd="0" m="1" x="20"/>
        <item sd="0" x="0"/>
        <item x="7"/>
        <item x="6"/>
        <item t="default" sd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3176">
        <item x="2"/>
        <item m="1" x="2225"/>
        <item m="1" x="2362"/>
        <item m="1" x="376"/>
        <item m="1" x="2293"/>
        <item m="1" x="2328"/>
        <item m="1" x="2540"/>
        <item m="1" x="2541"/>
        <item m="1" x="707"/>
        <item m="1" x="862"/>
        <item m="1" x="927"/>
        <item m="1" x="2520"/>
        <item m="1" x="2120"/>
        <item m="1" x="2365"/>
        <item m="1" x="2366"/>
        <item m="1" x="2370"/>
        <item m="1" x="2372"/>
        <item m="1" x="700"/>
        <item m="1" x="702"/>
        <item m="1" x="712"/>
        <item m="1" x="715"/>
        <item m="1" x="2336"/>
        <item m="1" x="2339"/>
        <item m="1" x="2349"/>
        <item m="1" x="2353"/>
        <item m="1" x="2358"/>
        <item m="1" x="2375"/>
        <item m="1" x="701"/>
        <item m="1" x="703"/>
        <item m="1" x="704"/>
        <item m="1" x="705"/>
        <item m="1" x="709"/>
        <item m="1" x="713"/>
        <item m="1" x="716"/>
        <item m="1" x="721"/>
        <item m="1" x="724"/>
        <item m="1" x="727"/>
        <item m="1" x="2334"/>
        <item m="1" x="2337"/>
        <item m="1" x="2340"/>
        <item m="1" x="2344"/>
        <item m="1" x="2345"/>
        <item m="1" x="2347"/>
        <item m="1" x="2350"/>
        <item m="1" x="2354"/>
        <item m="1" x="2359"/>
        <item m="1" x="2361"/>
        <item m="1" x="681"/>
        <item m="1" x="684"/>
        <item m="1" x="685"/>
        <item m="1" x="687"/>
        <item m="1" x="2317"/>
        <item m="1" x="2318"/>
        <item m="1" x="2114"/>
        <item m="1" x="2338"/>
        <item m="1" x="2453"/>
        <item m="1" x="928"/>
        <item m="1" x="2563"/>
        <item m="1" x="2191"/>
        <item m="1" x="768"/>
        <item m="1" x="2080"/>
        <item m="1" x="2327"/>
        <item m="1" x="2142"/>
        <item m="1" x="2143"/>
        <item x="17"/>
        <item m="1" x="231"/>
        <item m="1" x="232"/>
        <item m="1" x="233"/>
        <item m="1" x="2406"/>
        <item m="1" x="2200"/>
        <item x="9"/>
        <item m="1" x="2871"/>
        <item m="1" x="2182"/>
        <item m="1" x="2869"/>
        <item m="1" x="242"/>
        <item m="1" x="243"/>
        <item x="11"/>
        <item m="1" x="247"/>
        <item m="1" x="249"/>
        <item m="1" x="266"/>
        <item m="1" x="267"/>
        <item m="1" x="268"/>
        <item m="1" x="272"/>
        <item x="15"/>
        <item m="1" x="279"/>
        <item m="1" x="2240"/>
        <item m="1" x="2388"/>
        <item x="7"/>
        <item m="1" x="2389"/>
        <item m="1" x="2390"/>
        <item x="0"/>
        <item x="3"/>
        <item m="1" x="2391"/>
        <item m="1" x="2392"/>
        <item m="1" x="2393"/>
        <item m="1" x="2394"/>
        <item m="1" x="2395"/>
        <item m="1" x="2396"/>
        <item m="1" x="2397"/>
        <item m="1" x="2398"/>
        <item m="1" x="2399"/>
        <item x="1"/>
        <item m="1" x="2386"/>
        <item m="1" x="2400"/>
        <item x="4"/>
        <item x="5"/>
        <item x="6"/>
        <item m="1" x="2401"/>
        <item m="1" x="2402"/>
        <item m="1" x="899"/>
        <item m="1" x="2446"/>
        <item m="1" x="2403"/>
        <item m="1" x="2373"/>
        <item m="1" x="723"/>
        <item m="1" x="464"/>
        <item m="1" x="3022"/>
        <item m="1" x="3139"/>
        <item m="1" x="2223"/>
        <item m="1" x="1017"/>
        <item m="1" x="3050"/>
        <item m="1" x="3140"/>
        <item m="1" x="2227"/>
        <item m="1" x="3071"/>
        <item m="1" x="2306"/>
        <item m="1" x="3142"/>
        <item m="1" x="3089"/>
        <item m="1" x="2307"/>
        <item m="1" x="3146"/>
        <item m="1" x="3102"/>
        <item m="1" x="1018"/>
        <item m="1" x="1019"/>
        <item m="1" x="3152"/>
        <item m="1" x="3116"/>
        <item m="1" x="1020"/>
        <item m="1" x="1021"/>
        <item m="1" x="882"/>
        <item m="1" x="1022"/>
        <item m="1" x="1023"/>
        <item m="1" x="884"/>
        <item m="1" x="2272"/>
        <item m="1" x="2911"/>
        <item m="1" x="2912"/>
        <item m="1" x="888"/>
        <item m="1" x="2510"/>
        <item m="1" x="2949"/>
        <item m="1" x="2950"/>
        <item m="1" x="890"/>
        <item m="1" x="2512"/>
        <item m="1" x="1024"/>
        <item m="1" x="893"/>
        <item m="1" x="2514"/>
        <item m="1" x="1025"/>
        <item m="1" x="2913"/>
        <item m="1" x="1026"/>
        <item m="1" x="896"/>
        <item m="1" x="1027"/>
        <item m="1" x="2764"/>
        <item m="1" x="2951"/>
        <item m="1" x="1028"/>
        <item m="1" x="900"/>
        <item m="1" x="1029"/>
        <item m="1" x="1030"/>
        <item m="1" x="2952"/>
        <item m="1" x="1031"/>
        <item m="1" x="903"/>
        <item m="1" x="1032"/>
        <item m="1" x="1033"/>
        <item m="1" x="2993"/>
        <item m="1" x="905"/>
        <item m="1" x="1034"/>
        <item m="1" x="1035"/>
        <item m="1" x="1036"/>
        <item m="1" x="3023"/>
        <item m="1" x="1037"/>
        <item m="1" x="3100"/>
        <item m="1" x="1038"/>
        <item m="1" x="1039"/>
        <item m="1" x="3051"/>
        <item m="1" x="3113"/>
        <item m="1" x="3170"/>
        <item m="1" x="1040"/>
        <item m="1" x="2914"/>
        <item m="1" x="831"/>
        <item m="1" x="1041"/>
        <item m="1" x="2953"/>
        <item m="1" x="838"/>
        <item m="1" x="2278"/>
        <item m="1" x="1042"/>
        <item m="1" x="2994"/>
        <item m="1" x="956"/>
        <item m="1" x="1043"/>
        <item m="1" x="3024"/>
        <item m="1" x="2915"/>
        <item m="1" x="2534"/>
        <item m="1" x="1044"/>
        <item m="1" x="1045"/>
        <item m="1" x="2954"/>
        <item m="1" x="1046"/>
        <item m="1" x="1047"/>
        <item m="1" x="1048"/>
        <item m="1" x="2995"/>
        <item m="1" x="1049"/>
        <item m="1" x="1050"/>
        <item m="1" x="3052"/>
        <item m="1" x="3025"/>
        <item m="1" x="1051"/>
        <item m="1" x="1052"/>
        <item m="1" x="3072"/>
        <item m="1" x="3053"/>
        <item m="1" x="1053"/>
        <item m="1" x="1054"/>
        <item m="1" x="1055"/>
        <item m="1" x="3090"/>
        <item m="1" x="3073"/>
        <item m="1" x="1056"/>
        <item m="1" x="1057"/>
        <item m="1" x="1058"/>
        <item m="1" x="3103"/>
        <item m="1" x="1059"/>
        <item m="1" x="1060"/>
        <item m="1" x="2236"/>
        <item m="1" x="1061"/>
        <item m="1" x="2955"/>
        <item m="1" x="1062"/>
        <item m="1" x="1063"/>
        <item m="1" x="2238"/>
        <item m="1" x="1064"/>
        <item m="1" x="2996"/>
        <item m="1" x="1065"/>
        <item m="1" x="1066"/>
        <item m="1" x="2916"/>
        <item m="1" x="3026"/>
        <item m="1" x="1067"/>
        <item m="1" x="1068"/>
        <item m="1" x="2956"/>
        <item m="1" x="3054"/>
        <item m="1" x="1069"/>
        <item m="1" x="1070"/>
        <item m="1" x="1071"/>
        <item m="1" x="3074"/>
        <item m="1" x="1072"/>
        <item m="1" x="843"/>
        <item m="1" x="1073"/>
        <item m="1" x="3091"/>
        <item m="1" x="848"/>
        <item m="1" x="2241"/>
        <item m="1" x="3088"/>
        <item m="1" x="3104"/>
        <item m="1" x="854"/>
        <item m="1" x="2243"/>
        <item m="1" x="2917"/>
        <item m="1" x="3101"/>
        <item m="1" x="3117"/>
        <item m="1" x="2244"/>
        <item m="1" x="2957"/>
        <item m="1" x="3114"/>
        <item m="1" x="834"/>
        <item m="1" x="2245"/>
        <item m="1" x="2997"/>
        <item m="1" x="832"/>
        <item m="1" x="840"/>
        <item m="1" x="2205"/>
        <item m="1" x="2246"/>
        <item m="1" x="3027"/>
        <item m="1" x="839"/>
        <item m="1" x="845"/>
        <item m="1" x="1074"/>
        <item m="1" x="2247"/>
        <item m="1" x="1075"/>
        <item m="1" x="844"/>
        <item m="1" x="849"/>
        <item m="1" x="1076"/>
        <item m="1" x="1077"/>
        <item m="1" x="1078"/>
        <item m="1" x="1079"/>
        <item m="1" x="855"/>
        <item m="1" x="1080"/>
        <item m="1" x="1081"/>
        <item m="1" x="1082"/>
        <item m="1" x="859"/>
        <item m="1" x="1083"/>
        <item m="1" x="1084"/>
        <item m="1" x="1085"/>
        <item m="1" x="864"/>
        <item m="1" x="1086"/>
        <item m="1" x="1087"/>
        <item m="1" x="1088"/>
        <item m="1" x="870"/>
        <item m="1" x="1089"/>
        <item m="1" x="1090"/>
        <item m="1" x="1091"/>
        <item m="1" x="875"/>
        <item m="1" x="1092"/>
        <item m="1" x="1093"/>
        <item m="1" x="1094"/>
        <item m="1" x="877"/>
        <item m="1" x="1095"/>
        <item m="1" x="1096"/>
        <item m="1" x="1097"/>
        <item m="1" x="2176"/>
        <item m="1" x="1098"/>
        <item m="1" x="1099"/>
        <item m="1" x="1100"/>
        <item m="1" x="2178"/>
        <item m="1" x="1101"/>
        <item m="1" x="1102"/>
        <item m="1" x="1103"/>
        <item m="1" x="2180"/>
        <item m="1" x="1104"/>
        <item m="1" x="1105"/>
        <item m="1" x="2183"/>
        <item m="1" x="1106"/>
        <item m="1" x="1107"/>
        <item m="1" x="2184"/>
        <item m="1" x="1108"/>
        <item m="1" x="1109"/>
        <item m="1" x="2918"/>
        <item m="1" x="1110"/>
        <item m="1" x="2185"/>
        <item m="1" x="1111"/>
        <item m="1" x="1112"/>
        <item m="1" x="2958"/>
        <item m="1" x="1113"/>
        <item m="1" x="2189"/>
        <item m="1" x="1114"/>
        <item m="1" x="1115"/>
        <item m="1" x="1116"/>
        <item m="1" x="2919"/>
        <item m="1" x="2190"/>
        <item m="1" x="1117"/>
        <item m="1" x="1118"/>
        <item m="1" x="363"/>
        <item m="1" x="2959"/>
        <item m="1" x="2192"/>
        <item m="1" x="1119"/>
        <item m="1" x="2515"/>
        <item m="1" x="364"/>
        <item m="1" x="2998"/>
        <item m="1" x="1120"/>
        <item m="1" x="2516"/>
        <item m="1" x="365"/>
        <item m="1" x="3028"/>
        <item m="1" x="2920"/>
        <item m="1" x="1121"/>
        <item m="1" x="2517"/>
        <item m="1" x="2960"/>
        <item m="1" x="1122"/>
        <item m="1" x="1123"/>
        <item m="1" x="2999"/>
        <item m="1" x="1124"/>
        <item m="1" x="1125"/>
        <item m="1" x="3029"/>
        <item m="1" x="2477"/>
        <item m="1" x="1126"/>
        <item m="1" x="3055"/>
        <item m="1" x="2479"/>
        <item m="1" x="1127"/>
        <item m="1" x="1128"/>
        <item m="1" x="1129"/>
        <item m="1" x="3075"/>
        <item m="1" x="1130"/>
        <item m="1" x="1131"/>
        <item m="1" x="374"/>
        <item m="1" x="3092"/>
        <item m="1" x="1132"/>
        <item m="1" x="1133"/>
        <item m="1" x="3105"/>
        <item m="1" x="1134"/>
        <item m="1" x="1135"/>
        <item m="1" x="1136"/>
        <item m="1" x="3118"/>
        <item m="1" x="1137"/>
        <item m="1" x="1138"/>
        <item m="1" x="1139"/>
        <item m="1" x="1140"/>
        <item m="1" x="426"/>
        <item m="1" x="835"/>
        <item m="1" x="1141"/>
        <item m="1" x="1142"/>
        <item m="1" x="1143"/>
        <item m="1" x="2525"/>
        <item m="1" x="1144"/>
        <item m="1" x="2921"/>
        <item m="1" x="1145"/>
        <item m="1" x="1146"/>
        <item m="1" x="2410"/>
        <item m="1" x="1147"/>
        <item m="1" x="2961"/>
        <item m="1" x="1148"/>
        <item m="1" x="1149"/>
        <item m="1" x="2412"/>
        <item m="1" x="1150"/>
        <item m="1" x="3000"/>
        <item m="1" x="1151"/>
        <item m="1" x="1152"/>
        <item m="1" x="1153"/>
        <item m="1" x="1154"/>
        <item m="1" x="3030"/>
        <item m="1" x="1155"/>
        <item m="1" x="1156"/>
        <item m="1" x="3056"/>
        <item m="1" x="1157"/>
        <item m="1" x="1158"/>
        <item m="1" x="1159"/>
        <item m="1" x="3076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367"/>
        <item m="1" x="1174"/>
        <item m="1" x="1175"/>
        <item m="1" x="1176"/>
        <item m="1" x="1001"/>
        <item m="1" x="1177"/>
        <item m="1" x="646"/>
        <item m="1" x="377"/>
        <item m="1" x="1178"/>
        <item m="1" x="648"/>
        <item m="1" x="1179"/>
        <item m="1" x="1180"/>
        <item m="1" x="650"/>
        <item m="1" x="1181"/>
        <item m="1" x="1182"/>
        <item m="1" x="652"/>
        <item m="1" x="1183"/>
        <item m="1" x="654"/>
        <item m="1" x="1184"/>
        <item m="1" x="1185"/>
        <item m="1" x="1186"/>
        <item m="1" x="382"/>
        <item m="1" x="3001"/>
        <item m="1" x="1187"/>
        <item m="1" x="1188"/>
        <item m="1" x="936"/>
        <item m="1" x="1189"/>
        <item m="1" x="1190"/>
        <item m="1" x="1191"/>
        <item m="1" x="2206"/>
        <item m="1" x="1192"/>
        <item m="1" x="3077"/>
        <item m="1" x="1193"/>
        <item m="1" x="1194"/>
        <item m="1" x="941"/>
        <item m="1" x="1195"/>
        <item m="1" x="1196"/>
        <item m="1" x="1197"/>
        <item m="1" x="1198"/>
        <item m="1" x="943"/>
        <item m="1" x="1199"/>
        <item m="1" x="1200"/>
        <item m="1" x="1201"/>
        <item m="1" x="1202"/>
        <item m="1" x="945"/>
        <item m="1" x="2922"/>
        <item m="1" x="1203"/>
        <item m="1" x="1204"/>
        <item m="1" x="947"/>
        <item m="1" x="2962"/>
        <item m="1" x="1205"/>
        <item m="1" x="1206"/>
        <item m="1" x="949"/>
        <item m="1" x="3002"/>
        <item m="1" x="1207"/>
        <item m="1" x="1208"/>
        <item m="1" x="952"/>
        <item m="1" x="3031"/>
        <item m="1" x="1209"/>
        <item m="1" x="954"/>
        <item m="1" x="3057"/>
        <item m="1" x="1210"/>
        <item m="1" x="422"/>
        <item m="1" x="3078"/>
        <item m="1" x="915"/>
        <item m="1" x="1211"/>
        <item m="1" x="1212"/>
        <item m="1" x="2717"/>
        <item m="1" x="3093"/>
        <item m="1" x="1213"/>
        <item m="1" x="1214"/>
        <item m="1" x="2725"/>
        <item m="1" x="3106"/>
        <item m="1" x="1215"/>
        <item m="1" x="430"/>
        <item m="1" x="3119"/>
        <item m="1" x="1216"/>
        <item m="1" x="1217"/>
        <item m="1" x="2726"/>
        <item m="1" x="1218"/>
        <item m="1" x="891"/>
        <item m="1" x="1219"/>
        <item m="1" x="894"/>
        <item m="1" x="1220"/>
        <item m="1" x="897"/>
        <item m="1" x="1221"/>
        <item m="1" x="1222"/>
        <item m="1" x="901"/>
        <item m="1" x="1223"/>
        <item m="1" x="1224"/>
        <item m="1" x="904"/>
        <item m="1" x="1225"/>
        <item m="1" x="1226"/>
        <item m="1" x="906"/>
        <item m="1" x="1227"/>
        <item m="1" x="1228"/>
        <item m="1" x="971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3069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2923"/>
        <item m="1" x="1272"/>
        <item m="1" x="1273"/>
        <item m="1" x="2963"/>
        <item m="1" x="1274"/>
        <item m="1" x="433"/>
        <item m="1" x="1275"/>
        <item m="1" x="3003"/>
        <item m="1" x="434"/>
        <item m="1" x="1276"/>
        <item m="1" x="3032"/>
        <item m="1" x="1277"/>
        <item m="1" x="436"/>
        <item m="1" x="1278"/>
        <item m="1" x="1279"/>
        <item m="1" x="3058"/>
        <item m="1" x="443"/>
        <item m="1" x="1280"/>
        <item m="1" x="1281"/>
        <item m="1" x="3079"/>
        <item m="1" x="447"/>
        <item m="1" x="1282"/>
        <item m="1" x="3094"/>
        <item m="1" x="972"/>
        <item m="1" x="1283"/>
        <item m="1" x="3107"/>
        <item m="1" x="1284"/>
        <item m="1" x="1285"/>
        <item m="1" x="1286"/>
        <item m="1" x="1287"/>
        <item m="1" x="1288"/>
        <item m="1" x="1289"/>
        <item m="1" x="863"/>
        <item m="1" x="1290"/>
        <item m="1" x="868"/>
        <item m="1" x="1291"/>
        <item m="1" x="874"/>
        <item m="1" x="1292"/>
        <item m="1" x="876"/>
        <item m="1" x="2546"/>
        <item m="1" x="1293"/>
        <item m="1" x="2175"/>
        <item m="1" x="1294"/>
        <item m="1" x="865"/>
        <item m="1" x="1295"/>
        <item m="1" x="2177"/>
        <item m="1" x="2279"/>
        <item m="1" x="871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923"/>
        <item m="1" x="1326"/>
        <item m="1" x="1327"/>
        <item m="1" x="924"/>
        <item m="1" x="942"/>
        <item m="1" x="2924"/>
        <item m="1" x="1328"/>
        <item m="1" x="944"/>
        <item m="1" x="2964"/>
        <item m="1" x="1329"/>
        <item m="1" x="946"/>
        <item m="1" x="1330"/>
        <item m="1" x="3004"/>
        <item m="1" x="1331"/>
        <item m="1" x="948"/>
        <item m="1" x="1332"/>
        <item m="1" x="3033"/>
        <item m="1" x="1333"/>
        <item m="1" x="951"/>
        <item m="1" x="1334"/>
        <item m="1" x="1335"/>
        <item m="1" x="1336"/>
        <item m="1" x="953"/>
        <item m="1" x="1337"/>
        <item m="1" x="1338"/>
        <item m="1" x="1339"/>
        <item m="1" x="1340"/>
        <item m="1" x="2207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2925"/>
        <item m="1" x="1367"/>
        <item m="1" x="1368"/>
        <item m="1" x="2965"/>
        <item m="1" x="1369"/>
        <item m="1" x="229"/>
        <item m="1" x="1370"/>
        <item m="1" x="1371"/>
        <item m="1" x="1372"/>
        <item m="1" x="352"/>
        <item m="1" x="1373"/>
        <item m="1" x="1374"/>
        <item m="1" x="1012"/>
        <item m="1" x="1375"/>
        <item m="1" x="1376"/>
        <item m="1" x="1013"/>
        <item m="1" x="2926"/>
        <item m="1" x="1377"/>
        <item m="1" x="353"/>
        <item m="1" x="1378"/>
        <item m="1" x="354"/>
        <item m="1" x="1379"/>
        <item m="1" x="929"/>
        <item m="1" x="2966"/>
        <item m="1" x="1380"/>
        <item m="1" x="3005"/>
        <item m="1" x="1381"/>
        <item m="1" x="359"/>
        <item m="1" x="2765"/>
        <item m="1" x="3034"/>
        <item m="1" x="921"/>
        <item m="1" x="2766"/>
        <item m="1" x="3059"/>
        <item m="1" x="1382"/>
        <item m="1" x="2767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982"/>
        <item m="1" x="2256"/>
        <item m="1" x="2239"/>
        <item m="1" x="1397"/>
        <item m="1" x="984"/>
        <item m="1" x="2242"/>
        <item m="1" x="1398"/>
        <item m="1" x="2208"/>
        <item m="1" x="370"/>
        <item m="1" x="1399"/>
        <item m="1" x="1400"/>
        <item m="1" x="2927"/>
        <item m="1" x="1401"/>
        <item m="1" x="2209"/>
        <item m="1" x="2181"/>
        <item m="1" x="2967"/>
        <item m="1" x="1402"/>
        <item m="1" x="2210"/>
        <item m="1" x="3006"/>
        <item m="1" x="1403"/>
        <item m="1" x="1404"/>
        <item m="1" x="3035"/>
        <item m="1" x="1405"/>
        <item m="1" x="2186"/>
        <item m="1" x="2518"/>
        <item m="1" x="3060"/>
        <item m="1" x="1406"/>
        <item m="1" x="1407"/>
        <item m="1" x="2265"/>
        <item m="1" x="3080"/>
        <item m="1" x="1408"/>
        <item m="1" x="751"/>
        <item m="1" x="1409"/>
        <item m="1" x="1410"/>
        <item m="1" x="1411"/>
        <item m="1" x="752"/>
        <item m="1" x="2411"/>
        <item m="1" x="2501"/>
        <item m="1" x="1412"/>
        <item m="1" x="1413"/>
        <item m="1" x="1414"/>
        <item m="1" x="2505"/>
        <item m="1" x="1415"/>
        <item m="1" x="1416"/>
        <item m="1" x="1417"/>
        <item m="1" x="1418"/>
        <item m="1" x="2490"/>
        <item m="1" x="1419"/>
        <item m="1" x="1420"/>
        <item m="1" x="1421"/>
        <item m="1" x="1422"/>
        <item m="1" x="1423"/>
        <item m="1" x="1424"/>
        <item m="1" x="1425"/>
        <item m="1" x="2928"/>
        <item m="1" x="1426"/>
        <item m="1" x="2929"/>
        <item m="1" x="1427"/>
        <item m="1" x="1428"/>
        <item m="1" x="2968"/>
        <item m="1" x="1429"/>
        <item m="1" x="2969"/>
        <item m="1" x="1430"/>
        <item m="1" x="1431"/>
        <item m="1" x="1432"/>
        <item m="1" x="3007"/>
        <item m="1" x="1433"/>
        <item m="1" x="460"/>
        <item m="1" x="1434"/>
        <item m="1" x="1435"/>
        <item m="1" x="3036"/>
        <item m="1" x="529"/>
        <item m="1" x="1436"/>
        <item m="1" x="1437"/>
        <item m="1" x="392"/>
        <item m="1" x="629"/>
        <item m="1" x="1438"/>
        <item m="1" x="1439"/>
        <item m="1" x="395"/>
        <item m="1" x="634"/>
        <item m="1" x="1440"/>
        <item m="1" x="1441"/>
        <item m="1" x="398"/>
        <item m="1" x="641"/>
        <item m="1" x="1442"/>
        <item m="1" x="1443"/>
        <item m="1" x="1444"/>
        <item m="1" x="403"/>
        <item m="1" x="750"/>
        <item m="1" x="1445"/>
        <item m="1" x="3108"/>
        <item m="1" x="1446"/>
        <item m="1" x="406"/>
        <item m="1" x="1447"/>
        <item m="1" x="3120"/>
        <item m="1" x="413"/>
        <item m="1" x="1448"/>
        <item m="1" x="408"/>
        <item m="1" x="1449"/>
        <item m="1" x="3095"/>
        <item m="1" x="960"/>
        <item m="1" x="1450"/>
        <item m="1" x="1451"/>
        <item m="1" x="1452"/>
        <item m="1" x="3109"/>
        <item m="1" x="961"/>
        <item m="1" x="1453"/>
        <item m="1" x="1454"/>
        <item m="1" x="1455"/>
        <item m="1" x="3121"/>
        <item m="1" x="1456"/>
        <item m="1" x="1457"/>
        <item m="1" x="1458"/>
        <item m="1" x="1459"/>
        <item m="1" x="1460"/>
        <item m="1" x="1461"/>
        <item m="1" x="1462"/>
        <item m="1" x="1463"/>
        <item m="1" x="1464"/>
        <item m="1" x="2481"/>
        <item m="1" x="1465"/>
        <item m="1" x="1466"/>
        <item m="1" x="1467"/>
        <item m="1" x="1468"/>
        <item m="1" x="1469"/>
        <item m="1" x="2483"/>
        <item m="1" x="1470"/>
        <item m="1" x="1471"/>
        <item m="1" x="1472"/>
        <item m="1" x="1473"/>
        <item m="1" x="1474"/>
        <item m="1" x="1475"/>
        <item m="1" x="1476"/>
        <item m="1" x="1477"/>
        <item m="1" x="3070"/>
        <item m="1" x="1478"/>
        <item m="1" x="1479"/>
        <item m="1" x="2485"/>
        <item m="1" x="1480"/>
        <item m="1" x="1481"/>
        <item m="1" x="1482"/>
        <item m="1" x="1483"/>
        <item m="1" x="1484"/>
        <item m="1" x="1485"/>
        <item m="1" x="1486"/>
        <item m="1" x="1487"/>
        <item m="1" x="467"/>
        <item m="1" x="1488"/>
        <item m="1" x="1489"/>
        <item m="1" x="1490"/>
        <item m="1" x="493"/>
        <item m="1" x="1491"/>
        <item m="1" x="3165"/>
        <item m="1" x="1492"/>
        <item m="1" x="502"/>
        <item m="1" x="1493"/>
        <item m="1" x="1494"/>
        <item m="1" x="511"/>
        <item m="1" x="1495"/>
        <item m="1" x="1496"/>
        <item m="1" x="522"/>
        <item m="1" x="1497"/>
        <item m="1" x="1498"/>
        <item m="1" x="530"/>
        <item m="1" x="1499"/>
        <item m="1" x="1500"/>
        <item m="1" x="532"/>
        <item m="1" x="1501"/>
        <item m="1" x="1502"/>
        <item m="1" x="534"/>
        <item m="1" x="1503"/>
        <item m="1" x="541"/>
        <item m="1" x="1504"/>
        <item m="1" x="1505"/>
        <item m="1" x="2445"/>
        <item m="1" x="1506"/>
        <item m="1" x="1507"/>
        <item m="1" x="2447"/>
        <item m="1" x="1508"/>
        <item m="1" x="1509"/>
        <item m="1" x="1510"/>
        <item m="1" x="1511"/>
        <item m="1" x="2449"/>
        <item m="1" x="1512"/>
        <item m="1" x="1513"/>
        <item m="1" x="1514"/>
        <item m="1" x="2450"/>
        <item m="1" x="1515"/>
        <item m="1" x="1516"/>
        <item m="1" x="1517"/>
        <item m="1" x="2903"/>
        <item m="1" x="1518"/>
        <item m="1" x="2904"/>
        <item m="1" x="1519"/>
        <item m="1" x="2930"/>
        <item m="1" x="1520"/>
        <item m="1" x="2906"/>
        <item m="1" x="1521"/>
        <item m="1" x="2970"/>
        <item m="1" x="1522"/>
        <item m="1" x="2909"/>
        <item m="1" x="1523"/>
        <item m="1" x="2437"/>
        <item m="1" x="1524"/>
        <item m="1" x="1525"/>
        <item m="1" x="2768"/>
        <item m="1" x="1526"/>
        <item m="1" x="1527"/>
        <item m="1" x="2769"/>
        <item m="1" x="1528"/>
        <item m="1" x="1529"/>
        <item m="1" x="997"/>
        <item m="1" x="2770"/>
        <item m="1" x="1530"/>
        <item m="1" x="1531"/>
        <item m="1" x="1532"/>
        <item m="1" x="2771"/>
        <item m="1" x="1533"/>
        <item m="1" x="1534"/>
        <item m="1" x="1535"/>
        <item m="1" x="2772"/>
        <item m="1" x="1536"/>
        <item m="1" x="1537"/>
        <item m="1" x="1538"/>
        <item m="1" x="2773"/>
        <item m="1" x="1539"/>
        <item m="1" x="1540"/>
        <item m="1" x="1541"/>
        <item m="1" x="977"/>
        <item m="1" x="1542"/>
        <item m="1" x="1543"/>
        <item m="1" x="1544"/>
        <item m="1" x="978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2211"/>
        <item m="1" x="1587"/>
        <item m="1" x="1588"/>
        <item m="1" x="1589"/>
        <item m="1" x="1590"/>
        <item m="1" x="1591"/>
        <item m="1" x="1592"/>
        <item m="1" x="1593"/>
        <item m="1" x="1594"/>
        <item m="1" x="1595"/>
        <item m="1" x="1596"/>
        <item m="1" x="1597"/>
        <item m="1" x="1598"/>
        <item m="1" x="1599"/>
        <item m="1" x="1600"/>
        <item m="1" x="1601"/>
        <item m="1" x="1602"/>
        <item m="1" x="1603"/>
        <item m="1" x="1604"/>
        <item m="1" x="1605"/>
        <item m="1" x="1606"/>
        <item m="1" x="1607"/>
        <item m="1" x="1608"/>
        <item m="1" x="761"/>
        <item m="1" x="1609"/>
        <item m="1" x="1610"/>
        <item m="1" x="1611"/>
        <item m="1" x="1612"/>
        <item m="1" x="1613"/>
        <item m="1" x="1614"/>
        <item m="1" x="1615"/>
        <item m="1" x="1616"/>
        <item m="1" x="1617"/>
        <item m="1" x="1618"/>
        <item m="1" x="1619"/>
        <item m="1" x="1620"/>
        <item m="1" x="1621"/>
        <item m="1" x="2931"/>
        <item m="1" x="1622"/>
        <item m="1" x="1623"/>
        <item m="1" x="1624"/>
        <item m="1" x="2971"/>
        <item m="1" x="1625"/>
        <item m="1" x="1626"/>
        <item m="1" x="1627"/>
        <item m="1" x="1628"/>
        <item m="1" x="1629"/>
        <item m="1" x="1630"/>
        <item m="1" x="1631"/>
        <item m="1" x="1632"/>
        <item m="1" x="1633"/>
        <item m="1" x="1634"/>
        <item m="1" x="1635"/>
        <item m="1" x="1636"/>
        <item m="1" x="1637"/>
        <item m="1" x="1638"/>
        <item m="1" x="371"/>
        <item m="1" x="3008"/>
        <item m="1" x="1639"/>
        <item m="1" x="1640"/>
        <item m="1" x="1641"/>
        <item m="1" x="3037"/>
        <item m="1" x="1642"/>
        <item m="1" x="1643"/>
        <item m="1" x="1644"/>
        <item m="1" x="1645"/>
        <item m="1" x="1646"/>
        <item m="1" x="1647"/>
        <item m="1" x="1648"/>
        <item m="1" x="1649"/>
        <item m="1" x="1650"/>
        <item m="1" x="1651"/>
        <item m="1" x="1652"/>
        <item m="1" x="1653"/>
        <item m="1" x="1654"/>
        <item m="1" x="1655"/>
        <item m="1" x="1656"/>
        <item m="1" x="1657"/>
        <item m="1" x="1658"/>
        <item m="1" x="1659"/>
        <item m="1" x="2932"/>
        <item m="1" x="1660"/>
        <item m="1" x="1661"/>
        <item m="1" x="1662"/>
        <item m="1" x="2448"/>
        <item m="1" x="2212"/>
        <item m="1" x="1663"/>
        <item m="1" x="1664"/>
        <item m="1" x="1665"/>
        <item m="1" x="1666"/>
        <item m="1" x="1667"/>
        <item m="1" x="1668"/>
        <item m="1" x="1669"/>
        <item m="1" x="1670"/>
        <item m="1" x="1671"/>
        <item m="1" x="1672"/>
        <item m="1" x="1673"/>
        <item m="1" x="2972"/>
        <item m="1" x="1674"/>
        <item m="1" x="1675"/>
        <item m="1" x="3009"/>
        <item m="1" x="1676"/>
        <item m="1" x="1677"/>
        <item m="1" x="3038"/>
        <item m="1" x="1678"/>
        <item m="1" x="1679"/>
        <item m="1" x="1680"/>
        <item m="1" x="1681"/>
        <item m="1" x="1682"/>
        <item m="1" x="1683"/>
        <item m="1" x="1684"/>
        <item m="1" x="1685"/>
        <item m="1" x="1686"/>
        <item m="1" x="1687"/>
        <item m="1" x="1688"/>
        <item m="1" x="1689"/>
        <item m="1" x="1690"/>
        <item m="1" x="1691"/>
        <item m="1" x="1692"/>
        <item m="1" x="1693"/>
        <item m="1" x="1694"/>
        <item m="1" x="1695"/>
        <item m="1" x="2933"/>
        <item m="1" x="1696"/>
        <item m="1" x="2266"/>
        <item m="1" x="1697"/>
        <item m="1" x="2973"/>
        <item m="1" x="1698"/>
        <item m="1" x="2267"/>
        <item m="1" x="1699"/>
        <item m="1" x="1700"/>
        <item m="1" x="2268"/>
        <item m="1" x="1701"/>
        <item m="1" x="1702"/>
        <item m="1" x="1703"/>
        <item m="1" x="2270"/>
        <item m="1" x="1704"/>
        <item m="1" x="1705"/>
        <item m="1" x="1706"/>
        <item m="1" x="1707"/>
        <item m="1" x="2908"/>
        <item m="1" x="1708"/>
        <item m="1" x="1709"/>
        <item m="1" x="1710"/>
        <item m="1" x="2934"/>
        <item m="1" x="2935"/>
        <item m="1" x="1711"/>
        <item m="1" x="1712"/>
        <item m="1" x="2974"/>
        <item m="1" x="2975"/>
        <item m="1" x="1713"/>
        <item m="1" x="1714"/>
        <item m="1" x="3010"/>
        <item m="1" x="1715"/>
        <item m="1" x="1716"/>
        <item m="1" x="1717"/>
        <item m="1" x="3039"/>
        <item m="1" x="1718"/>
        <item m="1" x="1719"/>
        <item m="1" x="1720"/>
        <item m="1" x="3061"/>
        <item m="1" x="1721"/>
        <item m="1" x="1722"/>
        <item m="1" x="1723"/>
        <item m="1" x="1724"/>
        <item m="1" x="1725"/>
        <item m="1" x="1726"/>
        <item m="1" x="1727"/>
        <item m="1" x="1728"/>
        <item m="1" x="1729"/>
        <item m="1" x="1011"/>
        <item m="1" x="1730"/>
        <item m="1" x="1731"/>
        <item m="1" x="1732"/>
        <item m="1" x="1733"/>
        <item m="1" x="1734"/>
        <item m="1" x="1735"/>
        <item m="1" x="1736"/>
        <item m="1" x="1737"/>
        <item m="1" x="1015"/>
        <item m="1" x="2936"/>
        <item m="1" x="1738"/>
        <item m="1" x="2976"/>
        <item m="1" x="1739"/>
        <item m="1" x="1740"/>
        <item m="1" x="3011"/>
        <item m="1" x="1741"/>
        <item m="1" x="3040"/>
        <item m="1" x="1742"/>
        <item m="1" x="1743"/>
        <item m="1" x="3062"/>
        <item m="1" x="1744"/>
        <item m="1" x="3081"/>
        <item m="1" x="1745"/>
        <item m="1" x="1746"/>
        <item m="1" x="1747"/>
        <item m="1" x="1748"/>
        <item m="1" x="1749"/>
        <item m="1" x="1750"/>
        <item m="1" x="1751"/>
        <item m="1" x="1752"/>
        <item m="1" x="1753"/>
        <item m="1" x="1754"/>
        <item m="1" x="1755"/>
        <item m="1" x="1756"/>
        <item m="1" x="1757"/>
        <item m="1" x="1758"/>
        <item m="1" x="1759"/>
        <item m="1" x="2937"/>
        <item m="1" x="1760"/>
        <item m="1" x="1761"/>
        <item m="1" x="1762"/>
        <item m="1" x="1763"/>
        <item m="1" x="1764"/>
        <item m="1" x="1765"/>
        <item m="1" x="1766"/>
        <item m="1" x="981"/>
        <item m="1" x="1767"/>
        <item m="1" x="1768"/>
        <item m="1" x="412"/>
        <item m="1" x="1769"/>
        <item m="1" x="1770"/>
        <item m="1" x="1771"/>
        <item m="1" x="1772"/>
        <item m="1" x="1773"/>
        <item m="1" x="2938"/>
        <item m="1" x="1774"/>
        <item m="1" x="2977"/>
        <item m="1" x="3012"/>
        <item m="1" x="3041"/>
        <item m="1" x="3063"/>
        <item m="1" x="3082"/>
        <item m="1" x="1775"/>
        <item m="1" x="1776"/>
        <item m="1" x="1777"/>
        <item m="1" x="1778"/>
        <item m="1" x="1779"/>
        <item m="1" x="1780"/>
        <item m="1" x="2213"/>
        <item m="1" x="1781"/>
        <item m="1" x="2214"/>
        <item m="1" x="1782"/>
        <item m="1" x="1783"/>
        <item m="1" x="1784"/>
        <item m="1" x="1785"/>
        <item m="1" x="1786"/>
        <item m="1" x="1787"/>
        <item m="1" x="1788"/>
        <item m="1" x="1789"/>
        <item m="1" x="1790"/>
        <item m="1" x="1791"/>
        <item m="1" x="1792"/>
        <item m="1" x="1793"/>
        <item m="1" x="1794"/>
        <item m="1" x="1795"/>
        <item m="1" x="1796"/>
        <item m="1" x="2275"/>
        <item m="1" x="2507"/>
        <item m="1" x="1797"/>
        <item m="1" x="963"/>
        <item m="1" x="964"/>
        <item m="1" x="1798"/>
        <item m="1" x="1799"/>
        <item m="1" x="2524"/>
        <item m="1" x="2526"/>
        <item m="1" x="1800"/>
        <item m="1" x="2527"/>
        <item m="1" x="1801"/>
        <item m="1" x="1802"/>
        <item m="1" x="2528"/>
        <item m="1" x="1803"/>
        <item m="1" x="2530"/>
        <item m="1" x="1804"/>
        <item m="1" x="2531"/>
        <item m="1" x="1805"/>
        <item m="1" x="378"/>
        <item m="1" x="379"/>
        <item m="1" x="1806"/>
        <item m="1" x="1807"/>
        <item m="1" x="1808"/>
        <item m="1" x="380"/>
        <item m="1" x="383"/>
        <item m="1" x="965"/>
        <item m="1" x="1809"/>
        <item m="1" x="966"/>
        <item m="1" x="496"/>
        <item m="1" x="1810"/>
        <item m="1" x="505"/>
        <item m="1" x="1811"/>
        <item m="1" x="1812"/>
        <item m="1" x="1813"/>
        <item m="1" x="1814"/>
        <item m="1" x="2533"/>
        <item m="1" x="1815"/>
        <item m="1" x="1816"/>
        <item m="1" x="1817"/>
        <item m="1" x="1818"/>
        <item m="1" x="1819"/>
        <item m="1" x="1820"/>
        <item m="1" x="3141"/>
        <item m="1" x="1821"/>
        <item m="1" x="1822"/>
        <item m="1" x="1823"/>
        <item m="1" x="1824"/>
        <item m="1" x="1825"/>
        <item m="1" x="1826"/>
        <item m="1" x="1827"/>
        <item m="1" x="1828"/>
        <item m="1" x="1829"/>
        <item m="1" x="1830"/>
        <item m="1" x="1831"/>
        <item m="1" x="1832"/>
        <item m="1" x="1833"/>
        <item m="1" x="1834"/>
        <item m="1" x="1835"/>
        <item m="1" x="1836"/>
        <item m="1" x="1837"/>
        <item m="1" x="1838"/>
        <item m="1" x="3013"/>
        <item m="1" x="1839"/>
        <item m="1" x="3042"/>
        <item m="1" x="1840"/>
        <item m="1" x="1841"/>
        <item m="1" x="1842"/>
        <item m="1" x="1843"/>
        <item m="1" x="1844"/>
        <item m="1" x="1845"/>
        <item m="1" x="1846"/>
        <item m="1" x="404"/>
        <item m="1" x="2978"/>
        <item m="1" x="1847"/>
        <item m="1" x="405"/>
        <item m="1" x="1848"/>
        <item m="1" x="1849"/>
        <item m="1" x="407"/>
        <item m="1" x="1850"/>
        <item m="1" x="1851"/>
        <item m="1" x="417"/>
        <item m="1" x="1852"/>
        <item m="1" x="2789"/>
        <item m="1" x="418"/>
        <item m="1" x="1853"/>
        <item m="1" x="717"/>
        <item m="1" x="2509"/>
        <item m="1" x="1854"/>
        <item m="1" x="2130"/>
        <item m="1" x="1855"/>
        <item m="1" x="1856"/>
        <item m="1" x="1857"/>
        <item m="1" x="930"/>
        <item m="1" x="1858"/>
        <item m="1" x="1859"/>
        <item m="1" x="396"/>
        <item m="1" x="1860"/>
        <item m="1" x="1861"/>
        <item m="1" x="1862"/>
        <item m="1" x="1863"/>
        <item m="1" x="1864"/>
        <item m="1" x="1865"/>
        <item m="1" x="1866"/>
        <item m="1" x="1867"/>
        <item m="1" x="1868"/>
        <item m="1" x="1869"/>
        <item m="1" x="1870"/>
        <item m="1" x="1871"/>
        <item m="1" x="1872"/>
        <item m="1" x="1873"/>
        <item m="1" x="1874"/>
        <item m="1" x="1875"/>
        <item m="1" x="1876"/>
        <item m="1" x="1877"/>
        <item m="1" x="1878"/>
        <item m="1" x="2475"/>
        <item m="1" x="1879"/>
        <item m="1" x="919"/>
        <item m="1" x="1880"/>
        <item m="1" x="1881"/>
        <item m="1" x="1882"/>
        <item m="1" x="1883"/>
        <item m="1" x="1884"/>
        <item m="1" x="1885"/>
        <item m="1" x="1886"/>
        <item m="1" x="1887"/>
        <item m="1" x="1888"/>
        <item m="1" x="1889"/>
        <item m="1" x="1890"/>
        <item m="1" x="1891"/>
        <item m="1" x="1892"/>
        <item m="1" x="1893"/>
        <item m="1" x="1894"/>
        <item m="1" x="1895"/>
        <item m="1" x="1896"/>
        <item m="1" x="1897"/>
        <item m="1" x="1898"/>
        <item m="1" x="1899"/>
        <item m="1" x="1900"/>
        <item m="1" x="1901"/>
        <item m="1" x="1902"/>
        <item m="1" x="1903"/>
        <item m="1" x="1904"/>
        <item m="1" x="1905"/>
        <item m="1" x="1906"/>
        <item m="1" x="1907"/>
        <item m="1" x="1908"/>
        <item m="1" x="1909"/>
        <item m="1" x="1910"/>
        <item m="1" x="1911"/>
        <item m="1" x="1912"/>
        <item m="1" x="1913"/>
        <item m="1" x="1914"/>
        <item m="1" x="1915"/>
        <item m="1" x="1916"/>
        <item m="1" x="1917"/>
        <item m="1" x="1918"/>
        <item m="1" x="1919"/>
        <item m="1" x="1920"/>
        <item m="1" x="1921"/>
        <item m="1" x="1922"/>
        <item m="1" x="2939"/>
        <item m="1" x="1923"/>
        <item m="1" x="2979"/>
        <item m="1" x="1924"/>
        <item m="1" x="1925"/>
        <item m="1" x="1926"/>
        <item m="1" x="1927"/>
        <item m="1" x="1928"/>
        <item m="1" x="1929"/>
        <item m="1" x="1930"/>
        <item m="1" x="1931"/>
        <item m="1" x="1932"/>
        <item m="1" x="1933"/>
        <item m="1" x="2940"/>
        <item m="1" x="1934"/>
        <item m="1" x="2980"/>
        <item m="1" x="1935"/>
        <item m="1" x="3014"/>
        <item m="1" x="1936"/>
        <item m="1" x="3043"/>
        <item m="1" x="1937"/>
        <item m="1" x="3064"/>
        <item m="1" x="1938"/>
        <item m="1" x="3083"/>
        <item m="1" x="1939"/>
        <item m="1" x="1940"/>
        <item m="1" x="1941"/>
        <item m="1" x="1942"/>
        <item m="1" x="1943"/>
        <item m="1" x="1944"/>
        <item m="1" x="1945"/>
        <item m="1" x="1946"/>
        <item m="1" x="1947"/>
        <item m="1" x="1948"/>
        <item m="1" x="1949"/>
        <item m="1" x="1950"/>
        <item m="1" x="1951"/>
        <item m="1" x="1952"/>
        <item m="1" x="3044"/>
        <item m="1" x="1953"/>
        <item m="1" x="3065"/>
        <item m="1" x="885"/>
        <item m="1" x="1954"/>
        <item m="1" x="1955"/>
        <item m="1" x="1956"/>
        <item m="1" x="2981"/>
        <item m="1" x="1957"/>
        <item m="1" x="1958"/>
        <item m="1" x="2215"/>
        <item m="1" x="1959"/>
        <item m="1" x="3084"/>
        <item m="1" x="1960"/>
        <item m="1" x="3096"/>
        <item m="1" x="1961"/>
        <item m="1" x="1962"/>
        <item m="1" x="2436"/>
        <item m="1" x="841"/>
        <item m="1" x="1963"/>
        <item m="1" x="1964"/>
        <item m="1" x="2202"/>
        <item m="1" x="856"/>
        <item m="1" x="2204"/>
        <item m="1" x="860"/>
        <item m="1" x="2216"/>
        <item m="1" x="866"/>
        <item m="1" x="2217"/>
        <item m="1" x="872"/>
        <item m="1" x="2218"/>
        <item m="1" x="2220"/>
        <item m="1" x="878"/>
        <item m="1" x="887"/>
        <item m="1" x="889"/>
        <item m="1" x="892"/>
        <item m="1" x="895"/>
        <item m="1" x="898"/>
        <item m="1" x="902"/>
        <item m="1" x="2187"/>
        <item m="1" x="2941"/>
        <item m="1" x="2982"/>
        <item m="1" x="2942"/>
        <item m="1" x="2983"/>
        <item m="1" x="3015"/>
        <item m="1" x="3045"/>
        <item m="1" x="3066"/>
        <item m="1" x="3085"/>
        <item m="1" x="3097"/>
        <item m="1" x="3110"/>
        <item m="1" x="3122"/>
        <item m="1" x="2422"/>
        <item m="1" x="836"/>
        <item m="1" x="2943"/>
        <item m="1" x="2984"/>
        <item m="1" x="1965"/>
        <item m="1" x="1966"/>
        <item m="1" x="1967"/>
        <item m="1" x="1968"/>
        <item m="1" x="2985"/>
        <item m="1" x="1969"/>
        <item m="1" x="3016"/>
        <item m="1" x="1970"/>
        <item m="1" x="1971"/>
        <item m="1" x="1972"/>
        <item m="1" x="1973"/>
        <item m="1" x="1974"/>
        <item m="1" x="1975"/>
        <item m="1" x="2890"/>
        <item m="1" x="1976"/>
        <item m="1" x="1977"/>
        <item m="1" x="1978"/>
        <item m="1" x="1979"/>
        <item m="1" x="2899"/>
        <item m="1" x="1980"/>
        <item m="1" x="1981"/>
        <item m="1" x="1982"/>
        <item m="1" x="1983"/>
        <item m="1" x="2944"/>
        <item m="1" x="2986"/>
        <item m="1" x="1984"/>
        <item m="1" x="2987"/>
        <item m="1" x="1985"/>
        <item m="1" x="3017"/>
        <item m="1" x="1986"/>
        <item m="1" x="3046"/>
        <item m="1" x="1987"/>
        <item m="1" x="3067"/>
        <item m="1" x="1988"/>
        <item m="1" x="3086"/>
        <item m="1" x="1989"/>
        <item m="1" x="3098"/>
        <item m="1" x="3111"/>
        <item m="1" x="3123"/>
        <item m="1" x="837"/>
        <item m="1" x="842"/>
        <item m="1" x="1990"/>
        <item m="1" x="846"/>
        <item m="1" x="1991"/>
        <item m="1" x="850"/>
        <item m="1" x="857"/>
        <item m="1" x="1992"/>
        <item m="1" x="861"/>
        <item m="1" x="867"/>
        <item m="1" x="873"/>
        <item m="1" x="2308"/>
        <item m="1" x="2312"/>
        <item m="1" x="2945"/>
        <item m="1" x="2988"/>
        <item m="1" x="1993"/>
        <item m="1" x="3018"/>
        <item m="1" x="3047"/>
        <item m="1" x="3068"/>
        <item m="1" x="3087"/>
        <item m="1" x="2946"/>
        <item m="1" x="2989"/>
        <item m="1" x="2519"/>
        <item m="1" x="362"/>
        <item m="1" x="3019"/>
        <item m="1" x="3048"/>
        <item m="1" x="3160"/>
        <item m="1" x="3163"/>
        <item m="1" x="2990"/>
        <item m="1" x="1994"/>
        <item m="1" x="3020"/>
        <item m="1" x="1995"/>
        <item m="1" x="2947"/>
        <item m="1" x="2463"/>
        <item m="1" x="2465"/>
        <item m="1" x="937"/>
        <item m="1" x="939"/>
        <item m="1" x="2948"/>
        <item m="1" x="2991"/>
        <item m="1" x="3021"/>
        <item m="1" x="3049"/>
        <item m="1" x="931"/>
        <item m="1" x="393"/>
        <item m="1" x="1996"/>
        <item m="1" x="1997"/>
        <item m="1" x="1998"/>
        <item m="1" x="1999"/>
        <item m="1" x="2000"/>
        <item m="1" x="2001"/>
        <item m="1" x="2002"/>
        <item m="1" x="2003"/>
        <item m="1" x="2004"/>
        <item m="1" x="2005"/>
        <item m="1" x="2006"/>
        <item m="1" x="2007"/>
        <item m="1" x="2008"/>
        <item m="1" x="2009"/>
        <item m="1" x="2010"/>
        <item m="1" x="2011"/>
        <item m="1" x="2012"/>
        <item m="1" x="2013"/>
        <item m="1" x="2014"/>
        <item m="1" x="2015"/>
        <item m="1" x="2016"/>
        <item m="1" x="523"/>
        <item m="1" x="531"/>
        <item m="1" x="533"/>
        <item m="1" x="366"/>
        <item m="1" x="368"/>
        <item m="1" x="375"/>
        <item m="1" x="2017"/>
        <item m="1" x="2018"/>
        <item m="1" x="2019"/>
        <item m="1" x="2020"/>
        <item m="1" x="2021"/>
        <item m="1" x="2022"/>
        <item m="1" x="2023"/>
        <item m="1" x="2024"/>
        <item m="1" x="2025"/>
        <item m="1" x="2026"/>
        <item m="1" x="2027"/>
        <item m="1" x="2028"/>
        <item m="1" x="2029"/>
        <item m="1" x="2030"/>
        <item m="1" x="2031"/>
        <item m="1" x="2032"/>
        <item m="1" x="2033"/>
        <item m="1" x="2034"/>
        <item m="1" x="2035"/>
        <item m="1" x="2036"/>
        <item m="1" x="2037"/>
        <item m="1" x="2038"/>
        <item m="1" x="2039"/>
        <item m="1" x="2040"/>
        <item m="1" x="2041"/>
        <item m="1" x="2042"/>
        <item m="1" x="2043"/>
        <item m="1" x="2044"/>
        <item m="1" x="2045"/>
        <item m="1" x="2046"/>
        <item m="1" x="2047"/>
        <item m="1" x="2048"/>
        <item m="1" x="2049"/>
        <item m="1" x="423"/>
        <item m="1" x="425"/>
        <item m="1" x="427"/>
        <item m="1" x="431"/>
        <item m="1" x="435"/>
        <item m="1" x="437"/>
        <item m="1" x="2050"/>
        <item m="1" x="381"/>
        <item m="1" x="384"/>
        <item m="1" x="2051"/>
        <item m="1" x="2052"/>
        <item m="1" x="372"/>
        <item m="1" x="2053"/>
        <item m="1" x="2556"/>
        <item m="1" x="494"/>
        <item m="1" x="503"/>
        <item m="1" x="2054"/>
        <item m="1" x="2055"/>
        <item m="1" x="2056"/>
        <item m="1" x="2057"/>
        <item m="1" x="2058"/>
        <item m="1" x="2059"/>
        <item m="1" x="2060"/>
        <item m="1" x="2061"/>
        <item m="1" x="2062"/>
        <item m="1" x="2063"/>
        <item m="1" x="2064"/>
        <item m="1" x="2065"/>
        <item m="1" x="2066"/>
        <item m="1" x="2067"/>
        <item m="1" x="2068"/>
        <item m="1" x="2069"/>
        <item m="1" x="2070"/>
        <item m="1" x="373"/>
        <item m="1" x="2071"/>
        <item m="1" x="2072"/>
        <item m="1" x="2073"/>
        <item m="1" x="401"/>
        <item m="1" x="402"/>
        <item m="1" x="2074"/>
        <item m="1" x="2075"/>
        <item m="1" x="2076"/>
        <item m="1" x="2077"/>
        <item m="1" x="2078"/>
        <item m="1" x="2079"/>
        <item m="1" x="386"/>
        <item m="1" x="542"/>
        <item m="1" x="471"/>
        <item m="1" x="414"/>
        <item m="1" x="2797"/>
        <item m="1" x="446"/>
        <item m="1" x="543"/>
        <item m="1" x="512"/>
        <item m="1" x="597"/>
        <item m="1" x="2129"/>
        <item m="1" x="2568"/>
        <item m="1" x="675"/>
        <item m="1" x="2435"/>
        <item m="1" x="2569"/>
        <item m="1" x="718"/>
        <item m="1" x="2095"/>
        <item m="1" x="2570"/>
        <item m="1" x="2439"/>
        <item m="1" x="544"/>
        <item m="1" x="2571"/>
        <item m="1" x="2718"/>
        <item m="1" x="2572"/>
        <item m="1" x="2745"/>
        <item m="1" x="2573"/>
        <item m="1" x="2810"/>
        <item m="1" x="2893"/>
        <item m="1" x="763"/>
        <item m="1" x="2574"/>
        <item m="1" x="2719"/>
        <item m="1" x="749"/>
        <item m="1" x="2720"/>
        <item m="1" x="2575"/>
        <item m="1" x="2721"/>
        <item m="1" x="225"/>
        <item m="1" x="419"/>
        <item m="1" x="2722"/>
        <item m="1" x="2425"/>
        <item m="1" x="2576"/>
        <item m="1" x="545"/>
        <item m="1" x="2577"/>
        <item m="1" x="2578"/>
        <item m="1" x="385"/>
        <item m="1" x="2579"/>
        <item m="1" x="2128"/>
        <item m="1" x="2754"/>
        <item m="1" x="3143"/>
        <item m="1" x="2111"/>
        <item m="1" x="546"/>
        <item m="1" x="410"/>
        <item m="1" x="720"/>
        <item m="1" x="2457"/>
        <item m="1" x="610"/>
        <item m="1" x="2580"/>
        <item m="1" x="2775"/>
        <item m="1" x="2581"/>
        <item m="1" x="2471"/>
        <item m="1" x="2894"/>
        <item m="1" x="2582"/>
        <item m="1" x="356"/>
        <item m="1" x="2583"/>
        <item m="1" x="3148"/>
        <item m="1" x="2798"/>
        <item m="1" x="2584"/>
        <item m="1" x="2735"/>
        <item m="1" x="2896"/>
        <item m="1" x="472"/>
        <item m="1" x="2821"/>
        <item m="1" x="974"/>
        <item m="1" x="2498"/>
        <item m="1" x="657"/>
        <item m="1" x="2585"/>
        <item m="1" x="734"/>
        <item m="1" x="547"/>
        <item m="1" x="2784"/>
        <item m="1" x="623"/>
        <item m="1" x="2737"/>
        <item m="1" x="451"/>
        <item m="1" x="640"/>
        <item m="1" x="2586"/>
        <item m="1" x="2587"/>
        <item m="1" x="624"/>
        <item m="1" x="2588"/>
        <item m="1" x="851"/>
        <item m="1" x="2750"/>
        <item m="1" x="2589"/>
        <item m="1" x="2822"/>
        <item m="1" x="2881"/>
        <item m="1" x="2590"/>
        <item m="1" x="692"/>
        <item m="1" x="2591"/>
        <item m="1" x="852"/>
        <item m="1" x="2592"/>
        <item m="1" x="741"/>
        <item m="1" x="2593"/>
        <item m="1" x="2594"/>
        <item m="1" x="2595"/>
        <item m="1" x="524"/>
        <item m="1" x="2596"/>
        <item m="1" x="2443"/>
        <item m="1" x="2597"/>
        <item m="1" x="2878"/>
        <item m="1" x="2598"/>
        <item m="1" x="2420"/>
        <item m="1" x="2599"/>
        <item m="1" x="2258"/>
        <item m="1" x="2600"/>
        <item m="1" x="665"/>
        <item m="1" x="2193"/>
        <item m="1" x="513"/>
        <item m="1" x="2601"/>
        <item m="1" x="2602"/>
        <item m="1" x="2603"/>
        <item m="1" x="2604"/>
        <item m="1" x="2605"/>
        <item m="1" x="2606"/>
        <item m="1" x="2607"/>
        <item m="1" x="2608"/>
        <item m="1" x="2234"/>
        <item m="1" x="2823"/>
        <item m="1" x="2492"/>
        <item m="1" x="2609"/>
        <item m="1" x="2147"/>
        <item m="1" x="548"/>
        <item m="1" x="2610"/>
        <item m="1" x="2830"/>
        <item m="1" x="740"/>
        <item m="1" x="2611"/>
        <item m="1" x="2844"/>
        <item m="1" x="2612"/>
        <item m="1" x="2467"/>
        <item m="1" x="2613"/>
        <item m="1" x="2614"/>
        <item m="1" x="549"/>
        <item m="1" x="2615"/>
        <item m="1" x="2616"/>
        <item m="1" x="2617"/>
        <item m="1" x="514"/>
        <item m="1" x="2618"/>
        <item m="1" x="2799"/>
        <item m="1" x="438"/>
        <item m="1" x="2619"/>
        <item m="1" x="473"/>
        <item m="1" x="452"/>
        <item m="1" x="2620"/>
        <item m="1" x="453"/>
        <item m="1" x="2621"/>
        <item m="1" x="474"/>
        <item m="1" x="2776"/>
        <item m="1" x="2622"/>
        <item m="1" x="550"/>
        <item m="1" x="551"/>
        <item m="1" x="2623"/>
        <item m="1" x="2624"/>
        <item m="1" x="475"/>
        <item m="1" x="2625"/>
        <item m="1" x="611"/>
        <item m="1" x="599"/>
        <item m="1" x="2626"/>
        <item m="1" x="2627"/>
        <item m="1" x="664"/>
        <item m="1" x="2628"/>
        <item m="1" x="536"/>
        <item m="1" x="737"/>
        <item m="1" x="729"/>
        <item m="1" x="2629"/>
        <item m="1" x="230"/>
        <item m="1" x="2895"/>
        <item m="1" x="2777"/>
        <item m="1" x="2630"/>
        <item m="1" x="3135"/>
        <item m="1" x="771"/>
        <item m="1" x="3144"/>
        <item m="1" x="454"/>
        <item m="1" x="772"/>
        <item m="1" x="355"/>
        <item m="1" x="2297"/>
        <item m="1" x="476"/>
        <item m="1" x="773"/>
        <item m="1" x="698"/>
        <item m="1" x="477"/>
        <item m="1" x="2086"/>
        <item m="1" x="774"/>
        <item m="1" x="658"/>
        <item m="1" x="2790"/>
        <item m="1" x="775"/>
        <item m="1" x="2800"/>
        <item m="1" x="776"/>
        <item m="1" x="497"/>
        <item m="1" x="2631"/>
        <item m="1" x="2419"/>
        <item m="1" x="2632"/>
        <item m="1" x="515"/>
        <item m="1" x="552"/>
        <item m="1" x="957"/>
        <item m="1" x="584"/>
        <item m="1" x="2316"/>
        <item m="1" x="465"/>
        <item m="1" x="600"/>
        <item m="1" x="659"/>
        <item m="1" x="663"/>
        <item m="1" x="461"/>
        <item m="1" x="680"/>
        <item m="1" x="739"/>
        <item m="1" x="455"/>
        <item m="1" x="2728"/>
        <item m="1" x="498"/>
        <item m="1" x="2854"/>
        <item m="1" x="3126"/>
        <item m="1" x="470"/>
        <item m="1" x="525"/>
        <item m="1" x="612"/>
        <item m="1" x="2757"/>
        <item m="1" x="2521"/>
        <item m="1" x="699"/>
        <item m="1" x="2633"/>
        <item m="1" x="756"/>
        <item m="1" x="2634"/>
        <item m="1" x="358"/>
        <item m="1" x="2195"/>
        <item m="1" x="2136"/>
        <item m="1" x="439"/>
        <item m="1" x="553"/>
        <item m="1" x="2635"/>
        <item m="1" x="554"/>
        <item m="1" x="2636"/>
        <item m="1" x="613"/>
        <item m="1" x="2637"/>
        <item m="1" x="478"/>
        <item m="1" x="614"/>
        <item m="1" x="2791"/>
        <item m="1" x="450"/>
        <item m="1" x="555"/>
        <item m="1" x="2864"/>
        <item m="1" x="516"/>
        <item m="1" x="607"/>
        <item m="1" x="2831"/>
        <item m="1" x="2783"/>
        <item m="1" x="517"/>
        <item m="1" x="635"/>
        <item m="1" x="601"/>
        <item m="1" x="653"/>
        <item m="1" x="556"/>
        <item m="1" x="2787"/>
        <item m="1" x="2126"/>
        <item m="1" x="479"/>
        <item m="1" x="585"/>
        <item m="1" x="2638"/>
        <item m="1" x="2801"/>
        <item m="1" x="2639"/>
        <item m="1" x="557"/>
        <item m="1" x="853"/>
        <item m="1" x="2640"/>
        <item m="1" x="615"/>
        <item m="1" x="2641"/>
        <item m="1" x="637"/>
        <item m="1" x="558"/>
        <item m="1" x="2642"/>
        <item m="1" x="2304"/>
        <item m="1" x="2832"/>
        <item m="1" x="2643"/>
        <item m="1" x="2557"/>
        <item m="1" x="2644"/>
        <item m="1" x="3172"/>
        <item m="1" x="2645"/>
        <item m="1" x="2499"/>
        <item m="1" x="625"/>
        <item m="1" x="2302"/>
        <item m="1" x="2646"/>
        <item m="1" x="691"/>
        <item m="1" x="559"/>
        <item m="1" x="2259"/>
        <item m="1" x="586"/>
        <item m="1" x="445"/>
        <item m="1" x="507"/>
        <item m="1" x="2845"/>
        <item m="1" x="587"/>
        <item m="1" x="2806"/>
        <item m="1" x="440"/>
        <item m="1" x="560"/>
        <item m="1" x="962"/>
        <item m="1" x="2879"/>
        <item m="1" x="561"/>
        <item m="1" x="2860"/>
        <item m="1" x="777"/>
        <item m="1" x="480"/>
        <item m="1" x="456"/>
        <item m="1" x="2647"/>
        <item m="1" x="2811"/>
        <item m="1" x="778"/>
        <item m="1" x="616"/>
        <item m="1" x="518"/>
        <item m="1" x="2905"/>
        <item m="1" x="562"/>
        <item m="1" x="2648"/>
        <item m="1" x="481"/>
        <item m="1" x="2846"/>
        <item m="1" x="2649"/>
        <item m="1" x="462"/>
        <item m="1" x="563"/>
        <item m="1" x="482"/>
        <item m="1" x="2650"/>
        <item m="1" x="779"/>
        <item m="1" x="2224"/>
        <item m="1" x="755"/>
        <item m="1" x="2153"/>
        <item m="1" x="526"/>
        <item m="1" x="714"/>
        <item m="1" x="780"/>
        <item m="1" x="674"/>
        <item m="1" x="781"/>
        <item m="1" x="3099"/>
        <item m="1" x="2651"/>
        <item m="1" x="2712"/>
        <item m="1" x="2802"/>
        <item m="1" x="913"/>
        <item m="1" x="676"/>
        <item m="1" x="782"/>
        <item m="1" x="508"/>
        <item m="1" x="783"/>
        <item m="1" x="588"/>
        <item m="1" x="2807"/>
        <item m="1" x="441"/>
        <item m="1" x="784"/>
        <item m="1" x="2778"/>
        <item m="1" x="3173"/>
        <item m="1" x="785"/>
        <item m="1" x="483"/>
        <item m="1" x="457"/>
        <item m="1" x="2273"/>
        <item m="1" x="786"/>
        <item m="1" x="2156"/>
        <item m="1" x="3112"/>
        <item m="1" x="2803"/>
        <item m="1" x="787"/>
        <item m="1" x="2833"/>
        <item m="1" x="519"/>
        <item m="1" x="2380"/>
        <item m="1" x="3127"/>
        <item m="1" x="788"/>
        <item m="1" x="390"/>
        <item m="1" x="3124"/>
        <item m="1" x="789"/>
        <item m="1" x="520"/>
        <item m="1" x="679"/>
        <item m="1" x="2652"/>
        <item m="1" x="2309"/>
        <item m="1" x="2653"/>
        <item m="1" x="2654"/>
        <item m="1" x="521"/>
        <item m="1" x="2135"/>
        <item m="1" x="527"/>
        <item m="1" x="2474"/>
        <item m="1" x="2167"/>
        <item m="1" x="790"/>
        <item m="1" x="791"/>
        <item m="1" x="564"/>
        <item m="1" x="2824"/>
        <item m="1" x="3174"/>
        <item m="1" x="602"/>
        <item m="1" x="2331"/>
        <item m="1" x="617"/>
        <item m="1" x="2751"/>
        <item m="1" x="2655"/>
        <item m="1" x="2300"/>
        <item m="1" x="509"/>
        <item m="1" x="2656"/>
        <item m="1" x="565"/>
        <item m="1" x="2657"/>
        <item m="1" x="3145"/>
        <item m="1" x="2658"/>
        <item m="1" x="537"/>
        <item m="1" x="2659"/>
        <item m="1" x="2825"/>
        <item m="1" x="2660"/>
        <item m="1" x="2661"/>
        <item m="1" x="2826"/>
        <item m="1" x="2158"/>
        <item m="1" x="2662"/>
        <item m="1" x="2876"/>
        <item m="1" x="2663"/>
        <item m="1" x="2664"/>
        <item m="1" x="2665"/>
        <item m="1" x="566"/>
        <item m="1" x="484"/>
        <item m="1" x="2666"/>
        <item m="1" x="2834"/>
        <item m="1" x="499"/>
        <item m="1" x="2667"/>
        <item m="1" x="589"/>
        <item m="1" x="2668"/>
        <item m="1" x="2847"/>
        <item m="1" x="2669"/>
        <item m="1" x="603"/>
        <item m="1" x="2804"/>
        <item m="1" x="2670"/>
        <item m="1" x="2855"/>
        <item m="1" x="2671"/>
        <item m="1" x="618"/>
        <item m="1" x="2861"/>
        <item m="1" x="2672"/>
        <item m="1" x="626"/>
        <item m="1" x="2673"/>
        <item m="1" x="567"/>
        <item m="1" x="485"/>
        <item m="1" x="2674"/>
        <item m="1" x="409"/>
        <item m="1" x="2805"/>
        <item m="1" x="2848"/>
        <item m="1" x="2675"/>
        <item m="1" x="2676"/>
        <item m="1" x="528"/>
        <item m="1" x="695"/>
        <item m="1" x="2299"/>
        <item m="1" x="2677"/>
        <item m="1" x="2127"/>
        <item m="1" x="2159"/>
        <item m="1" x="2678"/>
        <item m="1" x="2679"/>
        <item m="1" x="2812"/>
        <item m="1" x="2680"/>
        <item m="1" x="689"/>
        <item m="1" x="399"/>
        <item m="1" x="2681"/>
        <item m="1" x="732"/>
        <item m="1" x="2792"/>
        <item m="1" x="538"/>
        <item m="1" x="2887"/>
        <item m="1" x="2682"/>
        <item m="1" x="2827"/>
        <item m="1" x="500"/>
        <item m="1" x="2683"/>
        <item m="1" x="2835"/>
        <item m="1" x="792"/>
        <item m="1" x="420"/>
        <item m="1" x="735"/>
        <item m="1" x="793"/>
        <item m="1" x="706"/>
        <item m="1" x="2849"/>
        <item m="1" x="486"/>
        <item m="1" x="2684"/>
        <item m="1" x="736"/>
        <item m="1" x="2809"/>
        <item m="1" x="2685"/>
        <item m="1" x="568"/>
        <item m="1" x="2686"/>
        <item m="1" x="2466"/>
        <item m="1" x="2856"/>
        <item m="1" x="466"/>
        <item m="1" x="2687"/>
        <item m="1" x="2828"/>
        <item m="1" x="487"/>
        <item m="1" x="2688"/>
        <item m="1" x="2355"/>
        <item m="1" x="2689"/>
        <item m="1" x="2793"/>
        <item m="1" x="2690"/>
        <item m="1" x="539"/>
        <item m="1" x="488"/>
        <item m="1" x="540"/>
        <item m="1" x="2785"/>
        <item m="1" x="656"/>
        <item m="1" x="649"/>
        <item m="1" x="3149"/>
        <item m="1" x="2329"/>
        <item m="1" x="590"/>
        <item m="1" x="638"/>
        <item m="1" x="2897"/>
        <item m="1" x="489"/>
        <item m="1" x="794"/>
        <item m="1" x="766"/>
        <item m="1" x="490"/>
        <item m="1" x="795"/>
        <item m="1" x="2829"/>
        <item m="1" x="2261"/>
        <item m="1" x="3150"/>
        <item m="1" x="2691"/>
        <item m="1" x="2179"/>
        <item m="1" x="796"/>
        <item m="1" x="619"/>
        <item m="1" x="2464"/>
        <item m="1" x="797"/>
        <item m="1" x="3154"/>
        <item m="1" x="491"/>
        <item m="1" x="569"/>
        <item m="1" x="2794"/>
        <item m="1" x="2692"/>
        <item m="1" x="798"/>
        <item m="1" x="2898"/>
        <item m="1" x="510"/>
        <item m="1" x="2693"/>
        <item m="1" x="2857"/>
        <item m="1" x="2694"/>
        <item m="1" x="604"/>
        <item m="1" x="2695"/>
        <item m="1" x="591"/>
        <item m="1" x="2752"/>
        <item m="1" x="2836"/>
        <item m="1" x="907"/>
        <item m="1" x="411"/>
        <item m="1" x="2549"/>
        <item m="1" x="570"/>
        <item m="1" x="2506"/>
        <item m="1" x="722"/>
        <item m="1" x="2106"/>
        <item m="1" x="986"/>
        <item m="1" x="2858"/>
        <item m="1" x="2862"/>
        <item m="1" x="799"/>
        <item m="1" x="3153"/>
        <item m="1" x="800"/>
        <item m="1" x="2432"/>
        <item m="1" x="801"/>
        <item m="1" x="620"/>
        <item m="1" x="733"/>
        <item m="1" x="592"/>
        <item m="1" x="2837"/>
        <item m="1" x="2558"/>
        <item m="1" x="2424"/>
        <item m="1" x="627"/>
        <item m="1" x="668"/>
        <item m="1" x="357"/>
        <item m="1" x="3151"/>
        <item m="1" x="571"/>
        <item m="1" x="2696"/>
        <item m="1" x="2296"/>
        <item m="1" x="2838"/>
        <item m="1" x="593"/>
        <item m="1" x="802"/>
        <item m="1" x="2084"/>
        <item m="1" x="2276"/>
        <item m="1" x="661"/>
        <item m="1" x="803"/>
        <item m="1" x="694"/>
        <item m="1" x="804"/>
        <item m="1" x="2154"/>
        <item m="1" x="805"/>
        <item m="1" x="2151"/>
        <item m="1" x="2697"/>
        <item m="1" x="2415"/>
        <item m="1" x="806"/>
        <item m="1" x="2491"/>
        <item m="1" x="807"/>
        <item m="1" x="2813"/>
        <item m="1" x="808"/>
        <item m="1" x="2814"/>
        <item m="1" x="809"/>
        <item m="1" x="2815"/>
        <item m="1" x="2816"/>
        <item m="1" x="572"/>
        <item m="1" x="2839"/>
        <item m="1" x="594"/>
        <item m="1" x="2850"/>
        <item m="1" x="2426"/>
        <item m="1" x="605"/>
        <item m="1" x="3161"/>
        <item m="1" x="2859"/>
        <item m="1" x="2455"/>
        <item m="1" x="621"/>
        <item m="1" x="2470"/>
        <item m="1" x="810"/>
        <item m="1" x="573"/>
        <item m="1" x="811"/>
        <item m="1" x="2840"/>
        <item m="1" x="812"/>
        <item m="1" x="2841"/>
        <item m="1" x="813"/>
        <item m="1" x="574"/>
        <item m="1" x="746"/>
        <item m="1" x="595"/>
        <item m="1" x="814"/>
        <item m="1" x="575"/>
        <item m="1" x="815"/>
        <item m="1" x="576"/>
        <item m="1" x="816"/>
        <item m="1" x="577"/>
        <item m="1" x="2851"/>
        <item m="1" x="2427"/>
        <item m="1" x="2852"/>
        <item m="1" x="3132"/>
        <item m="1" x="817"/>
        <item m="1" x="2817"/>
        <item m="1" x="818"/>
        <item m="1" x="2818"/>
        <item m="1" x="819"/>
        <item m="1" x="622"/>
        <item m="1" x="578"/>
        <item m="1" x="2698"/>
        <item m="1" x="2842"/>
        <item m="1" x="606"/>
        <item m="1" x="628"/>
        <item m="1" x="2428"/>
        <item m="1" x="2456"/>
        <item m="1" x="579"/>
        <item m="1" x="580"/>
        <item m="1" x="581"/>
        <item m="1" x="820"/>
        <item m="1" x="582"/>
        <item m="1" x="821"/>
        <item m="1" x="970"/>
        <item m="1" x="583"/>
        <item m="1" x="743"/>
        <item m="1" x="822"/>
        <item m="1" x="2819"/>
        <item m="1" x="2820"/>
        <item m="1" x="980"/>
        <item m="1" x="2378"/>
        <item m="1" x="2699"/>
        <item m="1" x="823"/>
        <item m="1" x="2091"/>
        <item m="1" x="2868"/>
        <item m="1" x="2476"/>
        <item m="1" x="2992"/>
        <item m="1" x="2756"/>
        <item m="1" x="2700"/>
        <item m="1" x="2701"/>
        <item m="1" x="2137"/>
        <item m="1" x="824"/>
        <item m="1" x="825"/>
        <item m="1" x="666"/>
        <item m="1" x="2702"/>
        <item m="1" x="696"/>
        <item m="1" x="2703"/>
        <item m="1" x="738"/>
        <item m="1" x="753"/>
        <item m="1" x="2704"/>
        <item m="1" x="630"/>
        <item m="1" x="2429"/>
        <item m="1" x="826"/>
        <item m="1" x="827"/>
        <item m="1" x="828"/>
        <item m="1" x="829"/>
        <item m="1" x="2705"/>
        <item m="1" x="636"/>
        <item m="1" x="2706"/>
        <item m="1" x="2707"/>
        <item m="1" x="2324"/>
        <item m="1" x="2430"/>
        <item m="1" x="2708"/>
        <item m="1" x="2709"/>
        <item m="1" x="2235"/>
        <item m="1" x="2497"/>
        <item m="1" x="415"/>
        <item m="1" x="2458"/>
        <item m="1" x="2472"/>
        <item m="1" x="2459"/>
        <item m="1" x="639"/>
        <item m="1" x="830"/>
        <item m="1" x="688"/>
        <item m="1" x="2730"/>
        <item m="1" x="2168"/>
        <item m="1" x="968"/>
        <item m="1" x="932"/>
        <item m="1" x="770"/>
        <item m="1" x="3125"/>
        <item m="1" x="910"/>
        <item m="1" x="2733"/>
        <item x="8"/>
        <item m="1" x="2795"/>
        <item m="1" x="2110"/>
        <item m="1" x="2883"/>
        <item m="1" x="432"/>
        <item m="1" x="2729"/>
        <item m="1" x="2121"/>
        <item m="1" x="2171"/>
        <item m="1" x="2341"/>
        <item m="1" x="2108"/>
        <item m="1" x="400"/>
        <item m="1" x="1004"/>
        <item m="1" x="2873"/>
        <item m="1" x="2545"/>
        <item m="1" x="2889"/>
        <item m="1" x="2315"/>
        <item m="1" x="2739"/>
        <item m="1" x="935"/>
        <item m="1" x="2407"/>
        <item m="1" x="2385"/>
        <item m="1" x="3129"/>
        <item m="1" x="2260"/>
        <item m="1" x="2305"/>
        <item m="1" x="2097"/>
        <item x="10"/>
        <item m="1" x="424"/>
        <item m="1" x="2160"/>
        <item m="1" x="2088"/>
        <item m="1" x="2886"/>
        <item m="1" x="2292"/>
        <item m="1" x="463"/>
        <item m="1" x="2451"/>
        <item m="1" x="3158"/>
        <item m="1" x="2902"/>
        <item m="1" x="2880"/>
        <item m="1" x="2274"/>
        <item m="1" x="492"/>
        <item x="14"/>
        <item m="1" x="726"/>
        <item m="1" x="2133"/>
        <item m="1" x="421"/>
        <item m="1" x="2363"/>
        <item m="1" x="2174"/>
        <item m="1" x="645"/>
        <item m="1" x="2755"/>
        <item m="1" x="671"/>
        <item m="1" x="2320"/>
        <item m="1" x="2263"/>
        <item m="1" x="2144"/>
        <item m="1" x="631"/>
        <item m="1" x="2321"/>
        <item x="16"/>
        <item m="1" x="2173"/>
        <item m="1" x="2134"/>
        <item m="1" x="2098"/>
        <item m="1" x="2287"/>
        <item m="1" x="994"/>
        <item m="1" x="2462"/>
        <item m="1" x="917"/>
        <item m="1" x="2892"/>
        <item m="1" x="833"/>
        <item m="1" x="2452"/>
        <item m="1" x="2715"/>
        <item m="1" x="2286"/>
        <item m="1" x="2438"/>
        <item m="1" x="2333"/>
        <item m="1" x="992"/>
        <item m="1" x="2441"/>
        <item m="1" x="2102"/>
        <item m="1" x="2310"/>
        <item m="1" x="609"/>
        <item m="1" x="2277"/>
        <item m="1" x="2311"/>
        <item m="1" x="909"/>
        <item m="1" x="2431"/>
        <item m="1" x="2089"/>
        <item m="1" x="2357"/>
        <item x="224"/>
        <item m="1" x="742"/>
        <item m="1" x="2421"/>
        <item m="1" x="2877"/>
        <item m="1" x="2162"/>
        <item m="1" x="2085"/>
        <item m="1" x="2148"/>
        <item m="1" x="2760"/>
        <item x="18"/>
        <item x="19"/>
        <item m="1" x="2152"/>
        <item m="1" x="2494"/>
        <item m="1" x="990"/>
        <item m="1" x="677"/>
        <item m="1" x="2808"/>
        <item m="1" x="2087"/>
        <item m="1" x="3133"/>
        <item x="20"/>
        <item m="1" x="3131"/>
        <item m="1" x="2343"/>
        <item m="1" x="2444"/>
        <item m="1" x="387"/>
        <item x="21"/>
        <item m="1" x="3162"/>
        <item m="1" x="2248"/>
        <item m="1" x="858"/>
        <item x="22"/>
        <item m="1" x="3166"/>
        <item m="1" x="744"/>
        <item x="23"/>
        <item x="24"/>
        <item m="1" x="2081"/>
        <item m="1" x="2199"/>
        <item m="1" x="765"/>
        <item m="1" x="2194"/>
        <item m="1" x="697"/>
        <item m="1" x="416"/>
        <item m="1" x="2759"/>
        <item m="1" x="2867"/>
        <item m="1" x="506"/>
        <item m="1" x="2763"/>
        <item m="1" x="234"/>
        <item m="1" x="2442"/>
        <item m="1" x="728"/>
        <item m="1" x="2376"/>
        <item m="1" x="389"/>
        <item m="1" x="2285"/>
        <item m="1" x="757"/>
        <item m="1" x="2377"/>
        <item x="25"/>
        <item m="1" x="2536"/>
        <item m="1" x="2537"/>
        <item m="1" x="989"/>
        <item m="1" x="993"/>
        <item m="1" x="2529"/>
        <item m="1" x="2532"/>
        <item m="1" x="2542"/>
        <item m="1" x="2544"/>
        <item m="1" x="2291"/>
        <item m="1" x="442"/>
        <item m="1" x="2319"/>
        <item m="1" x="458"/>
        <item m="1" x="2351"/>
        <item m="1" x="2166"/>
        <item m="1" x="2289"/>
        <item m="1" x="2404"/>
        <item m="1" x="235"/>
        <item m="1" x="633"/>
        <item m="1" x="886"/>
        <item m="1" x="2282"/>
        <item m="1" x="236"/>
        <item m="1" x="2219"/>
        <item m="1" x="2323"/>
        <item m="1" x="2169"/>
        <item m="1" x="2092"/>
        <item m="1" x="2882"/>
        <item m="1" x="3159"/>
        <item x="26"/>
        <item m="1" x="449"/>
        <item m="1" x="2165"/>
        <item m="1" x="3128"/>
        <item m="1" x="2900"/>
        <item m="1" x="3157"/>
        <item m="1" x="710"/>
        <item m="1" x="2099"/>
        <item x="27"/>
        <item m="1" x="2495"/>
        <item m="1" x="911"/>
        <item m="1" x="2496"/>
        <item m="1" x="2502"/>
        <item m="1" x="2891"/>
        <item m="1" x="651"/>
        <item m="1" x="3134"/>
        <item m="1" x="2744"/>
        <item x="28"/>
        <item m="1" x="2290"/>
        <item m="1" x="759"/>
        <item m="1" x="2723"/>
        <item x="29"/>
        <item m="1" x="2090"/>
        <item m="1" x="912"/>
        <item m="1" x="2503"/>
        <item m="1" x="2713"/>
        <item m="1" x="2280"/>
        <item m="1" x="3138"/>
        <item m="1" x="394"/>
        <item m="1" x="2221"/>
        <item m="1" x="237"/>
        <item m="1" x="683"/>
        <item m="1" x="760"/>
        <item m="1" x="2552"/>
        <item m="1" x="428"/>
        <item m="1" x="2473"/>
        <item m="1" x="228"/>
        <item m="1" x="238"/>
        <item x="30"/>
        <item x="31"/>
        <item m="1" x="2440"/>
        <item m="1" x="940"/>
        <item m="1" x="925"/>
        <item m="1" x="2513"/>
        <item m="1" x="2853"/>
        <item m="1" x="2493"/>
        <item m="1" x="2163"/>
        <item m="1" x="2237"/>
        <item x="32"/>
        <item m="1" x="3155"/>
        <item x="33"/>
        <item m="1" x="2433"/>
        <item m="1" x="2727"/>
        <item m="1" x="869"/>
        <item m="1" x="2157"/>
        <item m="1" x="2559"/>
        <item m="1" x="708"/>
        <item m="1" x="983"/>
        <item m="1" x="2562"/>
        <item m="1" x="2564"/>
        <item m="1" x="2565"/>
        <item m="1" x="2567"/>
        <item m="1" x="998"/>
        <item m="1" x="2711"/>
        <item m="1" x="2736"/>
        <item m="1" x="2788"/>
        <item m="1" x="2489"/>
        <item m="1" x="667"/>
        <item m="1" x="2113"/>
        <item m="1" x="979"/>
        <item m="1" x="2283"/>
        <item m="1" x="2352"/>
        <item m="1" x="2367"/>
        <item m="1" x="2112"/>
        <item m="1" x="2364"/>
        <item m="1" x="2335"/>
        <item m="1" x="2233"/>
        <item m="1" x="239"/>
        <item m="1" x="2140"/>
        <item m="1" x="1000"/>
        <item m="1" x="1003"/>
        <item m="1" x="1006"/>
        <item m="1" x="1009"/>
        <item m="1" x="711"/>
        <item m="1" x="955"/>
        <item m="1" x="762"/>
        <item m="1" x="918"/>
        <item m="1" x="2508"/>
        <item m="1" x="2123"/>
        <item x="12"/>
        <item m="1" x="922"/>
        <item m="1" x="967"/>
        <item m="1" x="2469"/>
        <item m="1" x="2888"/>
        <item m="1" x="2907"/>
        <item m="1" x="3164"/>
        <item m="1" x="240"/>
        <item m="1" x="2094"/>
        <item m="1" x="672"/>
        <item m="1" x="2368"/>
        <item m="1" x="241"/>
        <item m="1" x="747"/>
        <item m="1" x="2379"/>
        <item m="1" x="660"/>
        <item m="1" x="2484"/>
        <item m="1" x="914"/>
        <item m="1" x="2866"/>
        <item m="1" x="3136"/>
        <item m="1" x="999"/>
        <item m="1" x="1016"/>
        <item m="1" x="2161"/>
        <item x="34"/>
        <item m="1" x="244"/>
        <item x="35"/>
        <item m="1" x="2405"/>
        <item m="1" x="2554"/>
        <item m="1" x="360"/>
        <item m="1" x="2196"/>
        <item m="1" x="2172"/>
        <item m="1" x="2774"/>
        <item x="37"/>
        <item m="1" x="883"/>
        <item m="1" x="2478"/>
        <item m="1" x="2843"/>
        <item m="1" x="2560"/>
        <item m="1" x="2116"/>
        <item m="1" x="2716"/>
        <item m="1" x="969"/>
        <item m="1" x="2504"/>
        <item m="1" x="2141"/>
        <item m="1" x="469"/>
        <item m="1" x="2732"/>
        <item m="1" x="2779"/>
        <item m="1" x="2170"/>
        <item m="1" x="245"/>
        <item m="1" x="2724"/>
        <item m="1" x="647"/>
        <item m="1" x="2550"/>
        <item m="1" x="1008"/>
        <item m="1" x="1002"/>
        <item m="1" x="2264"/>
        <item m="1" x="2416"/>
        <item m="1" x="2313"/>
        <item m="1" x="2348"/>
        <item x="38"/>
        <item m="1" x="2874"/>
        <item m="1" x="3147"/>
        <item m="1" x="2231"/>
        <item m="1" x="881"/>
        <item x="39"/>
        <item m="1" x="2254"/>
        <item m="1" x="632"/>
        <item m="1" x="642"/>
        <item m="1" x="2325"/>
        <item m="1" x="2346"/>
        <item m="1" x="246"/>
        <item x="40"/>
        <item m="1" x="938"/>
        <item m="1" x="916"/>
        <item m="1" x="975"/>
        <item m="1" x="2460"/>
        <item x="41"/>
        <item x="42"/>
        <item m="1" x="2746"/>
        <item m="1" x="2762"/>
        <item m="1" x="2255"/>
        <item m="1" x="2201"/>
        <item m="1" x="2164"/>
        <item m="1" x="3137"/>
        <item m="1" x="686"/>
        <item m="1" x="958"/>
        <item m="1" x="448"/>
        <item m="1" x="2332"/>
        <item m="1" x="2250"/>
        <item x="43"/>
        <item m="1" x="2288"/>
        <item m="1" x="976"/>
        <item m="1" x="926"/>
        <item m="1" x="655"/>
        <item m="1" x="2104"/>
        <item m="1" x="2122"/>
        <item m="1" x="2124"/>
        <item m="1" x="731"/>
        <item x="44"/>
        <item x="45"/>
        <item x="46"/>
        <item x="47"/>
        <item m="1" x="2203"/>
        <item x="48"/>
        <item m="1" x="2781"/>
        <item m="1" x="673"/>
        <item m="1" x="730"/>
        <item x="49"/>
        <item m="1" x="1005"/>
        <item m="1" x="1014"/>
        <item m="1" x="2786"/>
        <item m="1" x="950"/>
        <item m="1" x="2487"/>
        <item m="1" x="2093"/>
        <item m="1" x="2865"/>
        <item m="1" x="758"/>
        <item m="1" x="987"/>
        <item m="1" x="2761"/>
        <item m="1" x="252"/>
        <item m="1" x="253"/>
        <item m="1" x="254"/>
        <item m="1" x="2295"/>
        <item m="1" x="2780"/>
        <item m="1" x="2753"/>
        <item m="1" x="748"/>
        <item m="1" x="3115"/>
        <item m="1" x="2539"/>
        <item m="1" x="2253"/>
        <item m="1" x="3169"/>
        <item m="1" x="2101"/>
        <item m="1" x="2271"/>
        <item m="1" x="2232"/>
        <item m="1" x="255"/>
        <item m="1" x="2303"/>
        <item m="1" x="256"/>
        <item m="1" x="2863"/>
        <item m="1" x="250"/>
        <item m="1" x="251"/>
        <item m="1" x="248"/>
        <item m="1" x="2734"/>
        <item x="50"/>
        <item m="1" x="257"/>
        <item m="1" x="2326"/>
        <item m="1" x="2262"/>
        <item m="1" x="2901"/>
        <item m="1" x="2409"/>
        <item m="1" x="2566"/>
        <item m="1" x="2710"/>
        <item m="1" x="2251"/>
        <item m="1" x="258"/>
        <item m="1" x="259"/>
        <item m="1" x="260"/>
        <item m="1" x="261"/>
        <item m="1" x="262"/>
        <item m="1" x="263"/>
        <item m="1" x="264"/>
        <item m="1" x="265"/>
        <item m="1" x="985"/>
        <item m="1" x="444"/>
        <item m="1" x="2198"/>
        <item m="1" x="2360"/>
        <item m="1" x="693"/>
        <item m="1" x="2434"/>
        <item m="1" x="678"/>
        <item m="1" x="468"/>
        <item m="1" x="2125"/>
        <item m="1" x="769"/>
        <item m="1" x="2369"/>
        <item m="1" x="879"/>
        <item m="1" x="2423"/>
        <item m="1" x="973"/>
        <item m="1" x="669"/>
        <item x="51"/>
        <item m="1" x="2383"/>
        <item m="1" x="682"/>
        <item x="52"/>
        <item x="53"/>
        <item m="1" x="2197"/>
        <item m="1" x="2222"/>
        <item x="54"/>
        <item m="1" x="643"/>
        <item m="1" x="269"/>
        <item m="1" x="270"/>
        <item m="1" x="271"/>
        <item m="1" x="273"/>
        <item m="1" x="2281"/>
        <item m="1" x="274"/>
        <item m="1" x="275"/>
        <item m="1" x="2356"/>
        <item m="1" x="2257"/>
        <item m="1" x="2269"/>
        <item m="1" x="2384"/>
        <item x="55"/>
        <item x="56"/>
        <item x="57"/>
        <item x="58"/>
        <item x="59"/>
        <item x="60"/>
        <item x="61"/>
        <item m="1" x="2500"/>
        <item m="1" x="764"/>
        <item m="1" x="2381"/>
        <item m="1" x="934"/>
        <item m="1" x="391"/>
        <item x="62"/>
        <item x="63"/>
        <item x="64"/>
        <item x="65"/>
        <item m="1" x="2109"/>
        <item m="1" x="2387"/>
        <item m="1" x="2553"/>
        <item m="1" x="276"/>
        <item m="1" x="277"/>
        <item m="1" x="278"/>
        <item m="1" x="2100"/>
        <item m="1" x="397"/>
        <item m="1" x="2131"/>
        <item m="1" x="2138"/>
        <item m="1" x="2743"/>
        <item x="66"/>
        <item x="67"/>
        <item m="1" x="2417"/>
        <item m="1" x="2731"/>
        <item m="1" x="2511"/>
        <item m="1" x="2551"/>
        <item m="1" x="535"/>
        <item m="1" x="596"/>
        <item m="1" x="2561"/>
        <item x="68"/>
        <item x="69"/>
        <item m="1" x="920"/>
        <item m="1" x="725"/>
        <item x="70"/>
        <item x="71"/>
        <item x="72"/>
        <item x="73"/>
        <item m="1" x="2488"/>
        <item x="74"/>
        <item x="75"/>
        <item x="76"/>
        <item x="77"/>
        <item x="78"/>
        <item m="1" x="2875"/>
        <item m="1" x="690"/>
        <item m="1" x="2149"/>
        <item m="1" x="933"/>
        <item m="1" x="227"/>
        <item x="79"/>
        <item m="1" x="2740"/>
        <item m="1" x="2082"/>
        <item m="1" x="2548"/>
        <item m="1" x="281"/>
        <item m="1" x="282"/>
        <item x="80"/>
        <item m="1" x="2105"/>
        <item m="1" x="2145"/>
        <item m="1" x="2314"/>
        <item m="1" x="283"/>
        <item m="1" x="2796"/>
        <item m="1" x="2107"/>
        <item m="1" x="284"/>
        <item m="1" x="2758"/>
        <item m="1" x="361"/>
        <item m="1" x="2738"/>
        <item m="1" x="908"/>
        <item m="1" x="285"/>
        <item m="1" x="286"/>
        <item m="1" x="287"/>
        <item m="1" x="288"/>
        <item x="81"/>
        <item m="1" x="289"/>
        <item m="1" x="290"/>
        <item x="82"/>
        <item x="83"/>
        <item x="84"/>
        <item x="85"/>
        <item m="1" x="2482"/>
        <item m="1" x="2486"/>
        <item m="1" x="1010"/>
        <item m="1" x="2748"/>
        <item m="1" x="3167"/>
        <item m="1" x="2294"/>
        <item x="86"/>
        <item x="87"/>
        <item x="88"/>
        <item x="89"/>
        <item x="90"/>
        <item m="1" x="598"/>
        <item x="91"/>
        <item x="92"/>
        <item x="93"/>
        <item x="94"/>
        <item x="95"/>
        <item m="1" x="2910"/>
        <item m="1" x="670"/>
        <item m="1" x="291"/>
        <item m="1" x="292"/>
        <item m="1" x="293"/>
        <item m="1" x="294"/>
        <item m="1" x="280"/>
        <item m="1" x="995"/>
        <item m="1" x="2408"/>
        <item x="13"/>
        <item x="96"/>
        <item m="1" x="2096"/>
        <item m="1" x="996"/>
        <item m="1" x="2414"/>
        <item m="1" x="2543"/>
        <item m="1" x="2523"/>
        <item m="1" x="959"/>
        <item m="1" x="295"/>
        <item m="1" x="296"/>
        <item m="1" x="297"/>
        <item m="1" x="298"/>
        <item m="1" x="299"/>
        <item m="1" x="300"/>
        <item m="1" x="301"/>
        <item x="36"/>
        <item x="97"/>
        <item x="98"/>
        <item x="99"/>
        <item m="1" x="644"/>
        <item x="100"/>
        <item x="101"/>
        <item m="1" x="2522"/>
        <item m="1" x="2454"/>
        <item m="1" x="2146"/>
        <item m="1" x="2132"/>
        <item x="102"/>
        <item m="1" x="2480"/>
        <item x="103"/>
        <item m="1" x="302"/>
        <item m="1" x="303"/>
        <item m="1" x="2374"/>
        <item m="1" x="501"/>
        <item x="104"/>
        <item m="1" x="754"/>
        <item m="1" x="304"/>
        <item x="105"/>
        <item m="1" x="305"/>
        <item x="106"/>
        <item x="107"/>
        <item x="108"/>
        <item m="1" x="2117"/>
        <item x="109"/>
        <item x="110"/>
        <item x="111"/>
        <item x="112"/>
        <item x="113"/>
        <item x="114"/>
        <item m="1" x="2782"/>
        <item m="1" x="2468"/>
        <item x="115"/>
        <item m="1" x="2118"/>
        <item m="1" x="307"/>
        <item m="1" x="308"/>
        <item m="1" x="369"/>
        <item m="1" x="306"/>
        <item m="1" x="2342"/>
        <item m="1" x="388"/>
        <item m="1" x="309"/>
        <item m="1" x="310"/>
        <item m="1" x="3168"/>
        <item m="1" x="2884"/>
        <item x="116"/>
        <item x="117"/>
        <item x="118"/>
        <item m="1" x="2284"/>
        <item m="1" x="2555"/>
        <item m="1" x="2298"/>
        <item m="1" x="2747"/>
        <item m="1" x="311"/>
        <item m="1" x="3156"/>
        <item m="1" x="312"/>
        <item m="1" x="313"/>
        <item m="1" x="314"/>
        <item m="1" x="2252"/>
        <item m="1" x="2226"/>
        <item m="1" x="495"/>
        <item m="1" x="2885"/>
        <item m="1" x="2322"/>
        <item x="119"/>
        <item m="1" x="2461"/>
        <item m="1" x="2382"/>
        <item m="1" x="2418"/>
        <item m="1" x="2330"/>
        <item x="120"/>
        <item m="1" x="2742"/>
        <item x="121"/>
        <item m="1" x="1007"/>
        <item m="1" x="315"/>
        <item m="1" x="316"/>
        <item m="1" x="2150"/>
        <item m="1" x="2230"/>
        <item m="1" x="2870"/>
        <item m="1" x="317"/>
        <item m="1" x="2229"/>
        <item m="1" x="459"/>
        <item m="1" x="608"/>
        <item m="1" x="2301"/>
        <item m="1" x="2413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m="1" x="318"/>
        <item x="134"/>
        <item x="135"/>
        <item x="136"/>
        <item x="137"/>
        <item x="138"/>
        <item m="1" x="319"/>
        <item m="1" x="320"/>
        <item m="1" x="2228"/>
        <item m="1" x="2083"/>
        <item x="139"/>
        <item x="140"/>
        <item x="141"/>
        <item x="142"/>
        <item m="1" x="2538"/>
        <item m="1" x="991"/>
        <item m="1" x="2872"/>
        <item x="143"/>
        <item x="144"/>
        <item m="1" x="321"/>
        <item m="1" x="322"/>
        <item m="1" x="323"/>
        <item m="1" x="324"/>
        <item m="1" x="325"/>
        <item x="145"/>
        <item x="146"/>
        <item x="147"/>
        <item x="148"/>
        <item x="149"/>
        <item x="150"/>
        <item x="151"/>
        <item m="1" x="327"/>
        <item x="152"/>
        <item x="153"/>
        <item m="1" x="3130"/>
        <item m="1" x="429"/>
        <item m="1" x="328"/>
        <item m="1" x="329"/>
        <item m="1" x="330"/>
        <item m="1" x="326"/>
        <item m="1" x="2371"/>
        <item m="1" x="745"/>
        <item x="154"/>
        <item x="155"/>
        <item x="156"/>
        <item x="157"/>
        <item m="1" x="2749"/>
        <item m="1" x="662"/>
        <item m="1" x="719"/>
        <item m="1" x="847"/>
        <item m="1" x="2188"/>
        <item x="158"/>
        <item x="159"/>
        <item x="160"/>
        <item x="161"/>
        <item x="162"/>
        <item m="1" x="331"/>
        <item m="1" x="332"/>
        <item m="1" x="333"/>
        <item m="1" x="334"/>
        <item x="163"/>
        <item x="164"/>
        <item x="165"/>
        <item m="1" x="2139"/>
        <item x="166"/>
        <item x="167"/>
        <item x="168"/>
        <item x="169"/>
        <item x="170"/>
        <item x="171"/>
        <item m="1" x="767"/>
        <item m="1" x="2103"/>
        <item m="1" x="2714"/>
        <item m="1" x="335"/>
        <item m="1" x="336"/>
        <item m="1" x="337"/>
        <item m="1" x="880"/>
        <item m="1" x="988"/>
        <item m="1" x="2119"/>
        <item m="1" x="2535"/>
        <item m="1" x="2741"/>
        <item m="1" x="2249"/>
        <item m="1" x="226"/>
        <item m="1" x="504"/>
        <item x="172"/>
        <item x="173"/>
        <item x="174"/>
        <item m="1" x="2547"/>
        <item x="175"/>
        <item m="1" x="338"/>
        <item m="1" x="339"/>
        <item m="1" x="2155"/>
        <item m="1" x="3171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m="1" x="2115"/>
        <item x="191"/>
        <item x="192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m="1" x="350"/>
        <item x="207"/>
        <item x="208"/>
        <item x="209"/>
        <item x="210"/>
        <item x="211"/>
        <item x="212"/>
        <item m="1" x="351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 defaultSubtotal="0">
      <items count="173">
        <item sd="0" m="1" x="135"/>
        <item sd="0" m="1" x="114"/>
        <item sd="0" m="1" x="116"/>
        <item sd="0" m="1" x="147"/>
        <item sd="0" m="1" x="91"/>
        <item sd="0" m="1" x="121"/>
        <item sd="0" m="1" x="112"/>
        <item sd="0" m="1" x="124"/>
        <item sd="0" m="1" x="101"/>
        <item sd="0" m="1" x="165"/>
        <item sd="0" m="1" x="151"/>
        <item sd="0" m="1" x="102"/>
        <item sd="0" m="1" x="105"/>
        <item sd="0" m="1" x="133"/>
        <item sd="0" m="1" x="144"/>
        <item sd="0" m="1" x="157"/>
        <item sd="0" m="1" x="95"/>
        <item sd="0" m="1" x="162"/>
        <item sd="0" m="1" x="96"/>
        <item sd="0" m="1" x="128"/>
        <item sd="0" m="1" x="125"/>
        <item sd="0" m="1" x="146"/>
        <item sd="0" m="1" x="129"/>
        <item sd="0" m="1" x="126"/>
        <item sd="0" m="1" x="97"/>
        <item sd="0" m="1" x="120"/>
        <item sd="0" m="1" x="155"/>
        <item sd="0" m="1" x="107"/>
        <item sd="0" m="1" x="92"/>
        <item sd="0" m="1" x="160"/>
        <item sd="0" m="1" x="117"/>
        <item sd="0" m="1" x="156"/>
        <item sd="0" m="1" x="148"/>
        <item sd="0" m="1" x="143"/>
        <item sd="0" m="1" x="140"/>
        <item sd="0" x="3"/>
        <item sd="0" m="1" x="168"/>
        <item sd="0" m="1" x="161"/>
        <item sd="0" x="40"/>
        <item sd="0" x="5"/>
        <item sd="0" x="20"/>
        <item sd="0" x="6"/>
        <item sd="0" x="42"/>
        <item sd="0" x="13"/>
        <item sd="0" m="1" x="99"/>
        <item sd="0" x="0"/>
        <item sd="0" m="1" x="153"/>
        <item sd="0" m="1" x="119"/>
        <item sd="0" m="1" x="111"/>
        <item sd="0" m="1" x="137"/>
        <item sd="0" x="43"/>
        <item sd="0" x="15"/>
        <item sd="0" x="35"/>
        <item sd="0" x="17"/>
        <item sd="0" x="24"/>
        <item sd="0" x="44"/>
        <item sd="0" x="46"/>
        <item sd="0" x="47"/>
        <item sd="0" m="1" x="130"/>
        <item sd="0" x="14"/>
        <item sd="0" x="48"/>
        <item sd="0" x="52"/>
        <item sd="0" x="53"/>
        <item sd="0" x="4"/>
        <item sd="0" x="36"/>
        <item sd="0" x="55"/>
        <item sd="0" x="2"/>
        <item sd="0" x="57"/>
        <item sd="0" x="19"/>
        <item sd="0" x="58"/>
        <item sd="0" m="1" x="103"/>
        <item sd="0" m="1" x="150"/>
        <item sd="0" x="60"/>
        <item sd="0" m="1" x="136"/>
        <item sd="0" x="61"/>
        <item sd="0" x="62"/>
        <item sd="0" m="1" x="159"/>
        <item sd="0" x="38"/>
        <item sd="0" x="34"/>
        <item sd="0" x="63"/>
        <item sd="0" x="64"/>
        <item sd="0" x="66"/>
        <item sd="0" x="67"/>
        <item sd="0" x="68"/>
        <item sd="0" x="30"/>
        <item sd="0" x="69"/>
        <item sd="0" m="1" x="106"/>
        <item sd="0" x="9"/>
        <item sd="0" x="71"/>
        <item sd="0" m="1" x="110"/>
        <item sd="0" x="73"/>
        <item sd="0" x="8"/>
        <item sd="0" x="75"/>
        <item sd="0" m="1" x="127"/>
        <item sd="0" x="21"/>
        <item sd="0" m="1" x="167"/>
        <item sd="0" m="1" x="142"/>
        <item sd="0" m="1" x="109"/>
        <item sd="0" x="10"/>
        <item sd="0" x="11"/>
        <item sd="0" m="1" x="169"/>
        <item sd="0" x="77"/>
        <item sd="0" m="1" x="90"/>
        <item sd="0" x="37"/>
        <item sd="0" m="1" x="104"/>
        <item sd="0" m="1" x="139"/>
        <item sd="0" x="1"/>
        <item sd="0" x="16"/>
        <item sd="0" x="78"/>
        <item sd="0" x="79"/>
        <item sd="0" m="1" x="138"/>
        <item sd="0" x="12"/>
        <item sd="0" m="1" x="94"/>
        <item sd="0" m="1" x="149"/>
        <item sd="0" x="80"/>
        <item sd="0" x="81"/>
        <item sd="0" x="22"/>
        <item sd="0" x="82"/>
        <item sd="0" x="33"/>
        <item sd="0" x="18"/>
        <item sd="0" m="1" x="132"/>
        <item sd="0" m="1" x="170"/>
        <item sd="0" m="1" x="172"/>
        <item sd="0" x="25"/>
        <item sd="0" m="1" x="123"/>
        <item sd="0" x="84"/>
        <item sd="0" x="29"/>
        <item sd="0" m="1" x="166"/>
        <item sd="0" x="7"/>
        <item sd="0" x="85"/>
        <item sd="0" m="1" x="131"/>
        <item sd="0" x="28"/>
        <item sd="0" m="1" x="154"/>
        <item sd="0" x="86"/>
        <item sd="0" x="23"/>
        <item sd="0" m="1" x="122"/>
        <item sd="0" m="1" x="145"/>
        <item sd="0" m="1" x="93"/>
        <item sd="0" m="1" x="158"/>
        <item sd="0" m="1" x="134"/>
        <item sd="0" x="41"/>
        <item sd="0" m="1" x="163"/>
        <item sd="0" x="45"/>
        <item sd="0" x="51"/>
        <item sd="0" x="56"/>
        <item sd="0" m="1" x="98"/>
        <item sd="0" x="59"/>
        <item sd="0" m="1" x="89"/>
        <item sd="0" x="76"/>
        <item sd="0" x="87"/>
        <item sd="0" m="1" x="113"/>
        <item sd="0" x="65"/>
        <item m="1" x="108"/>
        <item sd="0" x="70"/>
        <item sd="0" m="1" x="100"/>
        <item sd="0" m="1" x="152"/>
        <item sd="0" x="50"/>
        <item sd="0" x="39"/>
        <item sd="0" m="1" x="118"/>
        <item sd="0" x="72"/>
        <item sd="0" x="49"/>
        <item sd="0" x="74"/>
        <item sd="0" m="1" x="141"/>
        <item sd="0" m="1" x="115"/>
        <item sd="0" x="27"/>
        <item sd="0" x="26"/>
        <item sd="0" x="54"/>
        <item m="1" x="88"/>
        <item m="1" x="171"/>
        <item sd="0" x="31"/>
        <item sd="0" x="83"/>
        <item sd="0" x="32"/>
        <item sd="0" m="1" x="16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>
      <items count="23">
        <item sd="0" m="1" x="13"/>
        <item sd="0" m="1" x="17"/>
        <item sd="0" m="1" x="18"/>
        <item sd="0" m="1" x="15"/>
        <item sd="0" m="1" x="19"/>
        <item sd="0" m="1" x="20"/>
        <item sd="0" x="6"/>
        <item sd="0" x="9"/>
        <item sd="0" m="1" x="14"/>
        <item sd="0" x="7"/>
        <item sd="0" x="5"/>
        <item sd="0" x="4"/>
        <item sd="0" x="0"/>
        <item sd="0" x="1"/>
        <item sd="0" x="8"/>
        <item sd="0" x="10"/>
        <item sd="0" x="3"/>
        <item sd="0" x="2"/>
        <item sd="0" m="1" x="16"/>
        <item sd="0" x="12"/>
        <item x="11"/>
        <item m="1" x="21"/>
        <item t="default" sd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111">
        <item x="7"/>
        <item m="1" x="93"/>
        <item x="24"/>
        <item x="30"/>
        <item x="19"/>
        <item m="1" x="79"/>
        <item x="38"/>
        <item x="34"/>
        <item x="17"/>
        <item m="1" x="76"/>
        <item m="1" x="87"/>
        <item x="9"/>
        <item x="12"/>
        <item x="25"/>
        <item m="1" x="96"/>
        <item x="6"/>
        <item x="0"/>
        <item m="1" x="75"/>
        <item x="1"/>
        <item x="14"/>
        <item x="2"/>
        <item m="1" x="90"/>
        <item m="1" x="105"/>
        <item m="1" x="86"/>
        <item x="3"/>
        <item x="36"/>
        <item x="4"/>
        <item m="1" x="109"/>
        <item x="8"/>
        <item x="20"/>
        <item x="22"/>
        <item x="28"/>
        <item x="23"/>
        <item x="21"/>
        <item m="1" x="107"/>
        <item x="71"/>
        <item x="66"/>
        <item x="40"/>
        <item x="43"/>
        <item m="1" x="99"/>
        <item x="56"/>
        <item x="62"/>
        <item x="57"/>
        <item x="44"/>
        <item x="60"/>
        <item x="64"/>
        <item x="45"/>
        <item x="46"/>
        <item x="72"/>
        <item x="58"/>
        <item x="69"/>
        <item x="59"/>
        <item m="1" x="77"/>
        <item x="65"/>
        <item m="1" x="89"/>
        <item m="1" x="104"/>
        <item x="48"/>
        <item x="63"/>
        <item x="73"/>
        <item x="42"/>
        <item x="54"/>
        <item x="61"/>
        <item x="68"/>
        <item x="52"/>
        <item x="70"/>
        <item x="51"/>
        <item m="1" x="85"/>
        <item m="1" x="92"/>
        <item x="13"/>
        <item x="18"/>
        <item x="10"/>
        <item x="15"/>
        <item x="11"/>
        <item x="27"/>
        <item x="5"/>
        <item x="74"/>
        <item m="1" x="88"/>
        <item m="1" x="100"/>
        <item m="1" x="101"/>
        <item m="1" x="83"/>
        <item m="1" x="103"/>
        <item x="67"/>
        <item x="16"/>
        <item m="1" x="81"/>
        <item x="49"/>
        <item x="35"/>
        <item m="1" x="78"/>
        <item m="1" x="82"/>
        <item m="1" x="91"/>
        <item x="41"/>
        <item m="1" x="97"/>
        <item m="1" x="94"/>
        <item x="55"/>
        <item x="26"/>
        <item x="47"/>
        <item x="53"/>
        <item m="1" x="102"/>
        <item m="1" x="106"/>
        <item m="1" x="84"/>
        <item x="39"/>
        <item m="1" x="98"/>
        <item x="50"/>
        <item x="29"/>
        <item x="31"/>
        <item m="1" x="108"/>
        <item x="32"/>
        <item x="33"/>
        <item m="1" x="95"/>
        <item m="1" x="80"/>
        <item x="3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3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2"/>
    <field x="16"/>
  </rowFields>
  <rowItems count="88">
    <i>
      <x v="35"/>
    </i>
    <i>
      <x v="38"/>
    </i>
    <i>
      <x v="39"/>
    </i>
    <i>
      <x v="40"/>
    </i>
    <i>
      <x v="41"/>
    </i>
    <i>
      <x v="42"/>
    </i>
    <i>
      <x v="43"/>
    </i>
    <i>
      <x v="45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2"/>
    </i>
    <i>
      <x v="74"/>
    </i>
    <i>
      <x v="75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7"/>
    </i>
    <i>
      <x v="88"/>
    </i>
    <i>
      <x v="90"/>
    </i>
    <i>
      <x v="91"/>
    </i>
    <i>
      <x v="92"/>
    </i>
    <i>
      <x v="94"/>
    </i>
    <i>
      <x v="98"/>
    </i>
    <i>
      <x v="99"/>
    </i>
    <i>
      <x v="101"/>
    </i>
    <i>
      <x v="103"/>
    </i>
    <i>
      <x v="106"/>
    </i>
    <i>
      <x v="107"/>
    </i>
    <i>
      <x v="108"/>
    </i>
    <i>
      <x v="109"/>
    </i>
    <i>
      <x v="111"/>
    </i>
    <i>
      <x v="114"/>
    </i>
    <i>
      <x v="115"/>
    </i>
    <i>
      <x v="116"/>
    </i>
    <i>
      <x v="117"/>
    </i>
    <i>
      <x v="118"/>
    </i>
    <i>
      <x v="119"/>
    </i>
    <i>
      <x v="123"/>
    </i>
    <i>
      <x v="125"/>
    </i>
    <i>
      <x v="126"/>
    </i>
    <i>
      <x v="128"/>
    </i>
    <i>
      <x v="129"/>
    </i>
    <i>
      <x v="131"/>
    </i>
    <i>
      <x v="133"/>
    </i>
    <i>
      <x v="134"/>
    </i>
    <i>
      <x v="140"/>
    </i>
    <i>
      <x v="142"/>
    </i>
    <i>
      <x v="143"/>
    </i>
    <i>
      <x v="144"/>
    </i>
    <i>
      <x v="146"/>
    </i>
    <i>
      <x v="148"/>
    </i>
    <i>
      <x v="149"/>
    </i>
    <i>
      <x v="151"/>
    </i>
    <i>
      <x v="153"/>
    </i>
    <i>
      <x v="156"/>
    </i>
    <i>
      <x v="157"/>
    </i>
    <i>
      <x v="159"/>
    </i>
    <i>
      <x v="160"/>
    </i>
    <i>
      <x v="161"/>
    </i>
    <i>
      <x v="164"/>
    </i>
    <i>
      <x v="165"/>
    </i>
    <i>
      <x v="166"/>
    </i>
    <i>
      <x v="169"/>
    </i>
    <i>
      <x v="170"/>
    </i>
    <i>
      <x v="171"/>
    </i>
  </rowItems>
  <colItems count="1">
    <i/>
  </colItems>
  <pageFields count="4">
    <pageField fld="14" hier="-1"/>
    <pageField fld="6" hier="-1"/>
    <pageField fld="7" hier="-1"/>
    <pageField fld="0" hier="-1"/>
  </pageFields>
  <dataFields count="1">
    <dataField name="Sum of Итого" fld="23" baseField="0" baseItem="0" numFmtId="167"/>
  </dataFields>
  <formats count="100">
    <format dxfId="236">
      <pivotArea dataOnly="0" labelOnly="1" outline="0" axis="axisValues" fieldPosition="0"/>
    </format>
    <format dxfId="235">
      <pivotArea field="12" type="button" dataOnly="0" labelOnly="1" outline="0" axis="axisRow" fieldPosition="0"/>
    </format>
    <format dxfId="234">
      <pivotArea dataOnly="0" labelOnly="1" grandCol="1" outline="0" fieldPosition="0"/>
    </format>
    <format dxfId="233">
      <pivotArea type="origin" dataOnly="0" labelOnly="1" outline="0" fieldPosition="0"/>
    </format>
    <format dxfId="232">
      <pivotArea type="topRight" dataOnly="0" labelOnly="1" outline="0" fieldPosition="0"/>
    </format>
    <format dxfId="231">
      <pivotArea field="12" type="button" dataOnly="0" labelOnly="1" outline="0" axis="axisRow" fieldPosition="0"/>
    </format>
    <format dxfId="230">
      <pivotArea field="9" type="button" dataOnly="0" labelOnly="1" outline="0"/>
    </format>
    <format dxfId="229">
      <pivotArea field="11" type="button" dataOnly="0" labelOnly="1" outline="0"/>
    </format>
    <format dxfId="228">
      <pivotArea dataOnly="0" labelOnly="1" outline="0" offset="A256" fieldPosition="0">
        <references count="1">
          <reference field="12" count="1">
            <x v="38"/>
          </reference>
        </references>
      </pivotArea>
    </format>
    <format dxfId="227">
      <pivotArea dataOnly="0" labelOnly="1" outline="0" offset="A256" fieldPosition="0">
        <references count="1">
          <reference field="12" count="1">
            <x v="39"/>
          </reference>
        </references>
      </pivotArea>
    </format>
    <format dxfId="226">
      <pivotArea dataOnly="0" labelOnly="1" outline="0" offset="A256" fieldPosition="0">
        <references count="1">
          <reference field="12" count="1">
            <x v="40"/>
          </reference>
        </references>
      </pivotArea>
    </format>
    <format dxfId="225">
      <pivotArea dataOnly="0" labelOnly="1" outline="0" offset="A256" fieldPosition="0">
        <references count="1">
          <reference field="12" count="1">
            <x v="41"/>
          </reference>
        </references>
      </pivotArea>
    </format>
    <format dxfId="224">
      <pivotArea dataOnly="0" labelOnly="1" outline="0" offset="A256" fieldPosition="0">
        <references count="1">
          <reference field="12" count="1">
            <x v="42"/>
          </reference>
        </references>
      </pivotArea>
    </format>
    <format dxfId="223">
      <pivotArea dataOnly="0" labelOnly="1" outline="0" offset="A256" fieldPosition="0">
        <references count="1">
          <reference field="12" count="1">
            <x v="43"/>
          </reference>
        </references>
      </pivotArea>
    </format>
    <format dxfId="222">
      <pivotArea dataOnly="0" labelOnly="1" outline="0" offset="A256" fieldPosition="0">
        <references count="1">
          <reference field="12" count="1">
            <x v="45"/>
          </reference>
        </references>
      </pivotArea>
    </format>
    <format dxfId="221">
      <pivotArea dataOnly="0" labelOnly="1" outline="0" offset="A256" fieldPosition="0">
        <references count="1">
          <reference field="12" count="1">
            <x v="50"/>
          </reference>
        </references>
      </pivotArea>
    </format>
    <format dxfId="220">
      <pivotArea dataOnly="0" labelOnly="1" outline="0" offset="A256" fieldPosition="0">
        <references count="1">
          <reference field="12" count="1">
            <x v="52"/>
          </reference>
        </references>
      </pivotArea>
    </format>
    <format dxfId="219">
      <pivotArea dataOnly="0" labelOnly="1" outline="0" offset="A256" fieldPosition="0">
        <references count="1">
          <reference field="12" count="1">
            <x v="53"/>
          </reference>
        </references>
      </pivotArea>
    </format>
    <format dxfId="218">
      <pivotArea dataOnly="0" labelOnly="1" outline="0" offset="A256" fieldPosition="0">
        <references count="1">
          <reference field="12" count="1">
            <x v="54"/>
          </reference>
        </references>
      </pivotArea>
    </format>
    <format dxfId="217">
      <pivotArea dataOnly="0" labelOnly="1" outline="0" offset="A256" fieldPosition="0">
        <references count="1">
          <reference field="12" count="1">
            <x v="55"/>
          </reference>
        </references>
      </pivotArea>
    </format>
    <format dxfId="216">
      <pivotArea dataOnly="0" labelOnly="1" outline="0" offset="A256" fieldPosition="0">
        <references count="1">
          <reference field="12" count="1">
            <x v="56"/>
          </reference>
        </references>
      </pivotArea>
    </format>
    <format dxfId="215">
      <pivotArea dataOnly="0" labelOnly="1" outline="0" offset="A256" fieldPosition="0">
        <references count="1">
          <reference field="12" count="1">
            <x v="57"/>
          </reference>
        </references>
      </pivotArea>
    </format>
    <format dxfId="214">
      <pivotArea dataOnly="0" labelOnly="1" outline="0" offset="A256" fieldPosition="0">
        <references count="1">
          <reference field="12" count="1">
            <x v="58"/>
          </reference>
        </references>
      </pivotArea>
    </format>
    <format dxfId="213">
      <pivotArea dataOnly="0" labelOnly="1" outline="0" offset="A256" fieldPosition="0">
        <references count="1">
          <reference field="12" count="1">
            <x v="59"/>
          </reference>
        </references>
      </pivotArea>
    </format>
    <format dxfId="212">
      <pivotArea dataOnly="0" labelOnly="1" outline="0" offset="A256" fieldPosition="0">
        <references count="1">
          <reference field="12" count="1">
            <x v="60"/>
          </reference>
        </references>
      </pivotArea>
    </format>
    <format dxfId="211">
      <pivotArea dataOnly="0" labelOnly="1" outline="0" offset="A256" fieldPosition="0">
        <references count="1">
          <reference field="12" count="1">
            <x v="61"/>
          </reference>
        </references>
      </pivotArea>
    </format>
    <format dxfId="210">
      <pivotArea dataOnly="0" labelOnly="1" outline="0" offset="A256" fieldPosition="0">
        <references count="1">
          <reference field="12" count="1">
            <x v="62"/>
          </reference>
        </references>
      </pivotArea>
    </format>
    <format dxfId="209">
      <pivotArea dataOnly="0" labelOnly="1" outline="0" offset="A256" fieldPosition="0">
        <references count="1">
          <reference field="12" count="1">
            <x v="63"/>
          </reference>
        </references>
      </pivotArea>
    </format>
    <format dxfId="208">
      <pivotArea dataOnly="0" labelOnly="1" outline="0" offset="A256" fieldPosition="0">
        <references count="1">
          <reference field="12" count="1">
            <x v="64"/>
          </reference>
        </references>
      </pivotArea>
    </format>
    <format dxfId="207">
      <pivotArea dataOnly="0" labelOnly="1" outline="0" offset="A256" fieldPosition="0">
        <references count="1">
          <reference field="12" count="1">
            <x v="65"/>
          </reference>
        </references>
      </pivotArea>
    </format>
    <format dxfId="206">
      <pivotArea dataOnly="0" labelOnly="1" outline="0" offset="A256" fieldPosition="0">
        <references count="1">
          <reference field="12" count="1">
            <x v="66"/>
          </reference>
        </references>
      </pivotArea>
    </format>
    <format dxfId="205">
      <pivotArea dataOnly="0" labelOnly="1" outline="0" offset="A256" fieldPosition="0">
        <references count="1">
          <reference field="12" count="1">
            <x v="67"/>
          </reference>
        </references>
      </pivotArea>
    </format>
    <format dxfId="204">
      <pivotArea dataOnly="0" labelOnly="1" outline="0" offset="A256" fieldPosition="0">
        <references count="1">
          <reference field="12" count="1">
            <x v="68"/>
          </reference>
        </references>
      </pivotArea>
    </format>
    <format dxfId="203">
      <pivotArea dataOnly="0" labelOnly="1" outline="0" offset="A256" fieldPosition="0">
        <references count="1">
          <reference field="12" count="1">
            <x v="70"/>
          </reference>
        </references>
      </pivotArea>
    </format>
    <format dxfId="202">
      <pivotArea dataOnly="0" labelOnly="1" outline="0" offset="A256" fieldPosition="0">
        <references count="1">
          <reference field="12" count="1">
            <x v="72"/>
          </reference>
        </references>
      </pivotArea>
    </format>
    <format dxfId="201">
      <pivotArea dataOnly="0" labelOnly="1" outline="0" offset="A256" fieldPosition="0">
        <references count="1">
          <reference field="12" count="1">
            <x v="73"/>
          </reference>
        </references>
      </pivotArea>
    </format>
    <format dxfId="200">
      <pivotArea dataOnly="0" labelOnly="1" outline="0" offset="A256" fieldPosition="0">
        <references count="1">
          <reference field="12" count="1">
            <x v="74"/>
          </reference>
        </references>
      </pivotArea>
    </format>
    <format dxfId="199">
      <pivotArea dataOnly="0" labelOnly="1" outline="0" offset="A256" fieldPosition="0">
        <references count="1">
          <reference field="12" count="1">
            <x v="75"/>
          </reference>
        </references>
      </pivotArea>
    </format>
    <format dxfId="198">
      <pivotArea dataOnly="0" labelOnly="1" outline="0" offset="A256" fieldPosition="0">
        <references count="1">
          <reference field="12" count="1">
            <x v="76"/>
          </reference>
        </references>
      </pivotArea>
    </format>
    <format dxfId="197">
      <pivotArea dataOnly="0" labelOnly="1" outline="0" offset="A256" fieldPosition="0">
        <references count="1">
          <reference field="12" count="1">
            <x v="77"/>
          </reference>
        </references>
      </pivotArea>
    </format>
    <format dxfId="196">
      <pivotArea dataOnly="0" labelOnly="1" outline="0" offset="A256" fieldPosition="0">
        <references count="1">
          <reference field="12" count="1">
            <x v="78"/>
          </reference>
        </references>
      </pivotArea>
    </format>
    <format dxfId="195">
      <pivotArea dataOnly="0" labelOnly="1" outline="0" offset="A256" fieldPosition="0">
        <references count="1">
          <reference field="12" count="1">
            <x v="79"/>
          </reference>
        </references>
      </pivotArea>
    </format>
    <format dxfId="194">
      <pivotArea dataOnly="0" labelOnly="1" outline="0" offset="A256" fieldPosition="0">
        <references count="1">
          <reference field="12" count="1">
            <x v="80"/>
          </reference>
        </references>
      </pivotArea>
    </format>
    <format dxfId="193">
      <pivotArea dataOnly="0" labelOnly="1" outline="0" offset="A256" fieldPosition="0">
        <references count="1">
          <reference field="12" count="1">
            <x v="81"/>
          </reference>
        </references>
      </pivotArea>
    </format>
    <format dxfId="192">
      <pivotArea dataOnly="0" labelOnly="1" outline="0" offset="A256" fieldPosition="0">
        <references count="1">
          <reference field="12" count="1">
            <x v="82"/>
          </reference>
        </references>
      </pivotArea>
    </format>
    <format dxfId="191">
      <pivotArea dataOnly="0" labelOnly="1" outline="0" offset="A256" fieldPosition="0">
        <references count="1">
          <reference field="12" count="1">
            <x v="83"/>
          </reference>
        </references>
      </pivotArea>
    </format>
    <format dxfId="190">
      <pivotArea dataOnly="0" labelOnly="1" outline="0" offset="A256" fieldPosition="0">
        <references count="1">
          <reference field="12" count="1">
            <x v="84"/>
          </reference>
        </references>
      </pivotArea>
    </format>
    <format dxfId="189">
      <pivotArea dataOnly="0" labelOnly="1" outline="0" offset="A256" fieldPosition="0">
        <references count="1">
          <reference field="12" count="1">
            <x v="85"/>
          </reference>
        </references>
      </pivotArea>
    </format>
    <format dxfId="188">
      <pivotArea dataOnly="0" labelOnly="1" outline="0" offset="A256" fieldPosition="0">
        <references count="1">
          <reference field="12" count="1">
            <x v="87"/>
          </reference>
        </references>
      </pivotArea>
    </format>
    <format dxfId="187">
      <pivotArea dataOnly="0" labelOnly="1" outline="0" offset="A256" fieldPosition="0">
        <references count="1">
          <reference field="12" count="1">
            <x v="88"/>
          </reference>
        </references>
      </pivotArea>
    </format>
    <format dxfId="186">
      <pivotArea dataOnly="0" labelOnly="1" outline="0" offset="A256" fieldPosition="0">
        <references count="1">
          <reference field="12" count="1">
            <x v="89"/>
          </reference>
        </references>
      </pivotArea>
    </format>
    <format dxfId="185">
      <pivotArea dataOnly="0" labelOnly="1" outline="0" offset="A256" fieldPosition="0">
        <references count="1">
          <reference field="12" count="1">
            <x v="90"/>
          </reference>
        </references>
      </pivotArea>
    </format>
    <format dxfId="184">
      <pivotArea dataOnly="0" labelOnly="1" outline="0" offset="A256" fieldPosition="0">
        <references count="1">
          <reference field="12" count="1">
            <x v="91"/>
          </reference>
        </references>
      </pivotArea>
    </format>
    <format dxfId="183">
      <pivotArea dataOnly="0" labelOnly="1" outline="0" offset="A256" fieldPosition="0">
        <references count="1">
          <reference field="12" count="1">
            <x v="92"/>
          </reference>
        </references>
      </pivotArea>
    </format>
    <format dxfId="182">
      <pivotArea dataOnly="0" labelOnly="1" outline="0" offset="A256" fieldPosition="0">
        <references count="1">
          <reference field="12" count="1">
            <x v="93"/>
          </reference>
        </references>
      </pivotArea>
    </format>
    <format dxfId="181">
      <pivotArea dataOnly="0" labelOnly="1" outline="0" offset="A256" fieldPosition="0">
        <references count="1">
          <reference field="12" count="1">
            <x v="94"/>
          </reference>
        </references>
      </pivotArea>
    </format>
    <format dxfId="180">
      <pivotArea dataOnly="0" labelOnly="1" outline="0" offset="A256" fieldPosition="0">
        <references count="1">
          <reference field="12" count="1">
            <x v="95"/>
          </reference>
        </references>
      </pivotArea>
    </format>
    <format dxfId="179">
      <pivotArea dataOnly="0" labelOnly="1" outline="0" offset="A256" fieldPosition="0">
        <references count="1">
          <reference field="12" count="1">
            <x v="98"/>
          </reference>
        </references>
      </pivotArea>
    </format>
    <format dxfId="178">
      <pivotArea dataOnly="0" labelOnly="1" outline="0" offset="A256" fieldPosition="0">
        <references count="1">
          <reference field="12" count="1">
            <x v="99"/>
          </reference>
        </references>
      </pivotArea>
    </format>
    <format dxfId="177">
      <pivotArea dataOnly="0" labelOnly="1" outline="0" offset="A256" fieldPosition="0">
        <references count="1">
          <reference field="12" count="1">
            <x v="100"/>
          </reference>
        </references>
      </pivotArea>
    </format>
    <format dxfId="176">
      <pivotArea dataOnly="0" labelOnly="1" outline="0" offset="A256" fieldPosition="0">
        <references count="1">
          <reference field="12" count="1">
            <x v="101"/>
          </reference>
        </references>
      </pivotArea>
    </format>
    <format dxfId="175">
      <pivotArea dataOnly="0" labelOnly="1" outline="0" offset="A256" fieldPosition="0">
        <references count="1">
          <reference field="12" count="1">
            <x v="103"/>
          </reference>
        </references>
      </pivotArea>
    </format>
    <format dxfId="174">
      <pivotArea dataOnly="0" labelOnly="1" outline="0" offset="A256" fieldPosition="0">
        <references count="1">
          <reference field="12" count="1">
            <x v="106"/>
          </reference>
        </references>
      </pivotArea>
    </format>
    <format dxfId="173">
      <pivotArea dataOnly="0" labelOnly="1" outline="0" offset="A256" fieldPosition="0">
        <references count="1">
          <reference field="12" count="1">
            <x v="107"/>
          </reference>
        </references>
      </pivotArea>
    </format>
    <format dxfId="172">
      <pivotArea dataOnly="0" labelOnly="1" outline="0" offset="A256" fieldPosition="0">
        <references count="1">
          <reference field="12" count="1">
            <x v="108"/>
          </reference>
        </references>
      </pivotArea>
    </format>
    <format dxfId="171">
      <pivotArea dataOnly="0" labelOnly="1" outline="0" offset="A256" fieldPosition="0">
        <references count="1">
          <reference field="12" count="1">
            <x v="109"/>
          </reference>
        </references>
      </pivotArea>
    </format>
    <format dxfId="170">
      <pivotArea dataOnly="0" labelOnly="1" outline="0" offset="A256" fieldPosition="0">
        <references count="1">
          <reference field="12" count="1">
            <x v="111"/>
          </reference>
        </references>
      </pivotArea>
    </format>
    <format dxfId="169">
      <pivotArea dataOnly="0" labelOnly="1" outline="0" offset="A256" fieldPosition="0">
        <references count="1">
          <reference field="12" count="1">
            <x v="114"/>
          </reference>
        </references>
      </pivotArea>
    </format>
    <format dxfId="168">
      <pivotArea dataOnly="0" labelOnly="1" outline="0" offset="A256" fieldPosition="0">
        <references count="1">
          <reference field="12" count="1">
            <x v="115"/>
          </reference>
        </references>
      </pivotArea>
    </format>
    <format dxfId="167">
      <pivotArea dataOnly="0" labelOnly="1" outline="0" offset="A256" fieldPosition="0">
        <references count="1">
          <reference field="12" count="1">
            <x v="116"/>
          </reference>
        </references>
      </pivotArea>
    </format>
    <format dxfId="166">
      <pivotArea dataOnly="0" labelOnly="1" outline="0" offset="A256" fieldPosition="0">
        <references count="1">
          <reference field="12" count="1">
            <x v="117"/>
          </reference>
        </references>
      </pivotArea>
    </format>
    <format dxfId="165">
      <pivotArea dataOnly="0" labelOnly="1" outline="0" offset="A256" fieldPosition="0">
        <references count="1">
          <reference field="12" count="1">
            <x v="118"/>
          </reference>
        </references>
      </pivotArea>
    </format>
    <format dxfId="164">
      <pivotArea dataOnly="0" labelOnly="1" outline="0" offset="A256" fieldPosition="0">
        <references count="1">
          <reference field="12" count="1">
            <x v="119"/>
          </reference>
        </references>
      </pivotArea>
    </format>
    <format dxfId="163">
      <pivotArea dataOnly="0" labelOnly="1" outline="0" offset="A256" fieldPosition="0">
        <references count="1">
          <reference field="12" count="1">
            <x v="123"/>
          </reference>
        </references>
      </pivotArea>
    </format>
    <format dxfId="162">
      <pivotArea dataOnly="0" labelOnly="1" outline="0" offset="A256" fieldPosition="0">
        <references count="1">
          <reference field="12" count="1">
            <x v="124"/>
          </reference>
        </references>
      </pivotArea>
    </format>
    <format dxfId="161">
      <pivotArea dataOnly="0" labelOnly="1" outline="0" offset="A256" fieldPosition="0">
        <references count="1">
          <reference field="12" count="1">
            <x v="125"/>
          </reference>
        </references>
      </pivotArea>
    </format>
    <format dxfId="160">
      <pivotArea dataOnly="0" labelOnly="1" outline="0" offset="A256" fieldPosition="0">
        <references count="1">
          <reference field="12" count="1">
            <x v="127"/>
          </reference>
        </references>
      </pivotArea>
    </format>
    <format dxfId="159">
      <pivotArea dataOnly="0" labelOnly="1" outline="0" offset="A256" fieldPosition="0">
        <references count="1">
          <reference field="12" count="1">
            <x v="128"/>
          </reference>
        </references>
      </pivotArea>
    </format>
    <format dxfId="158">
      <pivotArea dataOnly="0" labelOnly="1" outline="0" offset="A256" fieldPosition="0">
        <references count="1">
          <reference field="12" count="1">
            <x v="129"/>
          </reference>
        </references>
      </pivotArea>
    </format>
    <format dxfId="157">
      <pivotArea dataOnly="0" labelOnly="1" outline="0" offset="A256" fieldPosition="0">
        <references count="1">
          <reference field="12" count="1">
            <x v="130"/>
          </reference>
        </references>
      </pivotArea>
    </format>
    <format dxfId="156">
      <pivotArea dataOnly="0" labelOnly="1" outline="0" offset="A256" fieldPosition="0">
        <references count="1">
          <reference field="12" count="1">
            <x v="131"/>
          </reference>
        </references>
      </pivotArea>
    </format>
    <format dxfId="155">
      <pivotArea dataOnly="0" labelOnly="1" outline="0" offset="A256" fieldPosition="0">
        <references count="1">
          <reference field="12" count="1">
            <x v="133"/>
          </reference>
        </references>
      </pivotArea>
    </format>
    <format dxfId="154">
      <pivotArea dataOnly="0" labelOnly="1" outline="0" offset="A256" fieldPosition="0">
        <references count="1">
          <reference field="12" count="1">
            <x v="134"/>
          </reference>
        </references>
      </pivotArea>
    </format>
    <format dxfId="153">
      <pivotArea dataOnly="0" labelOnly="1" outline="0" offset="A256" fieldPosition="0">
        <references count="1">
          <reference field="12" count="1">
            <x v="139"/>
          </reference>
        </references>
      </pivotArea>
    </format>
    <format dxfId="152">
      <pivotArea dataOnly="0" labelOnly="1" outline="0" offset="A256" fieldPosition="0">
        <references count="1">
          <reference field="12" count="1">
            <x v="140"/>
          </reference>
        </references>
      </pivotArea>
    </format>
    <format dxfId="151">
      <pivotArea dataOnly="0" labelOnly="1" outline="0" offset="A256" fieldPosition="0">
        <references count="1">
          <reference field="12" count="1">
            <x v="141"/>
          </reference>
        </references>
      </pivotArea>
    </format>
    <format dxfId="150">
      <pivotArea dataOnly="0" labelOnly="1" outline="0" offset="A256" fieldPosition="0">
        <references count="1">
          <reference field="12" count="1">
            <x v="142"/>
          </reference>
        </references>
      </pivotArea>
    </format>
    <format dxfId="149">
      <pivotArea dataOnly="0" labelOnly="1" outline="0" offset="A256" fieldPosition="0">
        <references count="1">
          <reference field="12" count="1">
            <x v="143"/>
          </reference>
        </references>
      </pivotArea>
    </format>
    <format dxfId="148">
      <pivotArea dataOnly="0" labelOnly="1" outline="0" offset="A256" fieldPosition="0">
        <references count="1">
          <reference field="12" count="1">
            <x v="144"/>
          </reference>
        </references>
      </pivotArea>
    </format>
    <format dxfId="147">
      <pivotArea dataOnly="0" labelOnly="1" outline="0" offset="A256" fieldPosition="0">
        <references count="1">
          <reference field="12" count="1">
            <x v="145"/>
          </reference>
        </references>
      </pivotArea>
    </format>
    <format dxfId="146">
      <pivotArea dataOnly="0" labelOnly="1" outline="0" offset="A256" fieldPosition="0">
        <references count="1">
          <reference field="12" count="1">
            <x v="146"/>
          </reference>
        </references>
      </pivotArea>
    </format>
    <format dxfId="145">
      <pivotArea dataOnly="0" labelOnly="1" outline="0" offset="A256" fieldPosition="0">
        <references count="1">
          <reference field="12" count="1">
            <x v="147"/>
          </reference>
        </references>
      </pivotArea>
    </format>
    <format dxfId="144">
      <pivotArea dataOnly="0" labelOnly="1" outline="0" offset="A256" fieldPosition="0">
        <references count="1">
          <reference field="12" count="1">
            <x v="148"/>
          </reference>
        </references>
      </pivotArea>
    </format>
    <format dxfId="143">
      <pivotArea dataOnly="0" labelOnly="1" outline="0" offset="A256" fieldPosition="0">
        <references count="1">
          <reference field="12" count="1">
            <x v="150"/>
          </reference>
        </references>
      </pivotArea>
    </format>
    <format dxfId="142">
      <pivotArea dataOnly="0" labelOnly="1" outline="0" offset="A256" fieldPosition="0">
        <references count="1">
          <reference field="12" count="1">
            <x v="51"/>
          </reference>
        </references>
      </pivotArea>
    </format>
    <format dxfId="141">
      <pivotArea outline="0" fieldPosition="0">
        <references count="1">
          <reference field="12" count="1" selected="0">
            <x v="35"/>
          </reference>
        </references>
      </pivotArea>
    </format>
    <format dxfId="140">
      <pivotArea outline="0" fieldPosition="0">
        <references count="1">
          <reference field="12" count="1" selected="0">
            <x v="40"/>
          </reference>
        </references>
      </pivotArea>
    </format>
    <format dxfId="139">
      <pivotArea dataOnly="0" labelOnly="1" outline="0" offset="A256" fieldPosition="0">
        <references count="1">
          <reference field="12" count="1">
            <x v="35"/>
          </reference>
        </references>
      </pivotArea>
    </format>
    <format dxfId="138">
      <pivotArea outline="0" collapsedLevelsAreSubtotals="1" fieldPosition="0"/>
    </format>
    <format dxfId="137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PivotTable6" cacheId="4" applyNumberFormats="0" applyBorderFormats="0" applyFontFormats="0" applyPatternFormats="0" applyAlignmentFormats="0" applyWidthHeightFormats="1" dataCaption="Values" updatedVersion="7" minRefreshableVersion="3" useAutoFormatting="1" itemPrintTitles="1" createdVersion="6" indent="0" outline="1" outlineData="1" multipleFieldFilters="0">
  <location ref="A4:J20" firstHeaderRow="1" firstDataRow="2" firstDataCol="1" rowPageCount="2" colPageCount="1"/>
  <pivotFields count="24">
    <pivotField axis="axisPage" multipleItemSelectionAllowed="1" showAll="0">
      <items count="12">
        <item x="7"/>
        <item x="3"/>
        <item x="5"/>
        <item x="1"/>
        <item x="0"/>
        <item x="2"/>
        <item h="1" m="1" x="10"/>
        <item h="1" m="1" x="9"/>
        <item x="4"/>
        <item x="8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22">
        <item m="1" x="18"/>
        <item x="0"/>
        <item x="4"/>
        <item x="5"/>
        <item m="1" x="17"/>
        <item m="1" x="11"/>
        <item x="3"/>
        <item x="2"/>
        <item m="1" x="12"/>
        <item m="1" x="8"/>
        <item m="1" x="9"/>
        <item m="1" x="16"/>
        <item m="1" x="13"/>
        <item m="1" x="10"/>
        <item m="1" x="19"/>
        <item m="1" x="15"/>
        <item x="1"/>
        <item m="1" x="20"/>
        <item x="7"/>
        <item x="6"/>
        <item m="1" x="14"/>
        <item t="default"/>
      </items>
    </pivotField>
    <pivotField dataField="1" showAll="0"/>
    <pivotField showAll="0"/>
    <pivotField showAll="0"/>
    <pivotField showAll="0"/>
    <pivotField axis="axisRow" showAll="0">
      <items count="23">
        <item sd="0" m="1" x="14"/>
        <item sd="0" m="1" x="17"/>
        <item sd="0" m="1" x="18"/>
        <item sd="0" m="1" x="15"/>
        <item sd="0" m="1" x="19"/>
        <item sd="0" m="1" x="20"/>
        <item sd="0" x="0"/>
        <item sd="0" x="9"/>
        <item sd="0" x="11"/>
        <item sd="0" x="7"/>
        <item sd="0" x="6"/>
        <item sd="0" x="5"/>
        <item sd="0" x="2"/>
        <item sd="0" x="1"/>
        <item sd="0" x="8"/>
        <item sd="0" x="10"/>
        <item sd="0" x="4"/>
        <item sd="0" x="3"/>
        <item sd="0" m="1" x="16"/>
        <item sd="0" x="13"/>
        <item x="12"/>
        <item m="1" x="21"/>
        <item t="default" sd="0"/>
      </items>
    </pivotField>
    <pivotField showAll="0"/>
    <pivotField axis="axisPage" showAll="0">
      <items count="115">
        <item x="10"/>
        <item m="1" x="109"/>
        <item m="1" x="105"/>
        <item x="32"/>
        <item x="5"/>
        <item m="1" x="74"/>
        <item m="1" x="104"/>
        <item x="30"/>
        <item m="1" x="107"/>
        <item m="1" x="78"/>
        <item m="1" x="97"/>
        <item x="12"/>
        <item x="0"/>
        <item x="13"/>
        <item x="16"/>
        <item x="33"/>
        <item x="9"/>
        <item x="1"/>
        <item m="1" x="92"/>
        <item x="2"/>
        <item x="3"/>
        <item m="1" x="89"/>
        <item x="6"/>
        <item x="4"/>
        <item x="31"/>
        <item x="7"/>
        <item x="18"/>
        <item x="11"/>
        <item x="27"/>
        <item x="28"/>
        <item m="1" x="103"/>
        <item x="29"/>
        <item x="20"/>
        <item m="1" x="112"/>
        <item x="41"/>
        <item x="38"/>
        <item x="42"/>
        <item m="1" x="96"/>
        <item x="56"/>
        <item m="1" x="88"/>
        <item x="61"/>
        <item x="57"/>
        <item x="43"/>
        <item x="59"/>
        <item x="63"/>
        <item x="44"/>
        <item x="58"/>
        <item x="67"/>
        <item x="53"/>
        <item m="1" x="102"/>
        <item x="46"/>
        <item x="50"/>
        <item x="48"/>
        <item x="62"/>
        <item m="1" x="108"/>
        <item x="71"/>
        <item x="55"/>
        <item x="60"/>
        <item x="51"/>
        <item m="1" x="110"/>
        <item m="1" x="84"/>
        <item m="1" x="93"/>
        <item m="1" x="80"/>
        <item x="17"/>
        <item x="24"/>
        <item x="14"/>
        <item m="1" x="77"/>
        <item x="25"/>
        <item m="1" x="79"/>
        <item x="15"/>
        <item m="1" x="82"/>
        <item m="1" x="90"/>
        <item m="1" x="81"/>
        <item x="21"/>
        <item x="8"/>
        <item x="72"/>
        <item m="1" x="73"/>
        <item m="1" x="99"/>
        <item x="34"/>
        <item m="1" x="76"/>
        <item x="26"/>
        <item x="19"/>
        <item m="1" x="106"/>
        <item x="39"/>
        <item x="45"/>
        <item x="54"/>
        <item x="64"/>
        <item x="68"/>
        <item x="52"/>
        <item m="1" x="98"/>
        <item x="69"/>
        <item x="70"/>
        <item x="36"/>
        <item m="1" x="101"/>
        <item x="23"/>
        <item m="1" x="111"/>
        <item m="1" x="94"/>
        <item m="1" x="87"/>
        <item m="1" x="113"/>
        <item m="1" x="85"/>
        <item m="1" x="100"/>
        <item m="1" x="86"/>
        <item x="65"/>
        <item x="22"/>
        <item x="49"/>
        <item m="1" x="95"/>
        <item m="1" x="83"/>
        <item x="40"/>
        <item m="1" x="75"/>
        <item m="1" x="91"/>
        <item x="35"/>
        <item x="37"/>
        <item x="47"/>
        <item x="66"/>
        <item t="default"/>
      </items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14"/>
  </rowFields>
  <rowItems count="15"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9"/>
    </i>
    <i>
      <x v="20"/>
    </i>
    <i t="grand">
      <x/>
    </i>
  </rowItems>
  <colFields count="1">
    <field x="9"/>
  </colFields>
  <colItems count="9">
    <i>
      <x v="1"/>
    </i>
    <i>
      <x v="2"/>
    </i>
    <i>
      <x v="3"/>
    </i>
    <i>
      <x v="6"/>
    </i>
    <i>
      <x v="7"/>
    </i>
    <i>
      <x v="16"/>
    </i>
    <i>
      <x v="18"/>
    </i>
    <i>
      <x v="19"/>
    </i>
    <i t="grand">
      <x/>
    </i>
  </colItems>
  <pageFields count="2">
    <pageField fld="16" hier="-1"/>
    <pageField fld="0" hier="-1"/>
  </pageFields>
  <dataFields count="1">
    <dataField name="Sum of Amount" fld="10" baseField="0" baseItem="0" numFmtId="3"/>
  </dataFields>
  <formats count="4">
    <format dxfId="136">
      <pivotArea outline="0" collapsedLevelsAreSubtotals="1" fieldPosition="0"/>
    </format>
    <format dxfId="135">
      <pivotArea field="14" type="button" dataOnly="0" labelOnly="1" outline="0" axis="axisRow" fieldPosition="0"/>
    </format>
    <format dxfId="134">
      <pivotArea dataOnly="0" labelOnly="1" fieldPosition="0">
        <references count="1">
          <reference field="9" count="0"/>
        </references>
      </pivotArea>
    </format>
    <format dxfId="133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\" cacheId="40" applyNumberFormats="0" applyBorderFormats="0" applyFontFormats="0" applyPatternFormats="0" applyAlignmentFormats="0" applyWidthHeightFormats="1" dataCaption="Values" updatedVersion="5" minRefreshableVersion="3" useAutoFormatting="1" rowGrandTotals="0" itemPrintTitles="1" createdVersion="6" indent="0" compact="0" compactData="0" gridDropZones="1" multipleFieldFilters="0">
  <location ref="A7:D97" firstHeaderRow="2" firstDataRow="2" firstDataCol="3" rowPageCount="4" colPageCount="1"/>
  <pivotFields count="24">
    <pivotField axis="axisPage" compact="0" outline="0" multipleItemSelectionAllowed="1" showAll="0">
      <items count="21">
        <item sd="0" x="4"/>
        <item sd="0" m="1" x="11"/>
        <item sd="0" m="1" x="15"/>
        <item sd="0" m="1" x="19"/>
        <item sd="0" m="1" x="16"/>
        <item sd="0" m="1" x="7"/>
        <item sd="0" m="1" x="9"/>
        <item sd="0" m="1" x="14"/>
        <item sd="0" m="1" x="12"/>
        <item sd="0" m="1" x="6"/>
        <item h="1" sd="0" m="1" x="10"/>
        <item x="2"/>
        <item h="1" sd="0" m="1" x="17"/>
        <item x="0"/>
        <item x="3"/>
        <item sd="0" m="1" x="8"/>
        <item sd="0" x="1"/>
        <item m="1" x="13"/>
        <item m="1" x="18"/>
        <item h="1" x="5"/>
        <item t="default" sd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>
      <items count="11">
        <item x="7"/>
        <item x="6"/>
        <item x="4"/>
        <item x="3"/>
        <item x="2"/>
        <item x="5"/>
        <item x="1"/>
        <item m="1" x="9"/>
        <item x="8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>
      <items count="9">
        <item x="4"/>
        <item x="3"/>
        <item x="2"/>
        <item m="1" x="6"/>
        <item m="1" x="7"/>
        <item x="1"/>
        <item x="0"/>
        <item x="5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2">
        <item sd="0" x="1"/>
        <item sd="0" x="4"/>
        <item sd="0" x="5"/>
        <item sd="0" m="1" x="17"/>
        <item sd="0" m="1" x="11"/>
        <item sd="0" x="3"/>
        <item sd="0" x="2"/>
        <item sd="0" m="1" x="12"/>
        <item sd="0" m="1" x="8"/>
        <item sd="0" m="1" x="9"/>
        <item sd="0" m="1" x="16"/>
        <item sd="0" m="1" x="13"/>
        <item sd="0" m="1" x="10"/>
        <item sd="0" m="1" x="19"/>
        <item sd="0" m="1" x="15"/>
        <item sd="0" m="1" x="14"/>
        <item sd="0" m="1" x="18"/>
        <item sd="0" m="1" x="20"/>
        <item sd="0" x="0"/>
        <item x="7"/>
        <item x="6"/>
        <item t="default" sd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176">
        <item x="2"/>
        <item m="1" x="2225"/>
        <item m="1" x="2362"/>
        <item m="1" x="376"/>
        <item m="1" x="2293"/>
        <item m="1" x="2328"/>
        <item m="1" x="2540"/>
        <item m="1" x="2541"/>
        <item m="1" x="707"/>
        <item m="1" x="862"/>
        <item m="1" x="927"/>
        <item m="1" x="2520"/>
        <item m="1" x="2120"/>
        <item m="1" x="2365"/>
        <item m="1" x="2366"/>
        <item m="1" x="2370"/>
        <item m="1" x="2372"/>
        <item m="1" x="700"/>
        <item m="1" x="702"/>
        <item m="1" x="712"/>
        <item m="1" x="715"/>
        <item m="1" x="2336"/>
        <item m="1" x="2339"/>
        <item m="1" x="2349"/>
        <item m="1" x="2353"/>
        <item m="1" x="2358"/>
        <item m="1" x="2375"/>
        <item m="1" x="701"/>
        <item m="1" x="703"/>
        <item m="1" x="704"/>
        <item m="1" x="705"/>
        <item m="1" x="709"/>
        <item m="1" x="713"/>
        <item m="1" x="716"/>
        <item m="1" x="721"/>
        <item m="1" x="724"/>
        <item m="1" x="727"/>
        <item m="1" x="2334"/>
        <item m="1" x="2337"/>
        <item m="1" x="2340"/>
        <item m="1" x="2344"/>
        <item m="1" x="2345"/>
        <item m="1" x="2347"/>
        <item m="1" x="2350"/>
        <item m="1" x="2354"/>
        <item m="1" x="2359"/>
        <item m="1" x="2361"/>
        <item m="1" x="681"/>
        <item m="1" x="684"/>
        <item m="1" x="685"/>
        <item m="1" x="687"/>
        <item m="1" x="2317"/>
        <item m="1" x="2318"/>
        <item m="1" x="2114"/>
        <item m="1" x="2338"/>
        <item m="1" x="2453"/>
        <item m="1" x="928"/>
        <item m="1" x="2563"/>
        <item m="1" x="2191"/>
        <item m="1" x="768"/>
        <item m="1" x="2080"/>
        <item m="1" x="2327"/>
        <item m="1" x="2142"/>
        <item m="1" x="2143"/>
        <item x="17"/>
        <item m="1" x="231"/>
        <item m="1" x="232"/>
        <item m="1" x="233"/>
        <item m="1" x="2406"/>
        <item m="1" x="2200"/>
        <item x="9"/>
        <item m="1" x="2871"/>
        <item m="1" x="2182"/>
        <item m="1" x="2869"/>
        <item m="1" x="242"/>
        <item m="1" x="243"/>
        <item x="11"/>
        <item m="1" x="247"/>
        <item m="1" x="249"/>
        <item m="1" x="266"/>
        <item m="1" x="267"/>
        <item m="1" x="268"/>
        <item m="1" x="272"/>
        <item x="15"/>
        <item m="1" x="279"/>
        <item m="1" x="2240"/>
        <item m="1" x="2388"/>
        <item x="7"/>
        <item m="1" x="2389"/>
        <item m="1" x="2390"/>
        <item x="0"/>
        <item x="3"/>
        <item m="1" x="2391"/>
        <item m="1" x="2392"/>
        <item m="1" x="2393"/>
        <item m="1" x="2394"/>
        <item m="1" x="2395"/>
        <item m="1" x="2396"/>
        <item m="1" x="2397"/>
        <item m="1" x="2398"/>
        <item m="1" x="2399"/>
        <item x="1"/>
        <item m="1" x="2386"/>
        <item m="1" x="2400"/>
        <item x="4"/>
        <item x="5"/>
        <item x="6"/>
        <item m="1" x="2401"/>
        <item m="1" x="2402"/>
        <item m="1" x="899"/>
        <item m="1" x="2446"/>
        <item m="1" x="2403"/>
        <item m="1" x="2373"/>
        <item m="1" x="723"/>
        <item m="1" x="464"/>
        <item m="1" x="3022"/>
        <item m="1" x="3139"/>
        <item m="1" x="2223"/>
        <item m="1" x="1017"/>
        <item m="1" x="3050"/>
        <item m="1" x="3140"/>
        <item m="1" x="2227"/>
        <item m="1" x="3071"/>
        <item m="1" x="2306"/>
        <item m="1" x="3142"/>
        <item m="1" x="3089"/>
        <item m="1" x="2307"/>
        <item m="1" x="3146"/>
        <item m="1" x="3102"/>
        <item m="1" x="1018"/>
        <item m="1" x="1019"/>
        <item m="1" x="3152"/>
        <item m="1" x="3116"/>
        <item m="1" x="1020"/>
        <item m="1" x="1021"/>
        <item m="1" x="882"/>
        <item m="1" x="1022"/>
        <item m="1" x="1023"/>
        <item m="1" x="884"/>
        <item m="1" x="2272"/>
        <item m="1" x="2911"/>
        <item m="1" x="2912"/>
        <item m="1" x="888"/>
        <item m="1" x="2510"/>
        <item m="1" x="2949"/>
        <item m="1" x="2950"/>
        <item m="1" x="890"/>
        <item m="1" x="2512"/>
        <item m="1" x="1024"/>
        <item m="1" x="893"/>
        <item m="1" x="2514"/>
        <item m="1" x="1025"/>
        <item m="1" x="2913"/>
        <item m="1" x="1026"/>
        <item m="1" x="896"/>
        <item m="1" x="1027"/>
        <item m="1" x="2764"/>
        <item m="1" x="2951"/>
        <item m="1" x="1028"/>
        <item m="1" x="900"/>
        <item m="1" x="1029"/>
        <item m="1" x="1030"/>
        <item m="1" x="2952"/>
        <item m="1" x="1031"/>
        <item m="1" x="903"/>
        <item m="1" x="1032"/>
        <item m="1" x="1033"/>
        <item m="1" x="2993"/>
        <item m="1" x="905"/>
        <item m="1" x="1034"/>
        <item m="1" x="1035"/>
        <item m="1" x="1036"/>
        <item m="1" x="3023"/>
        <item m="1" x="1037"/>
        <item m="1" x="3100"/>
        <item m="1" x="1038"/>
        <item m="1" x="1039"/>
        <item m="1" x="3051"/>
        <item m="1" x="3113"/>
        <item m="1" x="3170"/>
        <item m="1" x="1040"/>
        <item m="1" x="2914"/>
        <item m="1" x="831"/>
        <item m="1" x="1041"/>
        <item m="1" x="2953"/>
        <item m="1" x="838"/>
        <item m="1" x="2278"/>
        <item m="1" x="1042"/>
        <item m="1" x="2994"/>
        <item m="1" x="956"/>
        <item m="1" x="1043"/>
        <item m="1" x="3024"/>
        <item m="1" x="2915"/>
        <item m="1" x="2534"/>
        <item m="1" x="1044"/>
        <item m="1" x="1045"/>
        <item m="1" x="2954"/>
        <item m="1" x="1046"/>
        <item m="1" x="1047"/>
        <item m="1" x="1048"/>
        <item m="1" x="2995"/>
        <item m="1" x="1049"/>
        <item m="1" x="1050"/>
        <item m="1" x="3052"/>
        <item m="1" x="3025"/>
        <item m="1" x="1051"/>
        <item m="1" x="1052"/>
        <item m="1" x="3072"/>
        <item m="1" x="3053"/>
        <item m="1" x="1053"/>
        <item m="1" x="1054"/>
        <item m="1" x="1055"/>
        <item m="1" x="3090"/>
        <item m="1" x="3073"/>
        <item m="1" x="1056"/>
        <item m="1" x="1057"/>
        <item m="1" x="1058"/>
        <item m="1" x="3103"/>
        <item m="1" x="1059"/>
        <item m="1" x="1060"/>
        <item m="1" x="2236"/>
        <item m="1" x="1061"/>
        <item m="1" x="2955"/>
        <item m="1" x="1062"/>
        <item m="1" x="1063"/>
        <item m="1" x="2238"/>
        <item m="1" x="1064"/>
        <item m="1" x="2996"/>
        <item m="1" x="1065"/>
        <item m="1" x="1066"/>
        <item m="1" x="2916"/>
        <item m="1" x="3026"/>
        <item m="1" x="1067"/>
        <item m="1" x="1068"/>
        <item m="1" x="2956"/>
        <item m="1" x="3054"/>
        <item m="1" x="1069"/>
        <item m="1" x="1070"/>
        <item m="1" x="1071"/>
        <item m="1" x="3074"/>
        <item m="1" x="1072"/>
        <item m="1" x="843"/>
        <item m="1" x="1073"/>
        <item m="1" x="3091"/>
        <item m="1" x="848"/>
        <item m="1" x="2241"/>
        <item m="1" x="3088"/>
        <item m="1" x="3104"/>
        <item m="1" x="854"/>
        <item m="1" x="2243"/>
        <item m="1" x="2917"/>
        <item m="1" x="3101"/>
        <item m="1" x="3117"/>
        <item m="1" x="2244"/>
        <item m="1" x="2957"/>
        <item m="1" x="3114"/>
        <item m="1" x="834"/>
        <item m="1" x="2245"/>
        <item m="1" x="2997"/>
        <item m="1" x="832"/>
        <item m="1" x="840"/>
        <item m="1" x="2205"/>
        <item m="1" x="2246"/>
        <item m="1" x="3027"/>
        <item m="1" x="839"/>
        <item m="1" x="845"/>
        <item m="1" x="1074"/>
        <item m="1" x="2247"/>
        <item m="1" x="1075"/>
        <item m="1" x="844"/>
        <item m="1" x="849"/>
        <item m="1" x="1076"/>
        <item m="1" x="1077"/>
        <item m="1" x="1078"/>
        <item m="1" x="1079"/>
        <item m="1" x="855"/>
        <item m="1" x="1080"/>
        <item m="1" x="1081"/>
        <item m="1" x="1082"/>
        <item m="1" x="859"/>
        <item m="1" x="1083"/>
        <item m="1" x="1084"/>
        <item m="1" x="1085"/>
        <item m="1" x="864"/>
        <item m="1" x="1086"/>
        <item m="1" x="1087"/>
        <item m="1" x="1088"/>
        <item m="1" x="870"/>
        <item m="1" x="1089"/>
        <item m="1" x="1090"/>
        <item m="1" x="1091"/>
        <item m="1" x="875"/>
        <item m="1" x="1092"/>
        <item m="1" x="1093"/>
        <item m="1" x="1094"/>
        <item m="1" x="877"/>
        <item m="1" x="1095"/>
        <item m="1" x="1096"/>
        <item m="1" x="1097"/>
        <item m="1" x="2176"/>
        <item m="1" x="1098"/>
        <item m="1" x="1099"/>
        <item m="1" x="1100"/>
        <item m="1" x="2178"/>
        <item m="1" x="1101"/>
        <item m="1" x="1102"/>
        <item m="1" x="1103"/>
        <item m="1" x="2180"/>
        <item m="1" x="1104"/>
        <item m="1" x="1105"/>
        <item m="1" x="2183"/>
        <item m="1" x="1106"/>
        <item m="1" x="1107"/>
        <item m="1" x="2184"/>
        <item m="1" x="1108"/>
        <item m="1" x="1109"/>
        <item m="1" x="2918"/>
        <item m="1" x="1110"/>
        <item m="1" x="2185"/>
        <item m="1" x="1111"/>
        <item m="1" x="1112"/>
        <item m="1" x="2958"/>
        <item m="1" x="1113"/>
        <item m="1" x="2189"/>
        <item m="1" x="1114"/>
        <item m="1" x="1115"/>
        <item m="1" x="1116"/>
        <item m="1" x="2919"/>
        <item m="1" x="2190"/>
        <item m="1" x="1117"/>
        <item m="1" x="1118"/>
        <item m="1" x="363"/>
        <item m="1" x="2959"/>
        <item m="1" x="2192"/>
        <item m="1" x="1119"/>
        <item m="1" x="2515"/>
        <item m="1" x="364"/>
        <item m="1" x="2998"/>
        <item m="1" x="1120"/>
        <item m="1" x="2516"/>
        <item m="1" x="365"/>
        <item m="1" x="3028"/>
        <item m="1" x="2920"/>
        <item m="1" x="1121"/>
        <item m="1" x="2517"/>
        <item m="1" x="2960"/>
        <item m="1" x="1122"/>
        <item m="1" x="1123"/>
        <item m="1" x="2999"/>
        <item m="1" x="1124"/>
        <item m="1" x="1125"/>
        <item m="1" x="3029"/>
        <item m="1" x="2477"/>
        <item m="1" x="1126"/>
        <item m="1" x="3055"/>
        <item m="1" x="2479"/>
        <item m="1" x="1127"/>
        <item m="1" x="1128"/>
        <item m="1" x="1129"/>
        <item m="1" x="3075"/>
        <item m="1" x="1130"/>
        <item m="1" x="1131"/>
        <item m="1" x="374"/>
        <item m="1" x="3092"/>
        <item m="1" x="1132"/>
        <item m="1" x="1133"/>
        <item m="1" x="3105"/>
        <item m="1" x="1134"/>
        <item m="1" x="1135"/>
        <item m="1" x="1136"/>
        <item m="1" x="3118"/>
        <item m="1" x="1137"/>
        <item m="1" x="1138"/>
        <item m="1" x="1139"/>
        <item m="1" x="1140"/>
        <item m="1" x="426"/>
        <item m="1" x="835"/>
        <item m="1" x="1141"/>
        <item m="1" x="1142"/>
        <item m="1" x="1143"/>
        <item m="1" x="2525"/>
        <item m="1" x="1144"/>
        <item m="1" x="2921"/>
        <item m="1" x="1145"/>
        <item m="1" x="1146"/>
        <item m="1" x="2410"/>
        <item m="1" x="1147"/>
        <item m="1" x="2961"/>
        <item m="1" x="1148"/>
        <item m="1" x="1149"/>
        <item m="1" x="2412"/>
        <item m="1" x="1150"/>
        <item m="1" x="3000"/>
        <item m="1" x="1151"/>
        <item m="1" x="1152"/>
        <item m="1" x="1153"/>
        <item m="1" x="1154"/>
        <item m="1" x="3030"/>
        <item m="1" x="1155"/>
        <item m="1" x="1156"/>
        <item m="1" x="3056"/>
        <item m="1" x="1157"/>
        <item m="1" x="1158"/>
        <item m="1" x="1159"/>
        <item m="1" x="3076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367"/>
        <item m="1" x="1174"/>
        <item m="1" x="1175"/>
        <item m="1" x="1176"/>
        <item m="1" x="1001"/>
        <item m="1" x="1177"/>
        <item m="1" x="646"/>
        <item m="1" x="377"/>
        <item m="1" x="1178"/>
        <item m="1" x="648"/>
        <item m="1" x="1179"/>
        <item m="1" x="1180"/>
        <item m="1" x="650"/>
        <item m="1" x="1181"/>
        <item m="1" x="1182"/>
        <item m="1" x="652"/>
        <item m="1" x="1183"/>
        <item m="1" x="654"/>
        <item m="1" x="1184"/>
        <item m="1" x="1185"/>
        <item m="1" x="1186"/>
        <item m="1" x="382"/>
        <item m="1" x="3001"/>
        <item m="1" x="1187"/>
        <item m="1" x="1188"/>
        <item m="1" x="936"/>
        <item m="1" x="1189"/>
        <item m="1" x="1190"/>
        <item m="1" x="1191"/>
        <item m="1" x="2206"/>
        <item m="1" x="1192"/>
        <item m="1" x="3077"/>
        <item m="1" x="1193"/>
        <item m="1" x="1194"/>
        <item m="1" x="941"/>
        <item m="1" x="1195"/>
        <item m="1" x="1196"/>
        <item m="1" x="1197"/>
        <item m="1" x="1198"/>
        <item m="1" x="943"/>
        <item m="1" x="1199"/>
        <item m="1" x="1200"/>
        <item m="1" x="1201"/>
        <item m="1" x="1202"/>
        <item m="1" x="945"/>
        <item m="1" x="2922"/>
        <item m="1" x="1203"/>
        <item m="1" x="1204"/>
        <item m="1" x="947"/>
        <item m="1" x="2962"/>
        <item m="1" x="1205"/>
        <item m="1" x="1206"/>
        <item m="1" x="949"/>
        <item m="1" x="3002"/>
        <item m="1" x="1207"/>
        <item m="1" x="1208"/>
        <item m="1" x="952"/>
        <item m="1" x="3031"/>
        <item m="1" x="1209"/>
        <item m="1" x="954"/>
        <item m="1" x="3057"/>
        <item m="1" x="1210"/>
        <item m="1" x="422"/>
        <item m="1" x="3078"/>
        <item m="1" x="915"/>
        <item m="1" x="1211"/>
        <item m="1" x="1212"/>
        <item m="1" x="2717"/>
        <item m="1" x="3093"/>
        <item m="1" x="1213"/>
        <item m="1" x="1214"/>
        <item m="1" x="2725"/>
        <item m="1" x="3106"/>
        <item m="1" x="1215"/>
        <item m="1" x="430"/>
        <item m="1" x="3119"/>
        <item m="1" x="1216"/>
        <item m="1" x="1217"/>
        <item m="1" x="2726"/>
        <item m="1" x="1218"/>
        <item m="1" x="891"/>
        <item m="1" x="1219"/>
        <item m="1" x="894"/>
        <item m="1" x="1220"/>
        <item m="1" x="897"/>
        <item m="1" x="1221"/>
        <item m="1" x="1222"/>
        <item m="1" x="901"/>
        <item m="1" x="1223"/>
        <item m="1" x="1224"/>
        <item m="1" x="904"/>
        <item m="1" x="1225"/>
        <item m="1" x="1226"/>
        <item m="1" x="906"/>
        <item m="1" x="1227"/>
        <item m="1" x="1228"/>
        <item m="1" x="971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3069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2923"/>
        <item m="1" x="1272"/>
        <item m="1" x="1273"/>
        <item m="1" x="2963"/>
        <item m="1" x="1274"/>
        <item m="1" x="433"/>
        <item m="1" x="1275"/>
        <item m="1" x="3003"/>
        <item m="1" x="434"/>
        <item m="1" x="1276"/>
        <item m="1" x="3032"/>
        <item m="1" x="1277"/>
        <item m="1" x="436"/>
        <item m="1" x="1278"/>
        <item m="1" x="1279"/>
        <item m="1" x="3058"/>
        <item m="1" x="443"/>
        <item m="1" x="1280"/>
        <item m="1" x="1281"/>
        <item m="1" x="3079"/>
        <item m="1" x="447"/>
        <item m="1" x="1282"/>
        <item m="1" x="3094"/>
        <item m="1" x="972"/>
        <item m="1" x="1283"/>
        <item m="1" x="3107"/>
        <item m="1" x="1284"/>
        <item m="1" x="1285"/>
        <item m="1" x="1286"/>
        <item m="1" x="1287"/>
        <item m="1" x="1288"/>
        <item m="1" x="1289"/>
        <item m="1" x="863"/>
        <item m="1" x="1290"/>
        <item m="1" x="868"/>
        <item m="1" x="1291"/>
        <item m="1" x="874"/>
        <item m="1" x="1292"/>
        <item m="1" x="876"/>
        <item m="1" x="2546"/>
        <item m="1" x="1293"/>
        <item m="1" x="2175"/>
        <item m="1" x="1294"/>
        <item m="1" x="865"/>
        <item m="1" x="1295"/>
        <item m="1" x="2177"/>
        <item m="1" x="2279"/>
        <item m="1" x="871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923"/>
        <item m="1" x="1326"/>
        <item m="1" x="1327"/>
        <item m="1" x="924"/>
        <item m="1" x="942"/>
        <item m="1" x="2924"/>
        <item m="1" x="1328"/>
        <item m="1" x="944"/>
        <item m="1" x="2964"/>
        <item m="1" x="1329"/>
        <item m="1" x="946"/>
        <item m="1" x="1330"/>
        <item m="1" x="3004"/>
        <item m="1" x="1331"/>
        <item m="1" x="948"/>
        <item m="1" x="1332"/>
        <item m="1" x="3033"/>
        <item m="1" x="1333"/>
        <item m="1" x="951"/>
        <item m="1" x="1334"/>
        <item m="1" x="1335"/>
        <item m="1" x="1336"/>
        <item m="1" x="953"/>
        <item m="1" x="1337"/>
        <item m="1" x="1338"/>
        <item m="1" x="1339"/>
        <item m="1" x="1340"/>
        <item m="1" x="2207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2925"/>
        <item m="1" x="1367"/>
        <item m="1" x="1368"/>
        <item m="1" x="2965"/>
        <item m="1" x="1369"/>
        <item m="1" x="229"/>
        <item m="1" x="1370"/>
        <item m="1" x="1371"/>
        <item m="1" x="1372"/>
        <item m="1" x="352"/>
        <item m="1" x="1373"/>
        <item m="1" x="1374"/>
        <item m="1" x="1012"/>
        <item m="1" x="1375"/>
        <item m="1" x="1376"/>
        <item m="1" x="1013"/>
        <item m="1" x="2926"/>
        <item m="1" x="1377"/>
        <item m="1" x="353"/>
        <item m="1" x="1378"/>
        <item m="1" x="354"/>
        <item m="1" x="1379"/>
        <item m="1" x="929"/>
        <item m="1" x="2966"/>
        <item m="1" x="1380"/>
        <item m="1" x="3005"/>
        <item m="1" x="1381"/>
        <item m="1" x="359"/>
        <item m="1" x="2765"/>
        <item m="1" x="3034"/>
        <item m="1" x="921"/>
        <item m="1" x="2766"/>
        <item m="1" x="3059"/>
        <item m="1" x="1382"/>
        <item m="1" x="2767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982"/>
        <item m="1" x="2256"/>
        <item m="1" x="2239"/>
        <item m="1" x="1397"/>
        <item m="1" x="984"/>
        <item m="1" x="2242"/>
        <item m="1" x="1398"/>
        <item m="1" x="2208"/>
        <item m="1" x="370"/>
        <item m="1" x="1399"/>
        <item m="1" x="1400"/>
        <item m="1" x="2927"/>
        <item m="1" x="1401"/>
        <item m="1" x="2209"/>
        <item m="1" x="2181"/>
        <item m="1" x="2967"/>
        <item m="1" x="1402"/>
        <item m="1" x="2210"/>
        <item m="1" x="3006"/>
        <item m="1" x="1403"/>
        <item m="1" x="1404"/>
        <item m="1" x="3035"/>
        <item m="1" x="1405"/>
        <item m="1" x="2186"/>
        <item m="1" x="2518"/>
        <item m="1" x="3060"/>
        <item m="1" x="1406"/>
        <item m="1" x="1407"/>
        <item m="1" x="2265"/>
        <item m="1" x="3080"/>
        <item m="1" x="1408"/>
        <item m="1" x="751"/>
        <item m="1" x="1409"/>
        <item m="1" x="1410"/>
        <item m="1" x="1411"/>
        <item m="1" x="752"/>
        <item m="1" x="2411"/>
        <item m="1" x="2501"/>
        <item m="1" x="1412"/>
        <item m="1" x="1413"/>
        <item m="1" x="1414"/>
        <item m="1" x="2505"/>
        <item m="1" x="1415"/>
        <item m="1" x="1416"/>
        <item m="1" x="1417"/>
        <item m="1" x="1418"/>
        <item m="1" x="2490"/>
        <item m="1" x="1419"/>
        <item m="1" x="1420"/>
        <item m="1" x="1421"/>
        <item m="1" x="1422"/>
        <item m="1" x="1423"/>
        <item m="1" x="1424"/>
        <item m="1" x="1425"/>
        <item m="1" x="2928"/>
        <item m="1" x="1426"/>
        <item m="1" x="2929"/>
        <item m="1" x="1427"/>
        <item m="1" x="1428"/>
        <item m="1" x="2968"/>
        <item m="1" x="1429"/>
        <item m="1" x="2969"/>
        <item m="1" x="1430"/>
        <item m="1" x="1431"/>
        <item m="1" x="1432"/>
        <item m="1" x="3007"/>
        <item m="1" x="1433"/>
        <item m="1" x="460"/>
        <item m="1" x="1434"/>
        <item m="1" x="1435"/>
        <item m="1" x="3036"/>
        <item m="1" x="529"/>
        <item m="1" x="1436"/>
        <item m="1" x="1437"/>
        <item m="1" x="392"/>
        <item m="1" x="629"/>
        <item m="1" x="1438"/>
        <item m="1" x="1439"/>
        <item m="1" x="395"/>
        <item m="1" x="634"/>
        <item m="1" x="1440"/>
        <item m="1" x="1441"/>
        <item m="1" x="398"/>
        <item m="1" x="641"/>
        <item m="1" x="1442"/>
        <item m="1" x="1443"/>
        <item m="1" x="1444"/>
        <item m="1" x="403"/>
        <item m="1" x="750"/>
        <item m="1" x="1445"/>
        <item m="1" x="3108"/>
        <item m="1" x="1446"/>
        <item m="1" x="406"/>
        <item m="1" x="1447"/>
        <item m="1" x="3120"/>
        <item m="1" x="413"/>
        <item m="1" x="1448"/>
        <item m="1" x="408"/>
        <item m="1" x="1449"/>
        <item m="1" x="3095"/>
        <item m="1" x="960"/>
        <item m="1" x="1450"/>
        <item m="1" x="1451"/>
        <item m="1" x="1452"/>
        <item m="1" x="3109"/>
        <item m="1" x="961"/>
        <item m="1" x="1453"/>
        <item m="1" x="1454"/>
        <item m="1" x="1455"/>
        <item m="1" x="3121"/>
        <item m="1" x="1456"/>
        <item m="1" x="1457"/>
        <item m="1" x="1458"/>
        <item m="1" x="1459"/>
        <item m="1" x="1460"/>
        <item m="1" x="1461"/>
        <item m="1" x="1462"/>
        <item m="1" x="1463"/>
        <item m="1" x="1464"/>
        <item m="1" x="2481"/>
        <item m="1" x="1465"/>
        <item m="1" x="1466"/>
        <item m="1" x="1467"/>
        <item m="1" x="1468"/>
        <item m="1" x="1469"/>
        <item m="1" x="2483"/>
        <item m="1" x="1470"/>
        <item m="1" x="1471"/>
        <item m="1" x="1472"/>
        <item m="1" x="1473"/>
        <item m="1" x="1474"/>
        <item m="1" x="1475"/>
        <item m="1" x="1476"/>
        <item m="1" x="1477"/>
        <item m="1" x="3070"/>
        <item m="1" x="1478"/>
        <item m="1" x="1479"/>
        <item m="1" x="2485"/>
        <item m="1" x="1480"/>
        <item m="1" x="1481"/>
        <item m="1" x="1482"/>
        <item m="1" x="1483"/>
        <item m="1" x="1484"/>
        <item m="1" x="1485"/>
        <item m="1" x="1486"/>
        <item m="1" x="1487"/>
        <item m="1" x="467"/>
        <item m="1" x="1488"/>
        <item m="1" x="1489"/>
        <item m="1" x="1490"/>
        <item m="1" x="493"/>
        <item m="1" x="1491"/>
        <item m="1" x="3165"/>
        <item m="1" x="1492"/>
        <item m="1" x="502"/>
        <item m="1" x="1493"/>
        <item m="1" x="1494"/>
        <item m="1" x="511"/>
        <item m="1" x="1495"/>
        <item m="1" x="1496"/>
        <item m="1" x="522"/>
        <item m="1" x="1497"/>
        <item m="1" x="1498"/>
        <item m="1" x="530"/>
        <item m="1" x="1499"/>
        <item m="1" x="1500"/>
        <item m="1" x="532"/>
        <item m="1" x="1501"/>
        <item m="1" x="1502"/>
        <item m="1" x="534"/>
        <item m="1" x="1503"/>
        <item m="1" x="541"/>
        <item m="1" x="1504"/>
        <item m="1" x="1505"/>
        <item m="1" x="2445"/>
        <item m="1" x="1506"/>
        <item m="1" x="1507"/>
        <item m="1" x="2447"/>
        <item m="1" x="1508"/>
        <item m="1" x="1509"/>
        <item m="1" x="1510"/>
        <item m="1" x="1511"/>
        <item m="1" x="2449"/>
        <item m="1" x="1512"/>
        <item m="1" x="1513"/>
        <item m="1" x="1514"/>
        <item m="1" x="2450"/>
        <item m="1" x="1515"/>
        <item m="1" x="1516"/>
        <item m="1" x="1517"/>
        <item m="1" x="2903"/>
        <item m="1" x="1518"/>
        <item m="1" x="2904"/>
        <item m="1" x="1519"/>
        <item m="1" x="2930"/>
        <item m="1" x="1520"/>
        <item m="1" x="2906"/>
        <item m="1" x="1521"/>
        <item m="1" x="2970"/>
        <item m="1" x="1522"/>
        <item m="1" x="2909"/>
        <item m="1" x="1523"/>
        <item m="1" x="2437"/>
        <item m="1" x="1524"/>
        <item m="1" x="1525"/>
        <item m="1" x="2768"/>
        <item m="1" x="1526"/>
        <item m="1" x="1527"/>
        <item m="1" x="2769"/>
        <item m="1" x="1528"/>
        <item m="1" x="1529"/>
        <item m="1" x="997"/>
        <item m="1" x="2770"/>
        <item m="1" x="1530"/>
        <item m="1" x="1531"/>
        <item m="1" x="1532"/>
        <item m="1" x="2771"/>
        <item m="1" x="1533"/>
        <item m="1" x="1534"/>
        <item m="1" x="1535"/>
        <item m="1" x="2772"/>
        <item m="1" x="1536"/>
        <item m="1" x="1537"/>
        <item m="1" x="1538"/>
        <item m="1" x="2773"/>
        <item m="1" x="1539"/>
        <item m="1" x="1540"/>
        <item m="1" x="1541"/>
        <item m="1" x="977"/>
        <item m="1" x="1542"/>
        <item m="1" x="1543"/>
        <item m="1" x="1544"/>
        <item m="1" x="978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2211"/>
        <item m="1" x="1587"/>
        <item m="1" x="1588"/>
        <item m="1" x="1589"/>
        <item m="1" x="1590"/>
        <item m="1" x="1591"/>
        <item m="1" x="1592"/>
        <item m="1" x="1593"/>
        <item m="1" x="1594"/>
        <item m="1" x="1595"/>
        <item m="1" x="1596"/>
        <item m="1" x="1597"/>
        <item m="1" x="1598"/>
        <item m="1" x="1599"/>
        <item m="1" x="1600"/>
        <item m="1" x="1601"/>
        <item m="1" x="1602"/>
        <item m="1" x="1603"/>
        <item m="1" x="1604"/>
        <item m="1" x="1605"/>
        <item m="1" x="1606"/>
        <item m="1" x="1607"/>
        <item m="1" x="1608"/>
        <item m="1" x="761"/>
        <item m="1" x="1609"/>
        <item m="1" x="1610"/>
        <item m="1" x="1611"/>
        <item m="1" x="1612"/>
        <item m="1" x="1613"/>
        <item m="1" x="1614"/>
        <item m="1" x="1615"/>
        <item m="1" x="1616"/>
        <item m="1" x="1617"/>
        <item m="1" x="1618"/>
        <item m="1" x="1619"/>
        <item m="1" x="1620"/>
        <item m="1" x="1621"/>
        <item m="1" x="2931"/>
        <item m="1" x="1622"/>
        <item m="1" x="1623"/>
        <item m="1" x="1624"/>
        <item m="1" x="2971"/>
        <item m="1" x="1625"/>
        <item m="1" x="1626"/>
        <item m="1" x="1627"/>
        <item m="1" x="1628"/>
        <item m="1" x="1629"/>
        <item m="1" x="1630"/>
        <item m="1" x="1631"/>
        <item m="1" x="1632"/>
        <item m="1" x="1633"/>
        <item m="1" x="1634"/>
        <item m="1" x="1635"/>
        <item m="1" x="1636"/>
        <item m="1" x="1637"/>
        <item m="1" x="1638"/>
        <item m="1" x="371"/>
        <item m="1" x="3008"/>
        <item m="1" x="1639"/>
        <item m="1" x="1640"/>
        <item m="1" x="1641"/>
        <item m="1" x="3037"/>
        <item m="1" x="1642"/>
        <item m="1" x="1643"/>
        <item m="1" x="1644"/>
        <item m="1" x="1645"/>
        <item m="1" x="1646"/>
        <item m="1" x="1647"/>
        <item m="1" x="1648"/>
        <item m="1" x="1649"/>
        <item m="1" x="1650"/>
        <item m="1" x="1651"/>
        <item m="1" x="1652"/>
        <item m="1" x="1653"/>
        <item m="1" x="1654"/>
        <item m="1" x="1655"/>
        <item m="1" x="1656"/>
        <item m="1" x="1657"/>
        <item m="1" x="1658"/>
        <item m="1" x="1659"/>
        <item m="1" x="2932"/>
        <item m="1" x="1660"/>
        <item m="1" x="1661"/>
        <item m="1" x="1662"/>
        <item m="1" x="2448"/>
        <item m="1" x="2212"/>
        <item m="1" x="1663"/>
        <item m="1" x="1664"/>
        <item m="1" x="1665"/>
        <item m="1" x="1666"/>
        <item m="1" x="1667"/>
        <item m="1" x="1668"/>
        <item m="1" x="1669"/>
        <item m="1" x="1670"/>
        <item m="1" x="1671"/>
        <item m="1" x="1672"/>
        <item m="1" x="1673"/>
        <item m="1" x="2972"/>
        <item m="1" x="1674"/>
        <item m="1" x="1675"/>
        <item m="1" x="3009"/>
        <item m="1" x="1676"/>
        <item m="1" x="1677"/>
        <item m="1" x="3038"/>
        <item m="1" x="1678"/>
        <item m="1" x="1679"/>
        <item m="1" x="1680"/>
        <item m="1" x="1681"/>
        <item m="1" x="1682"/>
        <item m="1" x="1683"/>
        <item m="1" x="1684"/>
        <item m="1" x="1685"/>
        <item m="1" x="1686"/>
        <item m="1" x="1687"/>
        <item m="1" x="1688"/>
        <item m="1" x="1689"/>
        <item m="1" x="1690"/>
        <item m="1" x="1691"/>
        <item m="1" x="1692"/>
        <item m="1" x="1693"/>
        <item m="1" x="1694"/>
        <item m="1" x="1695"/>
        <item m="1" x="2933"/>
        <item m="1" x="1696"/>
        <item m="1" x="2266"/>
        <item m="1" x="1697"/>
        <item m="1" x="2973"/>
        <item m="1" x="1698"/>
        <item m="1" x="2267"/>
        <item m="1" x="1699"/>
        <item m="1" x="1700"/>
        <item m="1" x="2268"/>
        <item m="1" x="1701"/>
        <item m="1" x="1702"/>
        <item m="1" x="1703"/>
        <item m="1" x="2270"/>
        <item m="1" x="1704"/>
        <item m="1" x="1705"/>
        <item m="1" x="1706"/>
        <item m="1" x="1707"/>
        <item m="1" x="2908"/>
        <item m="1" x="1708"/>
        <item m="1" x="1709"/>
        <item m="1" x="1710"/>
        <item m="1" x="2934"/>
        <item m="1" x="2935"/>
        <item m="1" x="1711"/>
        <item m="1" x="1712"/>
        <item m="1" x="2974"/>
        <item m="1" x="2975"/>
        <item m="1" x="1713"/>
        <item m="1" x="1714"/>
        <item m="1" x="3010"/>
        <item m="1" x="1715"/>
        <item m="1" x="1716"/>
        <item m="1" x="1717"/>
        <item m="1" x="3039"/>
        <item m="1" x="1718"/>
        <item m="1" x="1719"/>
        <item m="1" x="1720"/>
        <item m="1" x="3061"/>
        <item m="1" x="1721"/>
        <item m="1" x="1722"/>
        <item m="1" x="1723"/>
        <item m="1" x="1724"/>
        <item m="1" x="1725"/>
        <item m="1" x="1726"/>
        <item m="1" x="1727"/>
        <item m="1" x="1728"/>
        <item m="1" x="1729"/>
        <item m="1" x="1011"/>
        <item m="1" x="1730"/>
        <item m="1" x="1731"/>
        <item m="1" x="1732"/>
        <item m="1" x="1733"/>
        <item m="1" x="1734"/>
        <item m="1" x="1735"/>
        <item m="1" x="1736"/>
        <item m="1" x="1737"/>
        <item m="1" x="1015"/>
        <item m="1" x="2936"/>
        <item m="1" x="1738"/>
        <item m="1" x="2976"/>
        <item m="1" x="1739"/>
        <item m="1" x="1740"/>
        <item m="1" x="3011"/>
        <item m="1" x="1741"/>
        <item m="1" x="3040"/>
        <item m="1" x="1742"/>
        <item m="1" x="1743"/>
        <item m="1" x="3062"/>
        <item m="1" x="1744"/>
        <item m="1" x="3081"/>
        <item m="1" x="1745"/>
        <item m="1" x="1746"/>
        <item m="1" x="1747"/>
        <item m="1" x="1748"/>
        <item m="1" x="1749"/>
        <item m="1" x="1750"/>
        <item m="1" x="1751"/>
        <item m="1" x="1752"/>
        <item m="1" x="1753"/>
        <item m="1" x="1754"/>
        <item m="1" x="1755"/>
        <item m="1" x="1756"/>
        <item m="1" x="1757"/>
        <item m="1" x="1758"/>
        <item m="1" x="1759"/>
        <item m="1" x="2937"/>
        <item m="1" x="1760"/>
        <item m="1" x="1761"/>
        <item m="1" x="1762"/>
        <item m="1" x="1763"/>
        <item m="1" x="1764"/>
        <item m="1" x="1765"/>
        <item m="1" x="1766"/>
        <item m="1" x="981"/>
        <item m="1" x="1767"/>
        <item m="1" x="1768"/>
        <item m="1" x="412"/>
        <item m="1" x="1769"/>
        <item m="1" x="1770"/>
        <item m="1" x="1771"/>
        <item m="1" x="1772"/>
        <item m="1" x="1773"/>
        <item m="1" x="2938"/>
        <item m="1" x="1774"/>
        <item m="1" x="2977"/>
        <item m="1" x="3012"/>
        <item m="1" x="3041"/>
        <item m="1" x="3063"/>
        <item m="1" x="3082"/>
        <item m="1" x="1775"/>
        <item m="1" x="1776"/>
        <item m="1" x="1777"/>
        <item m="1" x="1778"/>
        <item m="1" x="1779"/>
        <item m="1" x="1780"/>
        <item m="1" x="2213"/>
        <item m="1" x="1781"/>
        <item m="1" x="2214"/>
        <item m="1" x="1782"/>
        <item m="1" x="1783"/>
        <item m="1" x="1784"/>
        <item m="1" x="1785"/>
        <item m="1" x="1786"/>
        <item m="1" x="1787"/>
        <item m="1" x="1788"/>
        <item m="1" x="1789"/>
        <item m="1" x="1790"/>
        <item m="1" x="1791"/>
        <item m="1" x="1792"/>
        <item m="1" x="1793"/>
        <item m="1" x="1794"/>
        <item m="1" x="1795"/>
        <item m="1" x="1796"/>
        <item m="1" x="2275"/>
        <item m="1" x="2507"/>
        <item m="1" x="1797"/>
        <item m="1" x="963"/>
        <item m="1" x="964"/>
        <item m="1" x="1798"/>
        <item m="1" x="1799"/>
        <item m="1" x="2524"/>
        <item m="1" x="2526"/>
        <item m="1" x="1800"/>
        <item m="1" x="2527"/>
        <item m="1" x="1801"/>
        <item m="1" x="1802"/>
        <item m="1" x="2528"/>
        <item m="1" x="1803"/>
        <item m="1" x="2530"/>
        <item m="1" x="1804"/>
        <item m="1" x="2531"/>
        <item m="1" x="1805"/>
        <item m="1" x="378"/>
        <item m="1" x="379"/>
        <item m="1" x="1806"/>
        <item m="1" x="1807"/>
        <item m="1" x="1808"/>
        <item m="1" x="380"/>
        <item m="1" x="383"/>
        <item m="1" x="965"/>
        <item m="1" x="1809"/>
        <item m="1" x="966"/>
        <item m="1" x="496"/>
        <item m="1" x="1810"/>
        <item m="1" x="505"/>
        <item m="1" x="1811"/>
        <item m="1" x="1812"/>
        <item m="1" x="1813"/>
        <item m="1" x="1814"/>
        <item m="1" x="2533"/>
        <item m="1" x="1815"/>
        <item m="1" x="1816"/>
        <item m="1" x="1817"/>
        <item m="1" x="1818"/>
        <item m="1" x="1819"/>
        <item m="1" x="1820"/>
        <item m="1" x="3141"/>
        <item m="1" x="1821"/>
        <item m="1" x="1822"/>
        <item m="1" x="1823"/>
        <item m="1" x="1824"/>
        <item m="1" x="1825"/>
        <item m="1" x="1826"/>
        <item m="1" x="1827"/>
        <item m="1" x="1828"/>
        <item m="1" x="1829"/>
        <item m="1" x="1830"/>
        <item m="1" x="1831"/>
        <item m="1" x="1832"/>
        <item m="1" x="1833"/>
        <item m="1" x="1834"/>
        <item m="1" x="1835"/>
        <item m="1" x="1836"/>
        <item m="1" x="1837"/>
        <item m="1" x="1838"/>
        <item m="1" x="3013"/>
        <item m="1" x="1839"/>
        <item m="1" x="3042"/>
        <item m="1" x="1840"/>
        <item m="1" x="1841"/>
        <item m="1" x="1842"/>
        <item m="1" x="1843"/>
        <item m="1" x="1844"/>
        <item m="1" x="1845"/>
        <item m="1" x="1846"/>
        <item m="1" x="404"/>
        <item m="1" x="2978"/>
        <item m="1" x="1847"/>
        <item m="1" x="405"/>
        <item m="1" x="1848"/>
        <item m="1" x="1849"/>
        <item m="1" x="407"/>
        <item m="1" x="1850"/>
        <item m="1" x="1851"/>
        <item m="1" x="417"/>
        <item m="1" x="1852"/>
        <item m="1" x="2789"/>
        <item m="1" x="418"/>
        <item m="1" x="1853"/>
        <item m="1" x="717"/>
        <item m="1" x="2509"/>
        <item m="1" x="1854"/>
        <item m="1" x="2130"/>
        <item m="1" x="1855"/>
        <item m="1" x="1856"/>
        <item m="1" x="1857"/>
        <item m="1" x="930"/>
        <item m="1" x="1858"/>
        <item m="1" x="1859"/>
        <item m="1" x="396"/>
        <item m="1" x="1860"/>
        <item m="1" x="1861"/>
        <item m="1" x="1862"/>
        <item m="1" x="1863"/>
        <item m="1" x="1864"/>
        <item m="1" x="1865"/>
        <item m="1" x="1866"/>
        <item m="1" x="1867"/>
        <item m="1" x="1868"/>
        <item m="1" x="1869"/>
        <item m="1" x="1870"/>
        <item m="1" x="1871"/>
        <item m="1" x="1872"/>
        <item m="1" x="1873"/>
        <item m="1" x="1874"/>
        <item m="1" x="1875"/>
        <item m="1" x="1876"/>
        <item m="1" x="1877"/>
        <item m="1" x="1878"/>
        <item m="1" x="2475"/>
        <item m="1" x="1879"/>
        <item m="1" x="919"/>
        <item m="1" x="1880"/>
        <item m="1" x="1881"/>
        <item m="1" x="1882"/>
        <item m="1" x="1883"/>
        <item m="1" x="1884"/>
        <item m="1" x="1885"/>
        <item m="1" x="1886"/>
        <item m="1" x="1887"/>
        <item m="1" x="1888"/>
        <item m="1" x="1889"/>
        <item m="1" x="1890"/>
        <item m="1" x="1891"/>
        <item m="1" x="1892"/>
        <item m="1" x="1893"/>
        <item m="1" x="1894"/>
        <item m="1" x="1895"/>
        <item m="1" x="1896"/>
        <item m="1" x="1897"/>
        <item m="1" x="1898"/>
        <item m="1" x="1899"/>
        <item m="1" x="1900"/>
        <item m="1" x="1901"/>
        <item m="1" x="1902"/>
        <item m="1" x="1903"/>
        <item m="1" x="1904"/>
        <item m="1" x="1905"/>
        <item m="1" x="1906"/>
        <item m="1" x="1907"/>
        <item m="1" x="1908"/>
        <item m="1" x="1909"/>
        <item m="1" x="1910"/>
        <item m="1" x="1911"/>
        <item m="1" x="1912"/>
        <item m="1" x="1913"/>
        <item m="1" x="1914"/>
        <item m="1" x="1915"/>
        <item m="1" x="1916"/>
        <item m="1" x="1917"/>
        <item m="1" x="1918"/>
        <item m="1" x="1919"/>
        <item m="1" x="1920"/>
        <item m="1" x="1921"/>
        <item m="1" x="1922"/>
        <item m="1" x="2939"/>
        <item m="1" x="1923"/>
        <item m="1" x="2979"/>
        <item m="1" x="1924"/>
        <item m="1" x="1925"/>
        <item m="1" x="1926"/>
        <item m="1" x="1927"/>
        <item m="1" x="1928"/>
        <item m="1" x="1929"/>
        <item m="1" x="1930"/>
        <item m="1" x="1931"/>
        <item m="1" x="1932"/>
        <item m="1" x="1933"/>
        <item m="1" x="2940"/>
        <item m="1" x="1934"/>
        <item m="1" x="2980"/>
        <item m="1" x="1935"/>
        <item m="1" x="3014"/>
        <item m="1" x="1936"/>
        <item m="1" x="3043"/>
        <item m="1" x="1937"/>
        <item m="1" x="3064"/>
        <item m="1" x="1938"/>
        <item m="1" x="3083"/>
        <item m="1" x="1939"/>
        <item m="1" x="1940"/>
        <item m="1" x="1941"/>
        <item m="1" x="1942"/>
        <item m="1" x="1943"/>
        <item m="1" x="1944"/>
        <item m="1" x="1945"/>
        <item m="1" x="1946"/>
        <item m="1" x="1947"/>
        <item m="1" x="1948"/>
        <item m="1" x="1949"/>
        <item m="1" x="1950"/>
        <item m="1" x="1951"/>
        <item m="1" x="1952"/>
        <item m="1" x="3044"/>
        <item m="1" x="1953"/>
        <item m="1" x="3065"/>
        <item m="1" x="885"/>
        <item m="1" x="1954"/>
        <item m="1" x="1955"/>
        <item m="1" x="1956"/>
        <item m="1" x="2981"/>
        <item m="1" x="1957"/>
        <item m="1" x="1958"/>
        <item m="1" x="2215"/>
        <item m="1" x="1959"/>
        <item m="1" x="3084"/>
        <item m="1" x="1960"/>
        <item m="1" x="3096"/>
        <item m="1" x="1961"/>
        <item m="1" x="1962"/>
        <item m="1" x="2436"/>
        <item m="1" x="841"/>
        <item m="1" x="1963"/>
        <item m="1" x="1964"/>
        <item m="1" x="2202"/>
        <item m="1" x="856"/>
        <item m="1" x="2204"/>
        <item m="1" x="860"/>
        <item m="1" x="2216"/>
        <item m="1" x="866"/>
        <item m="1" x="2217"/>
        <item m="1" x="872"/>
        <item m="1" x="2218"/>
        <item m="1" x="2220"/>
        <item m="1" x="878"/>
        <item m="1" x="887"/>
        <item m="1" x="889"/>
        <item m="1" x="892"/>
        <item m="1" x="895"/>
        <item m="1" x="898"/>
        <item m="1" x="902"/>
        <item m="1" x="2187"/>
        <item m="1" x="2941"/>
        <item m="1" x="2982"/>
        <item m="1" x="2942"/>
        <item m="1" x="2983"/>
        <item m="1" x="3015"/>
        <item m="1" x="3045"/>
        <item m="1" x="3066"/>
        <item m="1" x="3085"/>
        <item m="1" x="3097"/>
        <item m="1" x="3110"/>
        <item m="1" x="3122"/>
        <item m="1" x="2422"/>
        <item m="1" x="836"/>
        <item m="1" x="2943"/>
        <item m="1" x="2984"/>
        <item m="1" x="1965"/>
        <item m="1" x="1966"/>
        <item m="1" x="1967"/>
        <item m="1" x="1968"/>
        <item m="1" x="2985"/>
        <item m="1" x="1969"/>
        <item m="1" x="3016"/>
        <item m="1" x="1970"/>
        <item m="1" x="1971"/>
        <item m="1" x="1972"/>
        <item m="1" x="1973"/>
        <item m="1" x="1974"/>
        <item m="1" x="1975"/>
        <item m="1" x="2890"/>
        <item m="1" x="1976"/>
        <item m="1" x="1977"/>
        <item m="1" x="1978"/>
        <item m="1" x="1979"/>
        <item m="1" x="2899"/>
        <item m="1" x="1980"/>
        <item m="1" x="1981"/>
        <item m="1" x="1982"/>
        <item m="1" x="1983"/>
        <item m="1" x="2944"/>
        <item m="1" x="2986"/>
        <item m="1" x="1984"/>
        <item m="1" x="2987"/>
        <item m="1" x="1985"/>
        <item m="1" x="3017"/>
        <item m="1" x="1986"/>
        <item m="1" x="3046"/>
        <item m="1" x="1987"/>
        <item m="1" x="3067"/>
        <item m="1" x="1988"/>
        <item m="1" x="3086"/>
        <item m="1" x="1989"/>
        <item m="1" x="3098"/>
        <item m="1" x="3111"/>
        <item m="1" x="3123"/>
        <item m="1" x="837"/>
        <item m="1" x="842"/>
        <item m="1" x="1990"/>
        <item m="1" x="846"/>
        <item m="1" x="1991"/>
        <item m="1" x="850"/>
        <item m="1" x="857"/>
        <item m="1" x="1992"/>
        <item m="1" x="861"/>
        <item m="1" x="867"/>
        <item m="1" x="873"/>
        <item m="1" x="2308"/>
        <item m="1" x="2312"/>
        <item m="1" x="2945"/>
        <item m="1" x="2988"/>
        <item m="1" x="1993"/>
        <item m="1" x="3018"/>
        <item m="1" x="3047"/>
        <item m="1" x="3068"/>
        <item m="1" x="3087"/>
        <item m="1" x="2946"/>
        <item m="1" x="2989"/>
        <item m="1" x="2519"/>
        <item m="1" x="362"/>
        <item m="1" x="3019"/>
        <item m="1" x="3048"/>
        <item m="1" x="3160"/>
        <item m="1" x="3163"/>
        <item m="1" x="2990"/>
        <item m="1" x="1994"/>
        <item m="1" x="3020"/>
        <item m="1" x="1995"/>
        <item m="1" x="2947"/>
        <item m="1" x="2463"/>
        <item m="1" x="2465"/>
        <item m="1" x="937"/>
        <item m="1" x="939"/>
        <item m="1" x="2948"/>
        <item m="1" x="2991"/>
        <item m="1" x="3021"/>
        <item m="1" x="3049"/>
        <item m="1" x="931"/>
        <item m="1" x="393"/>
        <item m="1" x="1996"/>
        <item m="1" x="1997"/>
        <item m="1" x="1998"/>
        <item m="1" x="1999"/>
        <item m="1" x="2000"/>
        <item m="1" x="2001"/>
        <item m="1" x="2002"/>
        <item m="1" x="2003"/>
        <item m="1" x="2004"/>
        <item m="1" x="2005"/>
        <item m="1" x="2006"/>
        <item m="1" x="2007"/>
        <item m="1" x="2008"/>
        <item m="1" x="2009"/>
        <item m="1" x="2010"/>
        <item m="1" x="2011"/>
        <item m="1" x="2012"/>
        <item m="1" x="2013"/>
        <item m="1" x="2014"/>
        <item m="1" x="2015"/>
        <item m="1" x="2016"/>
        <item m="1" x="523"/>
        <item m="1" x="531"/>
        <item m="1" x="533"/>
        <item m="1" x="366"/>
        <item m="1" x="368"/>
        <item m="1" x="375"/>
        <item m="1" x="2017"/>
        <item m="1" x="2018"/>
        <item m="1" x="2019"/>
        <item m="1" x="2020"/>
        <item m="1" x="2021"/>
        <item m="1" x="2022"/>
        <item m="1" x="2023"/>
        <item m="1" x="2024"/>
        <item m="1" x="2025"/>
        <item m="1" x="2026"/>
        <item m="1" x="2027"/>
        <item m="1" x="2028"/>
        <item m="1" x="2029"/>
        <item m="1" x="2030"/>
        <item m="1" x="2031"/>
        <item m="1" x="2032"/>
        <item m="1" x="2033"/>
        <item m="1" x="2034"/>
        <item m="1" x="2035"/>
        <item m="1" x="2036"/>
        <item m="1" x="2037"/>
        <item m="1" x="2038"/>
        <item m="1" x="2039"/>
        <item m="1" x="2040"/>
        <item m="1" x="2041"/>
        <item m="1" x="2042"/>
        <item m="1" x="2043"/>
        <item m="1" x="2044"/>
        <item m="1" x="2045"/>
        <item m="1" x="2046"/>
        <item m="1" x="2047"/>
        <item m="1" x="2048"/>
        <item m="1" x="2049"/>
        <item m="1" x="423"/>
        <item m="1" x="425"/>
        <item m="1" x="427"/>
        <item m="1" x="431"/>
        <item m="1" x="435"/>
        <item m="1" x="437"/>
        <item m="1" x="2050"/>
        <item m="1" x="381"/>
        <item m="1" x="384"/>
        <item m="1" x="2051"/>
        <item m="1" x="2052"/>
        <item m="1" x="372"/>
        <item m="1" x="2053"/>
        <item m="1" x="2556"/>
        <item m="1" x="494"/>
        <item m="1" x="503"/>
        <item m="1" x="2054"/>
        <item m="1" x="2055"/>
        <item m="1" x="2056"/>
        <item m="1" x="2057"/>
        <item m="1" x="2058"/>
        <item m="1" x="2059"/>
        <item m="1" x="2060"/>
        <item m="1" x="2061"/>
        <item m="1" x="2062"/>
        <item m="1" x="2063"/>
        <item m="1" x="2064"/>
        <item m="1" x="2065"/>
        <item m="1" x="2066"/>
        <item m="1" x="2067"/>
        <item m="1" x="2068"/>
        <item m="1" x="2069"/>
        <item m="1" x="2070"/>
        <item m="1" x="373"/>
        <item m="1" x="2071"/>
        <item m="1" x="2072"/>
        <item m="1" x="2073"/>
        <item m="1" x="401"/>
        <item m="1" x="402"/>
        <item m="1" x="2074"/>
        <item m="1" x="2075"/>
        <item m="1" x="2076"/>
        <item m="1" x="2077"/>
        <item m="1" x="2078"/>
        <item m="1" x="2079"/>
        <item m="1" x="386"/>
        <item m="1" x="542"/>
        <item m="1" x="471"/>
        <item m="1" x="414"/>
        <item m="1" x="2797"/>
        <item m="1" x="446"/>
        <item m="1" x="543"/>
        <item m="1" x="512"/>
        <item m="1" x="597"/>
        <item m="1" x="2129"/>
        <item m="1" x="2568"/>
        <item m="1" x="675"/>
        <item m="1" x="2435"/>
        <item m="1" x="2569"/>
        <item m="1" x="718"/>
        <item m="1" x="2095"/>
        <item m="1" x="2570"/>
        <item m="1" x="2439"/>
        <item m="1" x="544"/>
        <item m="1" x="2571"/>
        <item m="1" x="2718"/>
        <item m="1" x="2572"/>
        <item m="1" x="2745"/>
        <item m="1" x="2573"/>
        <item m="1" x="2810"/>
        <item m="1" x="2893"/>
        <item m="1" x="763"/>
        <item m="1" x="2574"/>
        <item m="1" x="2719"/>
        <item m="1" x="749"/>
        <item m="1" x="2720"/>
        <item m="1" x="2575"/>
        <item m="1" x="2721"/>
        <item m="1" x="225"/>
        <item m="1" x="419"/>
        <item m="1" x="2722"/>
        <item m="1" x="2425"/>
        <item m="1" x="2576"/>
        <item m="1" x="545"/>
        <item m="1" x="2577"/>
        <item m="1" x="2578"/>
        <item m="1" x="385"/>
        <item m="1" x="2579"/>
        <item m="1" x="2128"/>
        <item m="1" x="2754"/>
        <item m="1" x="3143"/>
        <item m="1" x="2111"/>
        <item m="1" x="546"/>
        <item m="1" x="410"/>
        <item m="1" x="720"/>
        <item m="1" x="2457"/>
        <item m="1" x="610"/>
        <item m="1" x="2580"/>
        <item m="1" x="2775"/>
        <item m="1" x="2581"/>
        <item m="1" x="2471"/>
        <item m="1" x="2894"/>
        <item m="1" x="2582"/>
        <item m="1" x="356"/>
        <item m="1" x="2583"/>
        <item m="1" x="3148"/>
        <item m="1" x="2798"/>
        <item m="1" x="2584"/>
        <item m="1" x="2735"/>
        <item m="1" x="2896"/>
        <item m="1" x="472"/>
        <item m="1" x="2821"/>
        <item m="1" x="974"/>
        <item m="1" x="2498"/>
        <item m="1" x="657"/>
        <item m="1" x="2585"/>
        <item m="1" x="734"/>
        <item m="1" x="547"/>
        <item m="1" x="2784"/>
        <item m="1" x="623"/>
        <item m="1" x="2737"/>
        <item m="1" x="451"/>
        <item m="1" x="640"/>
        <item m="1" x="2586"/>
        <item m="1" x="2587"/>
        <item m="1" x="624"/>
        <item m="1" x="2588"/>
        <item m="1" x="851"/>
        <item m="1" x="2750"/>
        <item m="1" x="2589"/>
        <item m="1" x="2822"/>
        <item m="1" x="2881"/>
        <item m="1" x="2590"/>
        <item m="1" x="692"/>
        <item m="1" x="2591"/>
        <item m="1" x="852"/>
        <item m="1" x="2592"/>
        <item m="1" x="741"/>
        <item m="1" x="2593"/>
        <item m="1" x="2594"/>
        <item m="1" x="2595"/>
        <item m="1" x="524"/>
        <item m="1" x="2596"/>
        <item m="1" x="2443"/>
        <item m="1" x="2597"/>
        <item m="1" x="2878"/>
        <item m="1" x="2598"/>
        <item m="1" x="2420"/>
        <item m="1" x="2599"/>
        <item m="1" x="2258"/>
        <item m="1" x="2600"/>
        <item m="1" x="665"/>
        <item m="1" x="2193"/>
        <item m="1" x="513"/>
        <item m="1" x="2601"/>
        <item m="1" x="2602"/>
        <item m="1" x="2603"/>
        <item m="1" x="2604"/>
        <item m="1" x="2605"/>
        <item m="1" x="2606"/>
        <item m="1" x="2607"/>
        <item m="1" x="2608"/>
        <item m="1" x="2234"/>
        <item m="1" x="2823"/>
        <item m="1" x="2492"/>
        <item m="1" x="2609"/>
        <item m="1" x="2147"/>
        <item m="1" x="548"/>
        <item m="1" x="2610"/>
        <item m="1" x="2830"/>
        <item m="1" x="740"/>
        <item m="1" x="2611"/>
        <item m="1" x="2844"/>
        <item m="1" x="2612"/>
        <item m="1" x="2467"/>
        <item m="1" x="2613"/>
        <item m="1" x="2614"/>
        <item m="1" x="549"/>
        <item m="1" x="2615"/>
        <item m="1" x="2616"/>
        <item m="1" x="2617"/>
        <item m="1" x="514"/>
        <item m="1" x="2618"/>
        <item m="1" x="2799"/>
        <item m="1" x="438"/>
        <item m="1" x="2619"/>
        <item m="1" x="473"/>
        <item m="1" x="452"/>
        <item m="1" x="2620"/>
        <item m="1" x="453"/>
        <item m="1" x="2621"/>
        <item m="1" x="474"/>
        <item m="1" x="2776"/>
        <item m="1" x="2622"/>
        <item m="1" x="550"/>
        <item m="1" x="551"/>
        <item m="1" x="2623"/>
        <item m="1" x="2624"/>
        <item m="1" x="475"/>
        <item m="1" x="2625"/>
        <item m="1" x="611"/>
        <item m="1" x="599"/>
        <item m="1" x="2626"/>
        <item m="1" x="2627"/>
        <item m="1" x="664"/>
        <item m="1" x="2628"/>
        <item m="1" x="536"/>
        <item m="1" x="737"/>
        <item m="1" x="729"/>
        <item m="1" x="2629"/>
        <item m="1" x="230"/>
        <item m="1" x="2895"/>
        <item m="1" x="2777"/>
        <item m="1" x="2630"/>
        <item m="1" x="3135"/>
        <item m="1" x="771"/>
        <item m="1" x="3144"/>
        <item m="1" x="454"/>
        <item m="1" x="772"/>
        <item m="1" x="355"/>
        <item m="1" x="2297"/>
        <item m="1" x="476"/>
        <item m="1" x="773"/>
        <item m="1" x="698"/>
        <item m="1" x="477"/>
        <item m="1" x="2086"/>
        <item m="1" x="774"/>
        <item m="1" x="658"/>
        <item m="1" x="2790"/>
        <item m="1" x="775"/>
        <item m="1" x="2800"/>
        <item m="1" x="776"/>
        <item m="1" x="497"/>
        <item m="1" x="2631"/>
        <item m="1" x="2419"/>
        <item m="1" x="2632"/>
        <item m="1" x="515"/>
        <item m="1" x="552"/>
        <item m="1" x="957"/>
        <item m="1" x="584"/>
        <item m="1" x="2316"/>
        <item m="1" x="465"/>
        <item m="1" x="600"/>
        <item m="1" x="659"/>
        <item m="1" x="663"/>
        <item m="1" x="461"/>
        <item m="1" x="680"/>
        <item m="1" x="739"/>
        <item m="1" x="455"/>
        <item m="1" x="2728"/>
        <item m="1" x="498"/>
        <item m="1" x="2854"/>
        <item m="1" x="3126"/>
        <item m="1" x="470"/>
        <item m="1" x="525"/>
        <item m="1" x="612"/>
        <item m="1" x="2757"/>
        <item m="1" x="2521"/>
        <item m="1" x="699"/>
        <item m="1" x="2633"/>
        <item m="1" x="756"/>
        <item m="1" x="2634"/>
        <item m="1" x="358"/>
        <item m="1" x="2195"/>
        <item m="1" x="2136"/>
        <item m="1" x="439"/>
        <item m="1" x="553"/>
        <item m="1" x="2635"/>
        <item m="1" x="554"/>
        <item m="1" x="2636"/>
        <item m="1" x="613"/>
        <item m="1" x="2637"/>
        <item m="1" x="478"/>
        <item m="1" x="614"/>
        <item m="1" x="2791"/>
        <item m="1" x="450"/>
        <item m="1" x="555"/>
        <item m="1" x="2864"/>
        <item m="1" x="516"/>
        <item m="1" x="607"/>
        <item m="1" x="2831"/>
        <item m="1" x="2783"/>
        <item m="1" x="517"/>
        <item m="1" x="635"/>
        <item m="1" x="601"/>
        <item m="1" x="653"/>
        <item m="1" x="556"/>
        <item m="1" x="2787"/>
        <item m="1" x="2126"/>
        <item m="1" x="479"/>
        <item m="1" x="585"/>
        <item m="1" x="2638"/>
        <item m="1" x="2801"/>
        <item m="1" x="2639"/>
        <item m="1" x="557"/>
        <item m="1" x="853"/>
        <item m="1" x="2640"/>
        <item m="1" x="615"/>
        <item m="1" x="2641"/>
        <item m="1" x="637"/>
        <item m="1" x="558"/>
        <item m="1" x="2642"/>
        <item m="1" x="2304"/>
        <item m="1" x="2832"/>
        <item m="1" x="2643"/>
        <item m="1" x="2557"/>
        <item m="1" x="2644"/>
        <item m="1" x="3172"/>
        <item m="1" x="2645"/>
        <item m="1" x="2499"/>
        <item m="1" x="625"/>
        <item m="1" x="2302"/>
        <item m="1" x="2646"/>
        <item m="1" x="691"/>
        <item m="1" x="559"/>
        <item m="1" x="2259"/>
        <item m="1" x="586"/>
        <item m="1" x="445"/>
        <item m="1" x="507"/>
        <item m="1" x="2845"/>
        <item m="1" x="587"/>
        <item m="1" x="2806"/>
        <item m="1" x="440"/>
        <item m="1" x="560"/>
        <item m="1" x="962"/>
        <item m="1" x="2879"/>
        <item m="1" x="561"/>
        <item m="1" x="2860"/>
        <item m="1" x="777"/>
        <item m="1" x="480"/>
        <item m="1" x="456"/>
        <item m="1" x="2647"/>
        <item m="1" x="2811"/>
        <item m="1" x="778"/>
        <item m="1" x="616"/>
        <item m="1" x="518"/>
        <item m="1" x="2905"/>
        <item m="1" x="562"/>
        <item m="1" x="2648"/>
        <item m="1" x="481"/>
        <item m="1" x="2846"/>
        <item m="1" x="2649"/>
        <item m="1" x="462"/>
        <item m="1" x="563"/>
        <item m="1" x="482"/>
        <item m="1" x="2650"/>
        <item m="1" x="779"/>
        <item m="1" x="2224"/>
        <item m="1" x="755"/>
        <item m="1" x="2153"/>
        <item m="1" x="526"/>
        <item m="1" x="714"/>
        <item m="1" x="780"/>
        <item m="1" x="674"/>
        <item m="1" x="781"/>
        <item m="1" x="3099"/>
        <item m="1" x="2651"/>
        <item m="1" x="2712"/>
        <item m="1" x="2802"/>
        <item m="1" x="913"/>
        <item m="1" x="676"/>
        <item m="1" x="782"/>
        <item m="1" x="508"/>
        <item m="1" x="783"/>
        <item m="1" x="588"/>
        <item m="1" x="2807"/>
        <item m="1" x="441"/>
        <item m="1" x="784"/>
        <item m="1" x="2778"/>
        <item m="1" x="3173"/>
        <item m="1" x="785"/>
        <item m="1" x="483"/>
        <item m="1" x="457"/>
        <item m="1" x="2273"/>
        <item m="1" x="786"/>
        <item m="1" x="2156"/>
        <item m="1" x="3112"/>
        <item m="1" x="2803"/>
        <item m="1" x="787"/>
        <item m="1" x="2833"/>
        <item m="1" x="519"/>
        <item m="1" x="2380"/>
        <item m="1" x="3127"/>
        <item m="1" x="788"/>
        <item m="1" x="390"/>
        <item m="1" x="3124"/>
        <item m="1" x="789"/>
        <item m="1" x="520"/>
        <item m="1" x="679"/>
        <item m="1" x="2652"/>
        <item m="1" x="2309"/>
        <item m="1" x="2653"/>
        <item m="1" x="2654"/>
        <item m="1" x="521"/>
        <item m="1" x="2135"/>
        <item m="1" x="527"/>
        <item m="1" x="2474"/>
        <item m="1" x="2167"/>
        <item m="1" x="790"/>
        <item m="1" x="791"/>
        <item m="1" x="564"/>
        <item m="1" x="2824"/>
        <item m="1" x="3174"/>
        <item m="1" x="602"/>
        <item m="1" x="2331"/>
        <item m="1" x="617"/>
        <item m="1" x="2751"/>
        <item m="1" x="2655"/>
        <item m="1" x="2300"/>
        <item m="1" x="509"/>
        <item m="1" x="2656"/>
        <item m="1" x="565"/>
        <item m="1" x="2657"/>
        <item m="1" x="3145"/>
        <item m="1" x="2658"/>
        <item m="1" x="537"/>
        <item m="1" x="2659"/>
        <item m="1" x="2825"/>
        <item m="1" x="2660"/>
        <item m="1" x="2661"/>
        <item m="1" x="2826"/>
        <item m="1" x="2158"/>
        <item m="1" x="2662"/>
        <item m="1" x="2876"/>
        <item m="1" x="2663"/>
        <item m="1" x="2664"/>
        <item m="1" x="2665"/>
        <item m="1" x="566"/>
        <item m="1" x="484"/>
        <item m="1" x="2666"/>
        <item m="1" x="2834"/>
        <item m="1" x="499"/>
        <item m="1" x="2667"/>
        <item m="1" x="589"/>
        <item m="1" x="2668"/>
        <item m="1" x="2847"/>
        <item m="1" x="2669"/>
        <item m="1" x="603"/>
        <item m="1" x="2804"/>
        <item m="1" x="2670"/>
        <item m="1" x="2855"/>
        <item m="1" x="2671"/>
        <item m="1" x="618"/>
        <item m="1" x="2861"/>
        <item m="1" x="2672"/>
        <item m="1" x="626"/>
        <item m="1" x="2673"/>
        <item m="1" x="567"/>
        <item m="1" x="485"/>
        <item m="1" x="2674"/>
        <item m="1" x="409"/>
        <item m="1" x="2805"/>
        <item m="1" x="2848"/>
        <item m="1" x="2675"/>
        <item m="1" x="2676"/>
        <item m="1" x="528"/>
        <item m="1" x="695"/>
        <item m="1" x="2299"/>
        <item m="1" x="2677"/>
        <item m="1" x="2127"/>
        <item m="1" x="2159"/>
        <item m="1" x="2678"/>
        <item m="1" x="2679"/>
        <item m="1" x="2812"/>
        <item m="1" x="2680"/>
        <item m="1" x="689"/>
        <item m="1" x="399"/>
        <item m="1" x="2681"/>
        <item m="1" x="732"/>
        <item m="1" x="2792"/>
        <item m="1" x="538"/>
        <item m="1" x="2887"/>
        <item m="1" x="2682"/>
        <item m="1" x="2827"/>
        <item m="1" x="500"/>
        <item m="1" x="2683"/>
        <item m="1" x="2835"/>
        <item m="1" x="792"/>
        <item m="1" x="420"/>
        <item m="1" x="735"/>
        <item m="1" x="793"/>
        <item m="1" x="706"/>
        <item m="1" x="2849"/>
        <item m="1" x="486"/>
        <item m="1" x="2684"/>
        <item m="1" x="736"/>
        <item m="1" x="2809"/>
        <item m="1" x="2685"/>
        <item m="1" x="568"/>
        <item m="1" x="2686"/>
        <item m="1" x="2466"/>
        <item m="1" x="2856"/>
        <item m="1" x="466"/>
        <item m="1" x="2687"/>
        <item m="1" x="2828"/>
        <item m="1" x="487"/>
        <item m="1" x="2688"/>
        <item m="1" x="2355"/>
        <item m="1" x="2689"/>
        <item m="1" x="2793"/>
        <item m="1" x="2690"/>
        <item m="1" x="539"/>
        <item m="1" x="488"/>
        <item m="1" x="540"/>
        <item m="1" x="2785"/>
        <item m="1" x="656"/>
        <item m="1" x="649"/>
        <item m="1" x="3149"/>
        <item m="1" x="2329"/>
        <item m="1" x="590"/>
        <item m="1" x="638"/>
        <item m="1" x="2897"/>
        <item m="1" x="489"/>
        <item m="1" x="794"/>
        <item m="1" x="766"/>
        <item m="1" x="490"/>
        <item m="1" x="795"/>
        <item m="1" x="2829"/>
        <item m="1" x="2261"/>
        <item m="1" x="3150"/>
        <item m="1" x="2691"/>
        <item m="1" x="2179"/>
        <item m="1" x="796"/>
        <item m="1" x="619"/>
        <item m="1" x="2464"/>
        <item m="1" x="797"/>
        <item m="1" x="3154"/>
        <item m="1" x="491"/>
        <item m="1" x="569"/>
        <item m="1" x="2794"/>
        <item m="1" x="2692"/>
        <item m="1" x="798"/>
        <item m="1" x="2898"/>
        <item m="1" x="510"/>
        <item m="1" x="2693"/>
        <item m="1" x="2857"/>
        <item m="1" x="2694"/>
        <item m="1" x="604"/>
        <item m="1" x="2695"/>
        <item m="1" x="591"/>
        <item m="1" x="2752"/>
        <item m="1" x="2836"/>
        <item m="1" x="907"/>
        <item m="1" x="411"/>
        <item m="1" x="2549"/>
        <item m="1" x="570"/>
        <item m="1" x="2506"/>
        <item m="1" x="722"/>
        <item m="1" x="2106"/>
        <item m="1" x="986"/>
        <item m="1" x="2858"/>
        <item m="1" x="2862"/>
        <item m="1" x="799"/>
        <item m="1" x="3153"/>
        <item m="1" x="800"/>
        <item m="1" x="2432"/>
        <item m="1" x="801"/>
        <item m="1" x="620"/>
        <item m="1" x="733"/>
        <item m="1" x="592"/>
        <item m="1" x="2837"/>
        <item m="1" x="2558"/>
        <item m="1" x="2424"/>
        <item m="1" x="627"/>
        <item m="1" x="668"/>
        <item m="1" x="357"/>
        <item m="1" x="3151"/>
        <item m="1" x="571"/>
        <item m="1" x="2696"/>
        <item m="1" x="2296"/>
        <item m="1" x="2838"/>
        <item m="1" x="593"/>
        <item m="1" x="802"/>
        <item m="1" x="2084"/>
        <item m="1" x="2276"/>
        <item m="1" x="661"/>
        <item m="1" x="803"/>
        <item m="1" x="694"/>
        <item m="1" x="804"/>
        <item m="1" x="2154"/>
        <item m="1" x="805"/>
        <item m="1" x="2151"/>
        <item m="1" x="2697"/>
        <item m="1" x="2415"/>
        <item m="1" x="806"/>
        <item m="1" x="2491"/>
        <item m="1" x="807"/>
        <item m="1" x="2813"/>
        <item m="1" x="808"/>
        <item m="1" x="2814"/>
        <item m="1" x="809"/>
        <item m="1" x="2815"/>
        <item m="1" x="2816"/>
        <item m="1" x="572"/>
        <item m="1" x="2839"/>
        <item m="1" x="594"/>
        <item m="1" x="2850"/>
        <item m="1" x="2426"/>
        <item m="1" x="605"/>
        <item m="1" x="3161"/>
        <item m="1" x="2859"/>
        <item m="1" x="2455"/>
        <item m="1" x="621"/>
        <item m="1" x="2470"/>
        <item m="1" x="810"/>
        <item m="1" x="573"/>
        <item m="1" x="811"/>
        <item m="1" x="2840"/>
        <item m="1" x="812"/>
        <item m="1" x="2841"/>
        <item m="1" x="813"/>
        <item m="1" x="574"/>
        <item m="1" x="746"/>
        <item m="1" x="595"/>
        <item m="1" x="814"/>
        <item m="1" x="575"/>
        <item m="1" x="815"/>
        <item m="1" x="576"/>
        <item m="1" x="816"/>
        <item m="1" x="577"/>
        <item m="1" x="2851"/>
        <item m="1" x="2427"/>
        <item m="1" x="2852"/>
        <item m="1" x="3132"/>
        <item m="1" x="817"/>
        <item m="1" x="2817"/>
        <item m="1" x="818"/>
        <item m="1" x="2818"/>
        <item m="1" x="819"/>
        <item m="1" x="622"/>
        <item m="1" x="578"/>
        <item m="1" x="2698"/>
        <item m="1" x="2842"/>
        <item m="1" x="606"/>
        <item m="1" x="628"/>
        <item m="1" x="2428"/>
        <item m="1" x="2456"/>
        <item m="1" x="579"/>
        <item m="1" x="580"/>
        <item m="1" x="581"/>
        <item m="1" x="820"/>
        <item m="1" x="582"/>
        <item m="1" x="821"/>
        <item m="1" x="970"/>
        <item m="1" x="583"/>
        <item m="1" x="743"/>
        <item m="1" x="822"/>
        <item m="1" x="2819"/>
        <item m="1" x="2820"/>
        <item m="1" x="980"/>
        <item m="1" x="2378"/>
        <item m="1" x="2699"/>
        <item m="1" x="823"/>
        <item m="1" x="2091"/>
        <item m="1" x="2868"/>
        <item m="1" x="2476"/>
        <item m="1" x="2992"/>
        <item m="1" x="2756"/>
        <item m="1" x="2700"/>
        <item m="1" x="2701"/>
        <item m="1" x="2137"/>
        <item m="1" x="824"/>
        <item m="1" x="825"/>
        <item m="1" x="666"/>
        <item m="1" x="2702"/>
        <item m="1" x="696"/>
        <item m="1" x="2703"/>
        <item m="1" x="738"/>
        <item m="1" x="753"/>
        <item m="1" x="2704"/>
        <item m="1" x="630"/>
        <item m="1" x="2429"/>
        <item m="1" x="826"/>
        <item m="1" x="827"/>
        <item m="1" x="828"/>
        <item m="1" x="829"/>
        <item m="1" x="2705"/>
        <item m="1" x="636"/>
        <item m="1" x="2706"/>
        <item m="1" x="2707"/>
        <item m="1" x="2324"/>
        <item m="1" x="2430"/>
        <item m="1" x="2708"/>
        <item m="1" x="2709"/>
        <item m="1" x="2235"/>
        <item m="1" x="2497"/>
        <item m="1" x="415"/>
        <item m="1" x="2458"/>
        <item m="1" x="2472"/>
        <item m="1" x="2459"/>
        <item m="1" x="639"/>
        <item m="1" x="830"/>
        <item m="1" x="688"/>
        <item m="1" x="2730"/>
        <item m="1" x="2168"/>
        <item m="1" x="968"/>
        <item m="1" x="932"/>
        <item m="1" x="770"/>
        <item m="1" x="3125"/>
        <item m="1" x="910"/>
        <item m="1" x="2733"/>
        <item x="8"/>
        <item m="1" x="2795"/>
        <item m="1" x="2110"/>
        <item m="1" x="2883"/>
        <item m="1" x="432"/>
        <item m="1" x="2729"/>
        <item m="1" x="2121"/>
        <item m="1" x="2171"/>
        <item m="1" x="2341"/>
        <item m="1" x="2108"/>
        <item m="1" x="400"/>
        <item m="1" x="1004"/>
        <item m="1" x="2873"/>
        <item m="1" x="2545"/>
        <item m="1" x="2889"/>
        <item m="1" x="2315"/>
        <item m="1" x="2739"/>
        <item m="1" x="935"/>
        <item m="1" x="2407"/>
        <item m="1" x="2385"/>
        <item m="1" x="3129"/>
        <item m="1" x="2260"/>
        <item m="1" x="2305"/>
        <item m="1" x="2097"/>
        <item x="10"/>
        <item m="1" x="424"/>
        <item m="1" x="2160"/>
        <item m="1" x="2088"/>
        <item m="1" x="2886"/>
        <item m="1" x="2292"/>
        <item m="1" x="463"/>
        <item m="1" x="2451"/>
        <item m="1" x="3158"/>
        <item m="1" x="2902"/>
        <item m="1" x="2880"/>
        <item m="1" x="2274"/>
        <item m="1" x="492"/>
        <item x="14"/>
        <item m="1" x="726"/>
        <item m="1" x="2133"/>
        <item m="1" x="421"/>
        <item m="1" x="2363"/>
        <item m="1" x="2174"/>
        <item m="1" x="645"/>
        <item m="1" x="2755"/>
        <item m="1" x="671"/>
        <item m="1" x="2320"/>
        <item m="1" x="2263"/>
        <item m="1" x="2144"/>
        <item m="1" x="631"/>
        <item m="1" x="2321"/>
        <item x="16"/>
        <item m="1" x="2173"/>
        <item m="1" x="2134"/>
        <item m="1" x="2098"/>
        <item m="1" x="2287"/>
        <item m="1" x="994"/>
        <item m="1" x="2462"/>
        <item m="1" x="917"/>
        <item m="1" x="2892"/>
        <item m="1" x="833"/>
        <item m="1" x="2452"/>
        <item m="1" x="2715"/>
        <item m="1" x="2286"/>
        <item m="1" x="2438"/>
        <item m="1" x="2333"/>
        <item m="1" x="992"/>
        <item m="1" x="2441"/>
        <item m="1" x="2102"/>
        <item m="1" x="2310"/>
        <item m="1" x="609"/>
        <item m="1" x="2277"/>
        <item m="1" x="2311"/>
        <item m="1" x="909"/>
        <item m="1" x="2431"/>
        <item m="1" x="2089"/>
        <item m="1" x="2357"/>
        <item x="224"/>
        <item m="1" x="742"/>
        <item m="1" x="2421"/>
        <item m="1" x="2877"/>
        <item m="1" x="2162"/>
        <item m="1" x="2085"/>
        <item m="1" x="2148"/>
        <item m="1" x="2760"/>
        <item x="18"/>
        <item x="19"/>
        <item m="1" x="2152"/>
        <item m="1" x="2494"/>
        <item m="1" x="990"/>
        <item m="1" x="677"/>
        <item m="1" x="2808"/>
        <item m="1" x="2087"/>
        <item m="1" x="3133"/>
        <item x="20"/>
        <item m="1" x="3131"/>
        <item m="1" x="2343"/>
        <item m="1" x="2444"/>
        <item m="1" x="387"/>
        <item x="21"/>
        <item m="1" x="3162"/>
        <item m="1" x="2248"/>
        <item m="1" x="858"/>
        <item x="22"/>
        <item m="1" x="3166"/>
        <item m="1" x="744"/>
        <item x="23"/>
        <item x="24"/>
        <item m="1" x="2081"/>
        <item m="1" x="2199"/>
        <item m="1" x="765"/>
        <item m="1" x="2194"/>
        <item m="1" x="697"/>
        <item m="1" x="416"/>
        <item m="1" x="2759"/>
        <item m="1" x="2867"/>
        <item m="1" x="506"/>
        <item m="1" x="2763"/>
        <item m="1" x="234"/>
        <item m="1" x="2442"/>
        <item m="1" x="728"/>
        <item m="1" x="2376"/>
        <item m="1" x="389"/>
        <item m="1" x="2285"/>
        <item m="1" x="757"/>
        <item m="1" x="2377"/>
        <item x="25"/>
        <item m="1" x="2536"/>
        <item m="1" x="2537"/>
        <item m="1" x="989"/>
        <item m="1" x="993"/>
        <item m="1" x="2529"/>
        <item m="1" x="2532"/>
        <item m="1" x="2542"/>
        <item m="1" x="2544"/>
        <item m="1" x="2291"/>
        <item m="1" x="442"/>
        <item m="1" x="2319"/>
        <item m="1" x="458"/>
        <item m="1" x="2351"/>
        <item m="1" x="2166"/>
        <item m="1" x="2289"/>
        <item m="1" x="2404"/>
        <item m="1" x="235"/>
        <item m="1" x="633"/>
        <item m="1" x="886"/>
        <item m="1" x="2282"/>
        <item m="1" x="236"/>
        <item m="1" x="2219"/>
        <item m="1" x="2323"/>
        <item m="1" x="2169"/>
        <item m="1" x="2092"/>
        <item m="1" x="2882"/>
        <item m="1" x="3159"/>
        <item x="26"/>
        <item m="1" x="449"/>
        <item m="1" x="2165"/>
        <item m="1" x="3128"/>
        <item m="1" x="2900"/>
        <item m="1" x="3157"/>
        <item m="1" x="710"/>
        <item m="1" x="2099"/>
        <item x="27"/>
        <item m="1" x="2495"/>
        <item m="1" x="911"/>
        <item m="1" x="2496"/>
        <item m="1" x="2502"/>
        <item m="1" x="2891"/>
        <item m="1" x="651"/>
        <item m="1" x="3134"/>
        <item m="1" x="2744"/>
        <item x="28"/>
        <item m="1" x="2290"/>
        <item m="1" x="759"/>
        <item m="1" x="2723"/>
        <item x="29"/>
        <item m="1" x="2090"/>
        <item m="1" x="912"/>
        <item m="1" x="2503"/>
        <item m="1" x="2713"/>
        <item m="1" x="2280"/>
        <item m="1" x="3138"/>
        <item m="1" x="394"/>
        <item m="1" x="2221"/>
        <item m="1" x="237"/>
        <item m="1" x="683"/>
        <item m="1" x="760"/>
        <item m="1" x="2552"/>
        <item m="1" x="428"/>
        <item m="1" x="2473"/>
        <item m="1" x="228"/>
        <item m="1" x="238"/>
        <item x="30"/>
        <item x="31"/>
        <item m="1" x="2440"/>
        <item m="1" x="940"/>
        <item m="1" x="925"/>
        <item m="1" x="2513"/>
        <item m="1" x="2853"/>
        <item m="1" x="2493"/>
        <item m="1" x="2163"/>
        <item m="1" x="2237"/>
        <item x="32"/>
        <item m="1" x="3155"/>
        <item x="33"/>
        <item m="1" x="2433"/>
        <item m="1" x="2727"/>
        <item m="1" x="869"/>
        <item m="1" x="2157"/>
        <item m="1" x="2559"/>
        <item m="1" x="708"/>
        <item m="1" x="983"/>
        <item m="1" x="2562"/>
        <item m="1" x="2564"/>
        <item m="1" x="2565"/>
        <item m="1" x="2567"/>
        <item m="1" x="998"/>
        <item m="1" x="2711"/>
        <item m="1" x="2736"/>
        <item m="1" x="2788"/>
        <item m="1" x="2489"/>
        <item m="1" x="667"/>
        <item m="1" x="2113"/>
        <item m="1" x="979"/>
        <item m="1" x="2283"/>
        <item m="1" x="2352"/>
        <item m="1" x="2367"/>
        <item m="1" x="2112"/>
        <item m="1" x="2364"/>
        <item m="1" x="2335"/>
        <item m="1" x="2233"/>
        <item m="1" x="239"/>
        <item m="1" x="2140"/>
        <item m="1" x="1000"/>
        <item m="1" x="1003"/>
        <item m="1" x="1006"/>
        <item m="1" x="1009"/>
        <item m="1" x="711"/>
        <item m="1" x="955"/>
        <item m="1" x="762"/>
        <item m="1" x="918"/>
        <item m="1" x="2508"/>
        <item m="1" x="2123"/>
        <item x="12"/>
        <item m="1" x="922"/>
        <item m="1" x="967"/>
        <item m="1" x="2469"/>
        <item m="1" x="2888"/>
        <item m="1" x="2907"/>
        <item m="1" x="3164"/>
        <item m="1" x="240"/>
        <item m="1" x="2094"/>
        <item m="1" x="672"/>
        <item m="1" x="2368"/>
        <item m="1" x="241"/>
        <item m="1" x="747"/>
        <item m="1" x="2379"/>
        <item m="1" x="660"/>
        <item m="1" x="2484"/>
        <item m="1" x="914"/>
        <item m="1" x="2866"/>
        <item m="1" x="3136"/>
        <item m="1" x="999"/>
        <item m="1" x="1016"/>
        <item m="1" x="2161"/>
        <item x="34"/>
        <item m="1" x="244"/>
        <item x="35"/>
        <item m="1" x="2405"/>
        <item m="1" x="2554"/>
        <item m="1" x="360"/>
        <item m="1" x="2196"/>
        <item m="1" x="2172"/>
        <item m="1" x="2774"/>
        <item x="37"/>
        <item m="1" x="883"/>
        <item m="1" x="2478"/>
        <item m="1" x="2843"/>
        <item m="1" x="2560"/>
        <item m="1" x="2116"/>
        <item m="1" x="2716"/>
        <item m="1" x="969"/>
        <item m="1" x="2504"/>
        <item m="1" x="2141"/>
        <item m="1" x="469"/>
        <item m="1" x="2732"/>
        <item m="1" x="2779"/>
        <item m="1" x="2170"/>
        <item m="1" x="245"/>
        <item m="1" x="2724"/>
        <item m="1" x="647"/>
        <item m="1" x="2550"/>
        <item m="1" x="1008"/>
        <item m="1" x="1002"/>
        <item m="1" x="2264"/>
        <item m="1" x="2416"/>
        <item m="1" x="2313"/>
        <item m="1" x="2348"/>
        <item x="38"/>
        <item m="1" x="2874"/>
        <item m="1" x="3147"/>
        <item m="1" x="2231"/>
        <item m="1" x="881"/>
        <item x="39"/>
        <item m="1" x="2254"/>
        <item m="1" x="632"/>
        <item m="1" x="642"/>
        <item m="1" x="2325"/>
        <item m="1" x="2346"/>
        <item m="1" x="246"/>
        <item x="40"/>
        <item m="1" x="938"/>
        <item m="1" x="916"/>
        <item m="1" x="975"/>
        <item m="1" x="2460"/>
        <item x="41"/>
        <item x="42"/>
        <item m="1" x="2746"/>
        <item m="1" x="2762"/>
        <item m="1" x="2255"/>
        <item m="1" x="2201"/>
        <item m="1" x="2164"/>
        <item m="1" x="3137"/>
        <item m="1" x="686"/>
        <item m="1" x="958"/>
        <item m="1" x="448"/>
        <item m="1" x="2332"/>
        <item m="1" x="2250"/>
        <item x="43"/>
        <item m="1" x="2288"/>
        <item m="1" x="976"/>
        <item m="1" x="926"/>
        <item m="1" x="655"/>
        <item m="1" x="2104"/>
        <item m="1" x="2122"/>
        <item m="1" x="2124"/>
        <item m="1" x="731"/>
        <item x="44"/>
        <item x="45"/>
        <item x="46"/>
        <item x="47"/>
        <item m="1" x="2203"/>
        <item x="48"/>
        <item m="1" x="2781"/>
        <item m="1" x="673"/>
        <item m="1" x="730"/>
        <item x="49"/>
        <item m="1" x="1005"/>
        <item m="1" x="1014"/>
        <item m="1" x="2786"/>
        <item m="1" x="950"/>
        <item m="1" x="2487"/>
        <item m="1" x="2093"/>
        <item m="1" x="2865"/>
        <item m="1" x="758"/>
        <item m="1" x="987"/>
        <item m="1" x="2761"/>
        <item m="1" x="252"/>
        <item m="1" x="253"/>
        <item m="1" x="254"/>
        <item m="1" x="2295"/>
        <item m="1" x="2780"/>
        <item m="1" x="2753"/>
        <item m="1" x="748"/>
        <item m="1" x="3115"/>
        <item m="1" x="2539"/>
        <item m="1" x="2253"/>
        <item m="1" x="3169"/>
        <item m="1" x="2101"/>
        <item m="1" x="2271"/>
        <item m="1" x="2232"/>
        <item m="1" x="255"/>
        <item m="1" x="2303"/>
        <item m="1" x="256"/>
        <item m="1" x="2863"/>
        <item m="1" x="250"/>
        <item m="1" x="251"/>
        <item m="1" x="248"/>
        <item m="1" x="2734"/>
        <item x="50"/>
        <item m="1" x="257"/>
        <item m="1" x="2326"/>
        <item m="1" x="2262"/>
        <item m="1" x="2901"/>
        <item m="1" x="2409"/>
        <item m="1" x="2566"/>
        <item m="1" x="2710"/>
        <item m="1" x="2251"/>
        <item m="1" x="258"/>
        <item m="1" x="259"/>
        <item m="1" x="260"/>
        <item m="1" x="261"/>
        <item m="1" x="262"/>
        <item m="1" x="263"/>
        <item m="1" x="264"/>
        <item m="1" x="265"/>
        <item m="1" x="985"/>
        <item m="1" x="444"/>
        <item m="1" x="2198"/>
        <item m="1" x="2360"/>
        <item m="1" x="693"/>
        <item m="1" x="2434"/>
        <item m="1" x="678"/>
        <item m="1" x="468"/>
        <item m="1" x="2125"/>
        <item m="1" x="769"/>
        <item m="1" x="2369"/>
        <item m="1" x="879"/>
        <item m="1" x="2423"/>
        <item m="1" x="973"/>
        <item m="1" x="669"/>
        <item x="51"/>
        <item m="1" x="2383"/>
        <item m="1" x="682"/>
        <item x="52"/>
        <item x="53"/>
        <item m="1" x="2197"/>
        <item m="1" x="2222"/>
        <item x="54"/>
        <item m="1" x="643"/>
        <item m="1" x="269"/>
        <item m="1" x="270"/>
        <item m="1" x="271"/>
        <item m="1" x="273"/>
        <item m="1" x="2281"/>
        <item m="1" x="274"/>
        <item m="1" x="275"/>
        <item m="1" x="2356"/>
        <item m="1" x="2257"/>
        <item m="1" x="2269"/>
        <item m="1" x="2384"/>
        <item x="55"/>
        <item x="56"/>
        <item x="57"/>
        <item x="58"/>
        <item x="59"/>
        <item x="60"/>
        <item x="61"/>
        <item m="1" x="2500"/>
        <item m="1" x="764"/>
        <item m="1" x="2381"/>
        <item m="1" x="934"/>
        <item m="1" x="391"/>
        <item x="62"/>
        <item x="63"/>
        <item x="64"/>
        <item x="65"/>
        <item m="1" x="2109"/>
        <item m="1" x="2387"/>
        <item m="1" x="2553"/>
        <item m="1" x="276"/>
        <item m="1" x="277"/>
        <item m="1" x="278"/>
        <item m="1" x="2100"/>
        <item m="1" x="397"/>
        <item m="1" x="2131"/>
        <item m="1" x="2138"/>
        <item m="1" x="2743"/>
        <item x="66"/>
        <item x="67"/>
        <item m="1" x="2417"/>
        <item m="1" x="2731"/>
        <item m="1" x="2511"/>
        <item m="1" x="2551"/>
        <item m="1" x="535"/>
        <item m="1" x="596"/>
        <item m="1" x="2561"/>
        <item x="68"/>
        <item x="69"/>
        <item m="1" x="920"/>
        <item m="1" x="725"/>
        <item x="70"/>
        <item x="71"/>
        <item x="72"/>
        <item x="73"/>
        <item m="1" x="2488"/>
        <item x="74"/>
        <item x="75"/>
        <item x="76"/>
        <item x="77"/>
        <item x="78"/>
        <item m="1" x="2875"/>
        <item m="1" x="690"/>
        <item m="1" x="2149"/>
        <item m="1" x="933"/>
        <item m="1" x="227"/>
        <item x="79"/>
        <item m="1" x="2740"/>
        <item m="1" x="2082"/>
        <item m="1" x="2548"/>
        <item m="1" x="281"/>
        <item m="1" x="282"/>
        <item x="80"/>
        <item m="1" x="2105"/>
        <item m="1" x="2145"/>
        <item m="1" x="2314"/>
        <item m="1" x="283"/>
        <item m="1" x="2796"/>
        <item m="1" x="2107"/>
        <item m="1" x="284"/>
        <item m="1" x="2758"/>
        <item m="1" x="361"/>
        <item m="1" x="2738"/>
        <item m="1" x="908"/>
        <item m="1" x="285"/>
        <item m="1" x="286"/>
        <item m="1" x="287"/>
        <item m="1" x="288"/>
        <item x="81"/>
        <item m="1" x="289"/>
        <item m="1" x="290"/>
        <item x="82"/>
        <item x="83"/>
        <item x="84"/>
        <item x="85"/>
        <item m="1" x="2482"/>
        <item m="1" x="2486"/>
        <item m="1" x="1010"/>
        <item m="1" x="2748"/>
        <item m="1" x="3167"/>
        <item m="1" x="2294"/>
        <item x="86"/>
        <item x="87"/>
        <item x="88"/>
        <item x="89"/>
        <item x="90"/>
        <item m="1" x="598"/>
        <item x="91"/>
        <item x="92"/>
        <item x="93"/>
        <item x="94"/>
        <item x="95"/>
        <item m="1" x="2910"/>
        <item m="1" x="670"/>
        <item m="1" x="291"/>
        <item m="1" x="292"/>
        <item m="1" x="293"/>
        <item m="1" x="294"/>
        <item m="1" x="280"/>
        <item m="1" x="995"/>
        <item m="1" x="2408"/>
        <item x="13"/>
        <item x="96"/>
        <item m="1" x="2096"/>
        <item m="1" x="996"/>
        <item m="1" x="2414"/>
        <item m="1" x="2543"/>
        <item m="1" x="2523"/>
        <item m="1" x="959"/>
        <item m="1" x="295"/>
        <item m="1" x="296"/>
        <item m="1" x="297"/>
        <item m="1" x="298"/>
        <item m="1" x="299"/>
        <item m="1" x="300"/>
        <item m="1" x="301"/>
        <item x="36"/>
        <item x="97"/>
        <item x="98"/>
        <item x="99"/>
        <item m="1" x="644"/>
        <item x="100"/>
        <item x="101"/>
        <item m="1" x="2522"/>
        <item m="1" x="2454"/>
        <item m="1" x="2146"/>
        <item m="1" x="2132"/>
        <item x="102"/>
        <item m="1" x="2480"/>
        <item x="103"/>
        <item m="1" x="302"/>
        <item m="1" x="303"/>
        <item m="1" x="2374"/>
        <item m="1" x="501"/>
        <item x="104"/>
        <item m="1" x="754"/>
        <item m="1" x="304"/>
        <item x="105"/>
        <item m="1" x="305"/>
        <item x="106"/>
        <item x="107"/>
        <item x="108"/>
        <item m="1" x="2117"/>
        <item x="109"/>
        <item x="110"/>
        <item x="111"/>
        <item x="112"/>
        <item x="113"/>
        <item x="114"/>
        <item m="1" x="2782"/>
        <item m="1" x="2468"/>
        <item x="115"/>
        <item m="1" x="2118"/>
        <item m="1" x="307"/>
        <item m="1" x="308"/>
        <item m="1" x="369"/>
        <item m="1" x="306"/>
        <item m="1" x="2342"/>
        <item m="1" x="388"/>
        <item m="1" x="309"/>
        <item m="1" x="310"/>
        <item m="1" x="3168"/>
        <item m="1" x="2884"/>
        <item x="116"/>
        <item x="117"/>
        <item x="118"/>
        <item m="1" x="2284"/>
        <item m="1" x="2555"/>
        <item m="1" x="2298"/>
        <item m="1" x="2747"/>
        <item m="1" x="311"/>
        <item m="1" x="3156"/>
        <item m="1" x="312"/>
        <item m="1" x="313"/>
        <item m="1" x="314"/>
        <item m="1" x="2252"/>
        <item m="1" x="2226"/>
        <item m="1" x="495"/>
        <item m="1" x="2885"/>
        <item m="1" x="2322"/>
        <item x="119"/>
        <item m="1" x="2461"/>
        <item m="1" x="2382"/>
        <item m="1" x="2418"/>
        <item m="1" x="2330"/>
        <item x="120"/>
        <item m="1" x="2742"/>
        <item x="121"/>
        <item m="1" x="1007"/>
        <item m="1" x="315"/>
        <item m="1" x="316"/>
        <item m="1" x="2150"/>
        <item m="1" x="2230"/>
        <item m="1" x="2870"/>
        <item m="1" x="317"/>
        <item m="1" x="2229"/>
        <item m="1" x="459"/>
        <item m="1" x="608"/>
        <item m="1" x="2301"/>
        <item m="1" x="2413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m="1" x="318"/>
        <item x="134"/>
        <item x="135"/>
        <item x="136"/>
        <item x="137"/>
        <item x="138"/>
        <item m="1" x="319"/>
        <item m="1" x="320"/>
        <item m="1" x="2228"/>
        <item m="1" x="2083"/>
        <item x="139"/>
        <item x="140"/>
        <item x="141"/>
        <item x="142"/>
        <item m="1" x="2538"/>
        <item m="1" x="991"/>
        <item m="1" x="2872"/>
        <item x="143"/>
        <item x="144"/>
        <item m="1" x="321"/>
        <item m="1" x="322"/>
        <item m="1" x="323"/>
        <item m="1" x="324"/>
        <item m="1" x="325"/>
        <item x="145"/>
        <item x="146"/>
        <item x="147"/>
        <item x="148"/>
        <item x="149"/>
        <item x="150"/>
        <item x="151"/>
        <item m="1" x="327"/>
        <item x="152"/>
        <item x="153"/>
        <item m="1" x="3130"/>
        <item m="1" x="429"/>
        <item m="1" x="328"/>
        <item m="1" x="329"/>
        <item m="1" x="330"/>
        <item m="1" x="326"/>
        <item m="1" x="2371"/>
        <item m="1" x="745"/>
        <item x="154"/>
        <item x="155"/>
        <item x="156"/>
        <item x="157"/>
        <item m="1" x="2749"/>
        <item m="1" x="662"/>
        <item m="1" x="719"/>
        <item m="1" x="847"/>
        <item m="1" x="2188"/>
        <item x="158"/>
        <item x="159"/>
        <item x="160"/>
        <item x="161"/>
        <item x="162"/>
        <item m="1" x="331"/>
        <item m="1" x="332"/>
        <item m="1" x="333"/>
        <item m="1" x="334"/>
        <item x="163"/>
        <item x="164"/>
        <item x="165"/>
        <item m="1" x="2139"/>
        <item x="166"/>
        <item x="167"/>
        <item x="168"/>
        <item x="169"/>
        <item x="170"/>
        <item x="171"/>
        <item m="1" x="767"/>
        <item m="1" x="2103"/>
        <item m="1" x="2714"/>
        <item m="1" x="335"/>
        <item m="1" x="336"/>
        <item m="1" x="337"/>
        <item m="1" x="880"/>
        <item m="1" x="988"/>
        <item m="1" x="2119"/>
        <item m="1" x="2535"/>
        <item m="1" x="2741"/>
        <item m="1" x="2249"/>
        <item m="1" x="226"/>
        <item m="1" x="504"/>
        <item x="172"/>
        <item x="173"/>
        <item x="174"/>
        <item m="1" x="2547"/>
        <item x="175"/>
        <item m="1" x="338"/>
        <item m="1" x="339"/>
        <item m="1" x="2155"/>
        <item m="1" x="3171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m="1" x="2115"/>
        <item x="191"/>
        <item x="192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m="1" x="350"/>
        <item x="207"/>
        <item x="208"/>
        <item x="209"/>
        <item x="210"/>
        <item x="211"/>
        <item x="212"/>
        <item m="1" x="351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 defaultSubtotal="0">
      <items count="173">
        <item sd="0" m="1" x="135"/>
        <item sd="0" m="1" x="114"/>
        <item sd="0" m="1" x="116"/>
        <item sd="0" m="1" x="147"/>
        <item sd="0" m="1" x="91"/>
        <item sd="0" m="1" x="121"/>
        <item sd="0" m="1" x="112"/>
        <item sd="0" m="1" x="124"/>
        <item sd="0" m="1" x="101"/>
        <item sd="0" m="1" x="165"/>
        <item sd="0" m="1" x="151"/>
        <item sd="0" m="1" x="102"/>
        <item sd="0" m="1" x="105"/>
        <item sd="0" m="1" x="133"/>
        <item sd="0" m="1" x="144"/>
        <item sd="0" m="1" x="157"/>
        <item sd="0" m="1" x="95"/>
        <item sd="0" m="1" x="162"/>
        <item sd="0" m="1" x="96"/>
        <item sd="0" m="1" x="128"/>
        <item sd="0" m="1" x="125"/>
        <item sd="0" m="1" x="146"/>
        <item sd="0" m="1" x="129"/>
        <item sd="0" m="1" x="126"/>
        <item sd="0" m="1" x="97"/>
        <item sd="0" m="1" x="120"/>
        <item sd="0" m="1" x="155"/>
        <item sd="0" m="1" x="107"/>
        <item sd="0" m="1" x="92"/>
        <item sd="0" m="1" x="160"/>
        <item sd="0" m="1" x="117"/>
        <item sd="0" m="1" x="156"/>
        <item sd="0" m="1" x="148"/>
        <item sd="0" m="1" x="143"/>
        <item sd="0" m="1" x="140"/>
        <item sd="0" x="3"/>
        <item sd="0" m="1" x="168"/>
        <item sd="0" m="1" x="161"/>
        <item sd="0" x="40"/>
        <item sd="0" x="5"/>
        <item sd="0" x="20"/>
        <item sd="0" x="6"/>
        <item sd="0" x="42"/>
        <item sd="0" x="13"/>
        <item sd="0" m="1" x="99"/>
        <item sd="0" x="0"/>
        <item sd="0" m="1" x="153"/>
        <item sd="0" m="1" x="119"/>
        <item sd="0" m="1" x="111"/>
        <item sd="0" m="1" x="137"/>
        <item sd="0" x="43"/>
        <item sd="0" x="15"/>
        <item sd="0" x="35"/>
        <item sd="0" x="17"/>
        <item sd="0" x="24"/>
        <item sd="0" x="44"/>
        <item sd="0" x="46"/>
        <item sd="0" x="47"/>
        <item sd="0" m="1" x="130"/>
        <item sd="0" x="14"/>
        <item sd="0" x="48"/>
        <item sd="0" x="52"/>
        <item sd="0" x="53"/>
        <item sd="0" x="4"/>
        <item sd="0" x="36"/>
        <item sd="0" x="55"/>
        <item sd="0" x="2"/>
        <item sd="0" x="57"/>
        <item sd="0" x="19"/>
        <item sd="0" x="58"/>
        <item sd="0" m="1" x="103"/>
        <item sd="0" m="1" x="150"/>
        <item sd="0" x="60"/>
        <item sd="0" m="1" x="136"/>
        <item sd="0" x="61"/>
        <item sd="0" x="62"/>
        <item sd="0" m="1" x="159"/>
        <item sd="0" x="38"/>
        <item sd="0" x="34"/>
        <item sd="0" x="63"/>
        <item sd="0" x="64"/>
        <item sd="0" x="66"/>
        <item sd="0" x="67"/>
        <item sd="0" x="68"/>
        <item sd="0" x="30"/>
        <item sd="0" x="69"/>
        <item sd="0" m="1" x="106"/>
        <item sd="0" x="9"/>
        <item sd="0" x="71"/>
        <item sd="0" m="1" x="110"/>
        <item sd="0" x="73"/>
        <item sd="0" x="8"/>
        <item sd="0" x="75"/>
        <item sd="0" m="1" x="127"/>
        <item sd="0" x="21"/>
        <item sd="0" m="1" x="167"/>
        <item sd="0" m="1" x="142"/>
        <item sd="0" m="1" x="109"/>
        <item sd="0" x="10"/>
        <item sd="0" x="11"/>
        <item sd="0" m="1" x="169"/>
        <item sd="0" x="77"/>
        <item sd="0" m="1" x="90"/>
        <item sd="0" x="37"/>
        <item sd="0" m="1" x="104"/>
        <item sd="0" m="1" x="139"/>
        <item sd="0" x="1"/>
        <item sd="0" x="16"/>
        <item sd="0" x="78"/>
        <item sd="0" x="79"/>
        <item sd="0" m="1" x="138"/>
        <item sd="0" x="12"/>
        <item sd="0" m="1" x="94"/>
        <item sd="0" m="1" x="149"/>
        <item sd="0" x="80"/>
        <item sd="0" x="81"/>
        <item sd="0" x="22"/>
        <item sd="0" x="82"/>
        <item sd="0" x="33"/>
        <item sd="0" x="18"/>
        <item sd="0" m="1" x="132"/>
        <item sd="0" m="1" x="170"/>
        <item sd="0" m="1" x="172"/>
        <item sd="0" x="25"/>
        <item sd="0" m="1" x="123"/>
        <item sd="0" x="84"/>
        <item sd="0" x="29"/>
        <item sd="0" m="1" x="166"/>
        <item sd="0" x="7"/>
        <item sd="0" x="85"/>
        <item sd="0" m="1" x="131"/>
        <item sd="0" x="28"/>
        <item sd="0" m="1" x="154"/>
        <item sd="0" x="86"/>
        <item sd="0" x="23"/>
        <item sd="0" m="1" x="122"/>
        <item sd="0" m="1" x="145"/>
        <item sd="0" m="1" x="93"/>
        <item sd="0" m="1" x="158"/>
        <item sd="0" m="1" x="134"/>
        <item sd="0" x="41"/>
        <item sd="0" m="1" x="163"/>
        <item sd="0" x="45"/>
        <item sd="0" x="51"/>
        <item sd="0" x="56"/>
        <item sd="0" m="1" x="98"/>
        <item sd="0" x="59"/>
        <item sd="0" m="1" x="89"/>
        <item sd="0" x="76"/>
        <item sd="0" x="87"/>
        <item sd="0" m="1" x="113"/>
        <item sd="0" x="65"/>
        <item m="1" x="108"/>
        <item sd="0" x="70"/>
        <item sd="0" m="1" x="100"/>
        <item sd="0" m="1" x="152"/>
        <item sd="0" x="50"/>
        <item sd="0" x="39"/>
        <item sd="0" m="1" x="118"/>
        <item sd="0" x="72"/>
        <item x="49"/>
        <item sd="0" x="74"/>
        <item m="1" x="141"/>
        <item m="1" x="115"/>
        <item sd="0" x="27"/>
        <item x="26"/>
        <item x="54"/>
        <item m="1" x="88"/>
        <item m="1" x="171"/>
        <item x="31"/>
        <item x="83"/>
        <item x="32"/>
        <item m="1" x="16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>
      <items count="23">
        <item sd="0" m="1" x="13"/>
        <item sd="0" m="1" x="17"/>
        <item sd="0" m="1" x="18"/>
        <item sd="0" m="1" x="15"/>
        <item sd="0" m="1" x="19"/>
        <item sd="0" m="1" x="20"/>
        <item sd="0" x="6"/>
        <item sd="0" x="9"/>
        <item sd="0" m="1" x="14"/>
        <item sd="0" x="7"/>
        <item sd="0" x="5"/>
        <item sd="0" x="4"/>
        <item sd="0" x="0"/>
        <item sd="0" x="1"/>
        <item sd="0" x="8"/>
        <item sd="0" x="10"/>
        <item sd="0" x="3"/>
        <item sd="0" x="2"/>
        <item sd="0" m="1" x="16"/>
        <item sd="0" x="12"/>
        <item x="11"/>
        <item m="1" x="21"/>
        <item t="default" sd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3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12"/>
    <field x="9"/>
    <field x="11"/>
  </rowFields>
  <rowItems count="89">
    <i>
      <x v="35"/>
    </i>
    <i>
      <x v="38"/>
    </i>
    <i>
      <x v="39"/>
    </i>
    <i>
      <x v="40"/>
    </i>
    <i>
      <x v="41"/>
    </i>
    <i>
      <x v="42"/>
    </i>
    <i>
      <x v="43"/>
    </i>
    <i>
      <x v="45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2"/>
    </i>
    <i>
      <x v="74"/>
    </i>
    <i>
      <x v="75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7"/>
    </i>
    <i>
      <x v="88"/>
    </i>
    <i>
      <x v="90"/>
    </i>
    <i>
      <x v="91"/>
    </i>
    <i>
      <x v="92"/>
    </i>
    <i>
      <x v="94"/>
    </i>
    <i>
      <x v="98"/>
    </i>
    <i>
      <x v="99"/>
    </i>
    <i>
      <x v="101"/>
    </i>
    <i>
      <x v="103"/>
    </i>
    <i>
      <x v="106"/>
    </i>
    <i>
      <x v="107"/>
    </i>
    <i>
      <x v="108"/>
    </i>
    <i>
      <x v="109"/>
    </i>
    <i>
      <x v="111"/>
    </i>
    <i>
      <x v="114"/>
    </i>
    <i>
      <x v="115"/>
    </i>
    <i>
      <x v="116"/>
    </i>
    <i>
      <x v="117"/>
    </i>
    <i>
      <x v="118"/>
    </i>
    <i>
      <x v="119"/>
    </i>
    <i>
      <x v="123"/>
    </i>
    <i>
      <x v="125"/>
    </i>
    <i>
      <x v="126"/>
    </i>
    <i>
      <x v="128"/>
    </i>
    <i>
      <x v="129"/>
    </i>
    <i>
      <x v="131"/>
    </i>
    <i>
      <x v="133"/>
    </i>
    <i>
      <x v="134"/>
    </i>
    <i>
      <x v="140"/>
    </i>
    <i>
      <x v="142"/>
    </i>
    <i>
      <x v="143"/>
    </i>
    <i>
      <x v="144"/>
    </i>
    <i>
      <x v="146"/>
    </i>
    <i>
      <x v="148"/>
    </i>
    <i>
      <x v="151"/>
    </i>
    <i>
      <x v="153"/>
    </i>
    <i>
      <x v="156"/>
    </i>
    <i>
      <x v="157"/>
    </i>
    <i>
      <x v="159"/>
    </i>
    <i>
      <x v="160"/>
      <x/>
    </i>
    <i>
      <x v="161"/>
    </i>
    <i>
      <x v="164"/>
    </i>
    <i>
      <x v="165"/>
      <x/>
    </i>
    <i r="1">
      <x v="1"/>
    </i>
    <i>
      <x v="166"/>
      <x/>
    </i>
    <i>
      <x v="169"/>
      <x v="2"/>
    </i>
    <i>
      <x v="170"/>
      <x/>
    </i>
    <i r="1">
      <x v="2"/>
    </i>
    <i>
      <x v="171"/>
      <x v="6"/>
    </i>
  </rowItems>
  <colItems count="1">
    <i/>
  </colItems>
  <pageFields count="4">
    <pageField fld="14" hier="-1"/>
    <pageField fld="6" hier="-1"/>
    <pageField fld="7" hier="-1"/>
    <pageField fld="0" hier="-1"/>
  </pageFields>
  <dataFields count="1">
    <dataField name="Sum of Итого" fld="23" baseField="0" baseItem="0"/>
  </dataFields>
  <formats count="101">
    <format dxfId="130">
      <pivotArea outline="0" collapsedLevelsAreSubtotals="1" fieldPosition="0"/>
    </format>
    <format dxfId="129">
      <pivotArea dataOnly="0" labelOnly="1" outline="0" axis="axisValues" fieldPosition="0"/>
    </format>
    <format dxfId="128">
      <pivotArea field="12" type="button" dataOnly="0" labelOnly="1" outline="0" axis="axisRow" fieldPosition="0"/>
    </format>
    <format dxfId="127">
      <pivotArea dataOnly="0" labelOnly="1" grandCol="1" outline="0" fieldPosition="0"/>
    </format>
    <format dxfId="126">
      <pivotArea type="origin" dataOnly="0" labelOnly="1" outline="0" fieldPosition="0"/>
    </format>
    <format dxfId="125">
      <pivotArea type="topRight" dataOnly="0" labelOnly="1" outline="0" fieldPosition="0"/>
    </format>
    <format dxfId="124">
      <pivotArea field="12" type="button" dataOnly="0" labelOnly="1" outline="0" axis="axisRow" fieldPosition="0"/>
    </format>
    <format dxfId="123">
      <pivotArea field="9" type="button" dataOnly="0" labelOnly="1" outline="0" axis="axisRow" fieldPosition="1"/>
    </format>
    <format dxfId="122">
      <pivotArea field="11" type="button" dataOnly="0" labelOnly="1" outline="0" axis="axisRow" fieldPosition="2"/>
    </format>
    <format dxfId="121">
      <pivotArea dataOnly="0" labelOnly="1" outline="0" offset="A256" fieldPosition="0">
        <references count="2">
          <reference field="9" count="1">
            <x v="17"/>
          </reference>
          <reference field="12" count="1" selected="0">
            <x v="50"/>
          </reference>
        </references>
      </pivotArea>
    </format>
    <format dxfId="120">
      <pivotArea dataOnly="0" labelOnly="1" outline="0" offset="A256" fieldPosition="0">
        <references count="2">
          <reference field="9" count="1">
            <x v="0"/>
          </reference>
          <reference field="12" count="1" selected="0">
            <x v="98"/>
          </reference>
        </references>
      </pivotArea>
    </format>
    <format dxfId="119">
      <pivotArea dataOnly="0" labelOnly="1" outline="0" offset="A256" fieldPosition="0">
        <references count="1">
          <reference field="12" count="1">
            <x v="38"/>
          </reference>
        </references>
      </pivotArea>
    </format>
    <format dxfId="118">
      <pivotArea dataOnly="0" labelOnly="1" outline="0" offset="A256" fieldPosition="0">
        <references count="1">
          <reference field="12" count="1">
            <x v="39"/>
          </reference>
        </references>
      </pivotArea>
    </format>
    <format dxfId="117">
      <pivotArea dataOnly="0" labelOnly="1" outline="0" offset="A256" fieldPosition="0">
        <references count="1">
          <reference field="12" count="1">
            <x v="40"/>
          </reference>
        </references>
      </pivotArea>
    </format>
    <format dxfId="116">
      <pivotArea dataOnly="0" labelOnly="1" outline="0" offset="A256" fieldPosition="0">
        <references count="1">
          <reference field="12" count="1">
            <x v="41"/>
          </reference>
        </references>
      </pivotArea>
    </format>
    <format dxfId="115">
      <pivotArea dataOnly="0" labelOnly="1" outline="0" offset="A256" fieldPosition="0">
        <references count="1">
          <reference field="12" count="1">
            <x v="42"/>
          </reference>
        </references>
      </pivotArea>
    </format>
    <format dxfId="114">
      <pivotArea dataOnly="0" labelOnly="1" outline="0" offset="A256" fieldPosition="0">
        <references count="1">
          <reference field="12" count="1">
            <x v="43"/>
          </reference>
        </references>
      </pivotArea>
    </format>
    <format dxfId="113">
      <pivotArea dataOnly="0" labelOnly="1" outline="0" offset="A256" fieldPosition="0">
        <references count="1">
          <reference field="12" count="1">
            <x v="45"/>
          </reference>
        </references>
      </pivotArea>
    </format>
    <format dxfId="112">
      <pivotArea dataOnly="0" labelOnly="1" outline="0" offset="A256" fieldPosition="0">
        <references count="1">
          <reference field="12" count="1">
            <x v="50"/>
          </reference>
        </references>
      </pivotArea>
    </format>
    <format dxfId="111">
      <pivotArea dataOnly="0" labelOnly="1" outline="0" offset="A256" fieldPosition="0">
        <references count="1">
          <reference field="12" count="1">
            <x v="52"/>
          </reference>
        </references>
      </pivotArea>
    </format>
    <format dxfId="110">
      <pivotArea dataOnly="0" labelOnly="1" outline="0" offset="A256" fieldPosition="0">
        <references count="1">
          <reference field="12" count="1">
            <x v="53"/>
          </reference>
        </references>
      </pivotArea>
    </format>
    <format dxfId="109">
      <pivotArea dataOnly="0" labelOnly="1" outline="0" offset="A256" fieldPosition="0">
        <references count="1">
          <reference field="12" count="1">
            <x v="54"/>
          </reference>
        </references>
      </pivotArea>
    </format>
    <format dxfId="108">
      <pivotArea dataOnly="0" labelOnly="1" outline="0" offset="A256" fieldPosition="0">
        <references count="1">
          <reference field="12" count="1">
            <x v="55"/>
          </reference>
        </references>
      </pivotArea>
    </format>
    <format dxfId="107">
      <pivotArea dataOnly="0" labelOnly="1" outline="0" offset="A256" fieldPosition="0">
        <references count="1">
          <reference field="12" count="1">
            <x v="56"/>
          </reference>
        </references>
      </pivotArea>
    </format>
    <format dxfId="106">
      <pivotArea dataOnly="0" labelOnly="1" outline="0" offset="A256" fieldPosition="0">
        <references count="1">
          <reference field="12" count="1">
            <x v="57"/>
          </reference>
        </references>
      </pivotArea>
    </format>
    <format dxfId="105">
      <pivotArea dataOnly="0" labelOnly="1" outline="0" offset="A256" fieldPosition="0">
        <references count="1">
          <reference field="12" count="1">
            <x v="58"/>
          </reference>
        </references>
      </pivotArea>
    </format>
    <format dxfId="104">
      <pivotArea dataOnly="0" labelOnly="1" outline="0" offset="A256" fieldPosition="0">
        <references count="1">
          <reference field="12" count="1">
            <x v="59"/>
          </reference>
        </references>
      </pivotArea>
    </format>
    <format dxfId="103">
      <pivotArea dataOnly="0" labelOnly="1" outline="0" offset="A256" fieldPosition="0">
        <references count="1">
          <reference field="12" count="1">
            <x v="60"/>
          </reference>
        </references>
      </pivotArea>
    </format>
    <format dxfId="102">
      <pivotArea dataOnly="0" labelOnly="1" outline="0" offset="A256" fieldPosition="0">
        <references count="1">
          <reference field="12" count="1">
            <x v="61"/>
          </reference>
        </references>
      </pivotArea>
    </format>
    <format dxfId="101">
      <pivotArea dataOnly="0" labelOnly="1" outline="0" offset="A256" fieldPosition="0">
        <references count="1">
          <reference field="12" count="1">
            <x v="62"/>
          </reference>
        </references>
      </pivotArea>
    </format>
    <format dxfId="100">
      <pivotArea dataOnly="0" labelOnly="1" outline="0" offset="A256" fieldPosition="0">
        <references count="1">
          <reference field="12" count="1">
            <x v="63"/>
          </reference>
        </references>
      </pivotArea>
    </format>
    <format dxfId="99">
      <pivotArea dataOnly="0" labelOnly="1" outline="0" offset="A256" fieldPosition="0">
        <references count="1">
          <reference field="12" count="1">
            <x v="64"/>
          </reference>
        </references>
      </pivotArea>
    </format>
    <format dxfId="98">
      <pivotArea dataOnly="0" labelOnly="1" outline="0" offset="A256" fieldPosition="0">
        <references count="1">
          <reference field="12" count="1">
            <x v="65"/>
          </reference>
        </references>
      </pivotArea>
    </format>
    <format dxfId="97">
      <pivotArea dataOnly="0" labelOnly="1" outline="0" offset="A256" fieldPosition="0">
        <references count="1">
          <reference field="12" count="1">
            <x v="66"/>
          </reference>
        </references>
      </pivotArea>
    </format>
    <format dxfId="96">
      <pivotArea dataOnly="0" labelOnly="1" outline="0" offset="A256" fieldPosition="0">
        <references count="1">
          <reference field="12" count="1">
            <x v="67"/>
          </reference>
        </references>
      </pivotArea>
    </format>
    <format dxfId="95">
      <pivotArea dataOnly="0" labelOnly="1" outline="0" offset="A256" fieldPosition="0">
        <references count="1">
          <reference field="12" count="1">
            <x v="68"/>
          </reference>
        </references>
      </pivotArea>
    </format>
    <format dxfId="94">
      <pivotArea dataOnly="0" labelOnly="1" outline="0" offset="A256" fieldPosition="0">
        <references count="1">
          <reference field="12" count="1">
            <x v="70"/>
          </reference>
        </references>
      </pivotArea>
    </format>
    <format dxfId="93">
      <pivotArea dataOnly="0" labelOnly="1" outline="0" offset="A256" fieldPosition="0">
        <references count="1">
          <reference field="12" count="1">
            <x v="72"/>
          </reference>
        </references>
      </pivotArea>
    </format>
    <format dxfId="92">
      <pivotArea dataOnly="0" labelOnly="1" outline="0" offset="A256" fieldPosition="0">
        <references count="1">
          <reference field="12" count="1">
            <x v="73"/>
          </reference>
        </references>
      </pivotArea>
    </format>
    <format dxfId="91">
      <pivotArea dataOnly="0" labelOnly="1" outline="0" offset="A256" fieldPosition="0">
        <references count="1">
          <reference field="12" count="1">
            <x v="74"/>
          </reference>
        </references>
      </pivotArea>
    </format>
    <format dxfId="90">
      <pivotArea dataOnly="0" labelOnly="1" outline="0" offset="A256" fieldPosition="0">
        <references count="1">
          <reference field="12" count="1">
            <x v="75"/>
          </reference>
        </references>
      </pivotArea>
    </format>
    <format dxfId="89">
      <pivotArea dataOnly="0" labelOnly="1" outline="0" offset="A256" fieldPosition="0">
        <references count="1">
          <reference field="12" count="1">
            <x v="76"/>
          </reference>
        </references>
      </pivotArea>
    </format>
    <format dxfId="88">
      <pivotArea dataOnly="0" labelOnly="1" outline="0" offset="A256" fieldPosition="0">
        <references count="1">
          <reference field="12" count="1">
            <x v="77"/>
          </reference>
        </references>
      </pivotArea>
    </format>
    <format dxfId="87">
      <pivotArea dataOnly="0" labelOnly="1" outline="0" offset="A256" fieldPosition="0">
        <references count="1">
          <reference field="12" count="1">
            <x v="78"/>
          </reference>
        </references>
      </pivotArea>
    </format>
    <format dxfId="86">
      <pivotArea dataOnly="0" labelOnly="1" outline="0" offset="A256" fieldPosition="0">
        <references count="1">
          <reference field="12" count="1">
            <x v="79"/>
          </reference>
        </references>
      </pivotArea>
    </format>
    <format dxfId="85">
      <pivotArea dataOnly="0" labelOnly="1" outline="0" offset="A256" fieldPosition="0">
        <references count="1">
          <reference field="12" count="1">
            <x v="80"/>
          </reference>
        </references>
      </pivotArea>
    </format>
    <format dxfId="84">
      <pivotArea dataOnly="0" labelOnly="1" outline="0" offset="A256" fieldPosition="0">
        <references count="1">
          <reference field="12" count="1">
            <x v="81"/>
          </reference>
        </references>
      </pivotArea>
    </format>
    <format dxfId="83">
      <pivotArea dataOnly="0" labelOnly="1" outline="0" offset="A256" fieldPosition="0">
        <references count="1">
          <reference field="12" count="1">
            <x v="82"/>
          </reference>
        </references>
      </pivotArea>
    </format>
    <format dxfId="82">
      <pivotArea dataOnly="0" labelOnly="1" outline="0" offset="A256" fieldPosition="0">
        <references count="1">
          <reference field="12" count="1">
            <x v="83"/>
          </reference>
        </references>
      </pivotArea>
    </format>
    <format dxfId="81">
      <pivotArea dataOnly="0" labelOnly="1" outline="0" offset="A256" fieldPosition="0">
        <references count="1">
          <reference field="12" count="1">
            <x v="84"/>
          </reference>
        </references>
      </pivotArea>
    </format>
    <format dxfId="80">
      <pivotArea dataOnly="0" labelOnly="1" outline="0" offset="A256" fieldPosition="0">
        <references count="1">
          <reference field="12" count="1">
            <x v="85"/>
          </reference>
        </references>
      </pivotArea>
    </format>
    <format dxfId="79">
      <pivotArea dataOnly="0" labelOnly="1" outline="0" offset="A256" fieldPosition="0">
        <references count="1">
          <reference field="12" count="1">
            <x v="87"/>
          </reference>
        </references>
      </pivotArea>
    </format>
    <format dxfId="78">
      <pivotArea dataOnly="0" labelOnly="1" outline="0" offset="A256" fieldPosition="0">
        <references count="1">
          <reference field="12" count="1">
            <x v="88"/>
          </reference>
        </references>
      </pivotArea>
    </format>
    <format dxfId="77">
      <pivotArea dataOnly="0" labelOnly="1" outline="0" offset="A256" fieldPosition="0">
        <references count="1">
          <reference field="12" count="1">
            <x v="89"/>
          </reference>
        </references>
      </pivotArea>
    </format>
    <format dxfId="76">
      <pivotArea dataOnly="0" labelOnly="1" outline="0" offset="A256" fieldPosition="0">
        <references count="1">
          <reference field="12" count="1">
            <x v="90"/>
          </reference>
        </references>
      </pivotArea>
    </format>
    <format dxfId="75">
      <pivotArea dataOnly="0" labelOnly="1" outline="0" offset="A256" fieldPosition="0">
        <references count="1">
          <reference field="12" count="1">
            <x v="91"/>
          </reference>
        </references>
      </pivotArea>
    </format>
    <format dxfId="74">
      <pivotArea dataOnly="0" labelOnly="1" outline="0" offset="A256" fieldPosition="0">
        <references count="1">
          <reference field="12" count="1">
            <x v="92"/>
          </reference>
        </references>
      </pivotArea>
    </format>
    <format dxfId="73">
      <pivotArea dataOnly="0" labelOnly="1" outline="0" offset="A256" fieldPosition="0">
        <references count="1">
          <reference field="12" count="1">
            <x v="93"/>
          </reference>
        </references>
      </pivotArea>
    </format>
    <format dxfId="72">
      <pivotArea dataOnly="0" labelOnly="1" outline="0" offset="A256" fieldPosition="0">
        <references count="1">
          <reference field="12" count="1">
            <x v="94"/>
          </reference>
        </references>
      </pivotArea>
    </format>
    <format dxfId="71">
      <pivotArea dataOnly="0" labelOnly="1" outline="0" offset="A256" fieldPosition="0">
        <references count="1">
          <reference field="12" count="1">
            <x v="95"/>
          </reference>
        </references>
      </pivotArea>
    </format>
    <format dxfId="70">
      <pivotArea dataOnly="0" labelOnly="1" outline="0" offset="A256" fieldPosition="0">
        <references count="1">
          <reference field="12" count="1">
            <x v="98"/>
          </reference>
        </references>
      </pivotArea>
    </format>
    <format dxfId="69">
      <pivotArea dataOnly="0" labelOnly="1" outline="0" offset="A256" fieldPosition="0">
        <references count="1">
          <reference field="12" count="1">
            <x v="99"/>
          </reference>
        </references>
      </pivotArea>
    </format>
    <format dxfId="68">
      <pivotArea dataOnly="0" labelOnly="1" outline="0" offset="A256" fieldPosition="0">
        <references count="1">
          <reference field="12" count="1">
            <x v="100"/>
          </reference>
        </references>
      </pivotArea>
    </format>
    <format dxfId="67">
      <pivotArea dataOnly="0" labelOnly="1" outline="0" offset="A256" fieldPosition="0">
        <references count="1">
          <reference field="12" count="1">
            <x v="101"/>
          </reference>
        </references>
      </pivotArea>
    </format>
    <format dxfId="66">
      <pivotArea dataOnly="0" labelOnly="1" outline="0" offset="A256" fieldPosition="0">
        <references count="1">
          <reference field="12" count="1">
            <x v="103"/>
          </reference>
        </references>
      </pivotArea>
    </format>
    <format dxfId="65">
      <pivotArea dataOnly="0" labelOnly="1" outline="0" offset="A256" fieldPosition="0">
        <references count="1">
          <reference field="12" count="1">
            <x v="106"/>
          </reference>
        </references>
      </pivotArea>
    </format>
    <format dxfId="64">
      <pivotArea dataOnly="0" labelOnly="1" outline="0" offset="A256" fieldPosition="0">
        <references count="1">
          <reference field="12" count="1">
            <x v="107"/>
          </reference>
        </references>
      </pivotArea>
    </format>
    <format dxfId="63">
      <pivotArea dataOnly="0" labelOnly="1" outline="0" offset="A256" fieldPosition="0">
        <references count="1">
          <reference field="12" count="1">
            <x v="108"/>
          </reference>
        </references>
      </pivotArea>
    </format>
    <format dxfId="62">
      <pivotArea dataOnly="0" labelOnly="1" outline="0" offset="A256" fieldPosition="0">
        <references count="1">
          <reference field="12" count="1">
            <x v="109"/>
          </reference>
        </references>
      </pivotArea>
    </format>
    <format dxfId="61">
      <pivotArea dataOnly="0" labelOnly="1" outline="0" offset="A256" fieldPosition="0">
        <references count="1">
          <reference field="12" count="1">
            <x v="111"/>
          </reference>
        </references>
      </pivotArea>
    </format>
    <format dxfId="60">
      <pivotArea dataOnly="0" labelOnly="1" outline="0" offset="A256" fieldPosition="0">
        <references count="1">
          <reference field="12" count="1">
            <x v="114"/>
          </reference>
        </references>
      </pivotArea>
    </format>
    <format dxfId="59">
      <pivotArea dataOnly="0" labelOnly="1" outline="0" offset="A256" fieldPosition="0">
        <references count="1">
          <reference field="12" count="1">
            <x v="115"/>
          </reference>
        </references>
      </pivotArea>
    </format>
    <format dxfId="58">
      <pivotArea dataOnly="0" labelOnly="1" outline="0" offset="A256" fieldPosition="0">
        <references count="1">
          <reference field="12" count="1">
            <x v="116"/>
          </reference>
        </references>
      </pivotArea>
    </format>
    <format dxfId="57">
      <pivotArea dataOnly="0" labelOnly="1" outline="0" offset="A256" fieldPosition="0">
        <references count="1">
          <reference field="12" count="1">
            <x v="117"/>
          </reference>
        </references>
      </pivotArea>
    </format>
    <format dxfId="56">
      <pivotArea dataOnly="0" labelOnly="1" outline="0" offset="A256" fieldPosition="0">
        <references count="1">
          <reference field="12" count="1">
            <x v="118"/>
          </reference>
        </references>
      </pivotArea>
    </format>
    <format dxfId="55">
      <pivotArea dataOnly="0" labelOnly="1" outline="0" offset="A256" fieldPosition="0">
        <references count="1">
          <reference field="12" count="1">
            <x v="119"/>
          </reference>
        </references>
      </pivotArea>
    </format>
    <format dxfId="54">
      <pivotArea dataOnly="0" labelOnly="1" outline="0" offset="A256" fieldPosition="0">
        <references count="1">
          <reference field="12" count="1">
            <x v="123"/>
          </reference>
        </references>
      </pivotArea>
    </format>
    <format dxfId="53">
      <pivotArea dataOnly="0" labelOnly="1" outline="0" offset="A256" fieldPosition="0">
        <references count="1">
          <reference field="12" count="1">
            <x v="124"/>
          </reference>
        </references>
      </pivotArea>
    </format>
    <format dxfId="52">
      <pivotArea dataOnly="0" labelOnly="1" outline="0" offset="A256" fieldPosition="0">
        <references count="1">
          <reference field="12" count="1">
            <x v="125"/>
          </reference>
        </references>
      </pivotArea>
    </format>
    <format dxfId="51">
      <pivotArea dataOnly="0" labelOnly="1" outline="0" offset="A256" fieldPosition="0">
        <references count="1">
          <reference field="12" count="1">
            <x v="127"/>
          </reference>
        </references>
      </pivotArea>
    </format>
    <format dxfId="50">
      <pivotArea dataOnly="0" labelOnly="1" outline="0" offset="A256" fieldPosition="0">
        <references count="1">
          <reference field="12" count="1">
            <x v="128"/>
          </reference>
        </references>
      </pivotArea>
    </format>
    <format dxfId="49">
      <pivotArea dataOnly="0" labelOnly="1" outline="0" offset="A256" fieldPosition="0">
        <references count="1">
          <reference field="12" count="1">
            <x v="129"/>
          </reference>
        </references>
      </pivotArea>
    </format>
    <format dxfId="48">
      <pivotArea dataOnly="0" labelOnly="1" outline="0" offset="A256" fieldPosition="0">
        <references count="1">
          <reference field="12" count="1">
            <x v="130"/>
          </reference>
        </references>
      </pivotArea>
    </format>
    <format dxfId="47">
      <pivotArea dataOnly="0" labelOnly="1" outline="0" offset="A256" fieldPosition="0">
        <references count="1">
          <reference field="12" count="1">
            <x v="131"/>
          </reference>
        </references>
      </pivotArea>
    </format>
    <format dxfId="46">
      <pivotArea dataOnly="0" labelOnly="1" outline="0" offset="A256" fieldPosition="0">
        <references count="1">
          <reference field="12" count="1">
            <x v="133"/>
          </reference>
        </references>
      </pivotArea>
    </format>
    <format dxfId="45">
      <pivotArea dataOnly="0" labelOnly="1" outline="0" offset="A256" fieldPosition="0">
        <references count="1">
          <reference field="12" count="1">
            <x v="134"/>
          </reference>
        </references>
      </pivotArea>
    </format>
    <format dxfId="44">
      <pivotArea dataOnly="0" labelOnly="1" outline="0" offset="A256" fieldPosition="0">
        <references count="1">
          <reference field="12" count="1">
            <x v="139"/>
          </reference>
        </references>
      </pivotArea>
    </format>
    <format dxfId="43">
      <pivotArea dataOnly="0" labelOnly="1" outline="0" offset="A256" fieldPosition="0">
        <references count="1">
          <reference field="12" count="1">
            <x v="140"/>
          </reference>
        </references>
      </pivotArea>
    </format>
    <format dxfId="42">
      <pivotArea dataOnly="0" labelOnly="1" outline="0" offset="A256" fieldPosition="0">
        <references count="1">
          <reference field="12" count="1">
            <x v="141"/>
          </reference>
        </references>
      </pivotArea>
    </format>
    <format dxfId="41">
      <pivotArea dataOnly="0" labelOnly="1" outline="0" offset="A256" fieldPosition="0">
        <references count="1">
          <reference field="12" count="1">
            <x v="142"/>
          </reference>
        </references>
      </pivotArea>
    </format>
    <format dxfId="40">
      <pivotArea dataOnly="0" labelOnly="1" outline="0" offset="A256" fieldPosition="0">
        <references count="1">
          <reference field="12" count="1">
            <x v="143"/>
          </reference>
        </references>
      </pivotArea>
    </format>
    <format dxfId="39">
      <pivotArea dataOnly="0" labelOnly="1" outline="0" offset="A256" fieldPosition="0">
        <references count="1">
          <reference field="12" count="1">
            <x v="144"/>
          </reference>
        </references>
      </pivotArea>
    </format>
    <format dxfId="38">
      <pivotArea dataOnly="0" labelOnly="1" outline="0" offset="A256" fieldPosition="0">
        <references count="1">
          <reference field="12" count="1">
            <x v="145"/>
          </reference>
        </references>
      </pivotArea>
    </format>
    <format dxfId="37">
      <pivotArea dataOnly="0" labelOnly="1" outline="0" offset="A256" fieldPosition="0">
        <references count="1">
          <reference field="12" count="1">
            <x v="146"/>
          </reference>
        </references>
      </pivotArea>
    </format>
    <format dxfId="36">
      <pivotArea dataOnly="0" labelOnly="1" outline="0" offset="A256" fieldPosition="0">
        <references count="1">
          <reference field="12" count="1">
            <x v="147"/>
          </reference>
        </references>
      </pivotArea>
    </format>
    <format dxfId="35">
      <pivotArea dataOnly="0" labelOnly="1" outline="0" offset="A256" fieldPosition="0">
        <references count="1">
          <reference field="12" count="1">
            <x v="148"/>
          </reference>
        </references>
      </pivotArea>
    </format>
    <format dxfId="34">
      <pivotArea dataOnly="0" labelOnly="1" outline="0" offset="A256" fieldPosition="0">
        <references count="1">
          <reference field="12" count="1">
            <x v="150"/>
          </reference>
        </references>
      </pivotArea>
    </format>
    <format dxfId="33">
      <pivotArea dataOnly="0" labelOnly="1" outline="0" offset="A256" fieldPosition="0">
        <references count="1">
          <reference field="12" count="1">
            <x v="51"/>
          </reference>
        </references>
      </pivotArea>
    </format>
    <format dxfId="32">
      <pivotArea outline="0" fieldPosition="0">
        <references count="1">
          <reference field="12" count="1" selected="0">
            <x v="35"/>
          </reference>
        </references>
      </pivotArea>
    </format>
    <format dxfId="31">
      <pivotArea outline="0" fieldPosition="0">
        <references count="1">
          <reference field="12" count="1" selected="0">
            <x v="40"/>
          </reference>
        </references>
      </pivotArea>
    </format>
    <format dxfId="30">
      <pivotArea dataOnly="0" labelOnly="1" outline="0" offset="A256" fieldPosition="0">
        <references count="1">
          <reference field="12" count="1">
            <x v="3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PivotTable3" cacheId="4" applyNumberFormats="0" applyBorderFormats="0" applyFontFormats="0" applyPatternFormats="0" applyAlignmentFormats="0" applyWidthHeightFormats="1" dataCaption="Values" updatedVersion="7" minRefreshableVersion="3" useAutoFormatting="1" itemPrintTitles="1" createdVersion="6" indent="0" outline="1" outlineData="1" multipleFieldFilters="0">
  <location ref="A6:B84" firstHeaderRow="1" firstDataRow="1" firstDataCol="1" rowPageCount="4" colPageCount="1"/>
  <pivotFields count="24">
    <pivotField axis="axisPage" showAll="0">
      <items count="12">
        <item x="7"/>
        <item m="1" x="9"/>
        <item x="4"/>
        <item m="1" x="10"/>
        <item x="2"/>
        <item x="0"/>
        <item x="5"/>
        <item x="3"/>
        <item x="1"/>
        <item x="8"/>
        <item x="6"/>
        <item t="default" sd="0"/>
      </items>
    </pivotField>
    <pivotField showAll="0"/>
    <pivotField showAll="0"/>
    <pivotField showAll="0"/>
    <pivotField numFmtId="14" showAll="0"/>
    <pivotField numFmtId="3" showAll="0"/>
    <pivotField axis="axisPage" multipleItemSelectionAllowed="1" showAll="0">
      <items count="10">
        <item x="6"/>
        <item x="5"/>
        <item x="0"/>
        <item x="3"/>
        <item x="2"/>
        <item m="1" x="8"/>
        <item x="4"/>
        <item x="7"/>
        <item x="1"/>
        <item t="default"/>
      </items>
    </pivotField>
    <pivotField showAll="0"/>
    <pivotField showAll="0"/>
    <pivotField showAll="0"/>
    <pivotField showAll="0"/>
    <pivotField showAll="0"/>
    <pivotField axis="axisRow" showAll="0" sortType="descending">
      <items count="168">
        <item m="1" x="163"/>
        <item m="1" x="153"/>
        <item m="1" x="110"/>
        <item m="1" x="111"/>
        <item m="1" x="98"/>
        <item m="1" x="124"/>
        <item m="1" x="85"/>
        <item m="1" x="101"/>
        <item m="1" x="151"/>
        <item m="1" x="155"/>
        <item m="1" x="150"/>
        <item m="1" x="89"/>
        <item m="1" x="136"/>
        <item m="1" x="114"/>
        <item m="1" x="132"/>
        <item m="1" x="112"/>
        <item m="1" x="161"/>
        <item m="1" x="135"/>
        <item m="1" x="149"/>
        <item m="1" x="144"/>
        <item m="1" x="108"/>
        <item m="1" x="129"/>
        <item h="1" m="1" x="127"/>
        <item m="1" x="128"/>
        <item m="1" x="137"/>
        <item m="1" x="126"/>
        <item m="1" x="99"/>
        <item m="1" x="159"/>
        <item m="1" x="123"/>
        <item m="1" x="164"/>
        <item m="1" x="105"/>
        <item m="1" x="113"/>
        <item m="1" x="162"/>
        <item m="1" x="148"/>
        <item m="1" x="104"/>
        <item x="4"/>
        <item m="1" x="91"/>
        <item m="1" x="160"/>
        <item x="38"/>
        <item x="8"/>
        <item x="25"/>
        <item x="9"/>
        <item x="40"/>
        <item x="12"/>
        <item m="1" x="93"/>
        <item x="1"/>
        <item m="1" x="107"/>
        <item m="1" x="131"/>
        <item m="1" x="100"/>
        <item m="1" x="138"/>
        <item x="41"/>
        <item x="23"/>
        <item x="42"/>
        <item x="21"/>
        <item x="31"/>
        <item x="43"/>
        <item x="45"/>
        <item x="46"/>
        <item m="1" x="140"/>
        <item x="18"/>
        <item x="47"/>
        <item x="51"/>
        <item x="52"/>
        <item x="7"/>
        <item x="30"/>
        <item x="54"/>
        <item x="3"/>
        <item x="56"/>
        <item x="24"/>
        <item m="1" x="152"/>
        <item m="1" x="86"/>
        <item m="1" x="117"/>
        <item x="58"/>
        <item m="1" x="115"/>
        <item x="59"/>
        <item x="60"/>
        <item x="17"/>
        <item m="1" x="90"/>
        <item x="34"/>
        <item x="61"/>
        <item x="62"/>
        <item x="64"/>
        <item x="65"/>
        <item x="66"/>
        <item x="5"/>
        <item x="67"/>
        <item m="1" x="119"/>
        <item x="13"/>
        <item x="69"/>
        <item m="1" x="103"/>
        <item x="36"/>
        <item x="11"/>
        <item x="72"/>
        <item m="1" x="156"/>
        <item x="19"/>
        <item x="0"/>
        <item m="1" x="96"/>
        <item m="1" x="109"/>
        <item x="14"/>
        <item x="15"/>
        <item x="6"/>
        <item x="74"/>
        <item m="1" x="121"/>
        <item x="75"/>
        <item m="1" x="125"/>
        <item m="1" x="165"/>
        <item x="2"/>
        <item x="20"/>
        <item x="76"/>
        <item x="77"/>
        <item m="1" x="87"/>
        <item x="16"/>
        <item m="1" x="154"/>
        <item m="1" x="94"/>
        <item x="78"/>
        <item x="79"/>
        <item x="26"/>
        <item x="80"/>
        <item x="29"/>
        <item x="22"/>
        <item m="1" x="102"/>
        <item m="1" x="157"/>
        <item m="1" x="139"/>
        <item x="32"/>
        <item m="1" x="92"/>
        <item x="81"/>
        <item m="1" x="147"/>
        <item m="1" x="166"/>
        <item x="10"/>
        <item x="82"/>
        <item m="1" x="134"/>
        <item x="33"/>
        <item m="1" x="146"/>
        <item x="83"/>
        <item x="28"/>
        <item m="1" x="158"/>
        <item m="1" x="130"/>
        <item m="1" x="142"/>
        <item m="1" x="143"/>
        <item x="84"/>
        <item m="1" x="141"/>
        <item x="39"/>
        <item m="1" x="116"/>
        <item x="44"/>
        <item x="50"/>
        <item x="55"/>
        <item m="1" x="122"/>
        <item x="57"/>
        <item m="1" x="145"/>
        <item x="73"/>
        <item m="1" x="120"/>
        <item x="63"/>
        <item m="1" x="133"/>
        <item x="68"/>
        <item h="1" m="1" x="88"/>
        <item h="1" m="1" x="95"/>
        <item h="1" x="49"/>
        <item h="1" x="35"/>
        <item h="1" m="1" x="118"/>
        <item h="1" x="70"/>
        <item h="1" x="71"/>
        <item h="1" m="1" x="106"/>
        <item h="1" m="1" x="97"/>
        <item h="1" x="27"/>
        <item h="1" x="37"/>
        <item h="1" x="48"/>
        <item h="1" x="5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axis="axisPage" showAll="0">
      <items count="23">
        <item sd="0" m="1" x="14"/>
        <item sd="0" m="1" x="17"/>
        <item sd="0" m="1" x="18"/>
        <item sd="0" m="1" x="15"/>
        <item sd="0" m="1" x="19"/>
        <item sd="0" m="1" x="20"/>
        <item x="0"/>
        <item sd="0" x="9"/>
        <item sd="0" x="11"/>
        <item sd="0" x="7"/>
        <item sd="0" x="6"/>
        <item sd="0" x="5"/>
        <item sd="0" x="2"/>
        <item sd="0" x="1"/>
        <item sd="0" x="8"/>
        <item sd="0" x="10"/>
        <item sd="0" x="4"/>
        <item sd="0" x="3"/>
        <item sd="0" m="1" x="16"/>
        <item sd="0" x="13"/>
        <item x="12"/>
        <item m="1" x="21"/>
        <item t="default" sd="0"/>
      </items>
    </pivotField>
    <pivotField showAll="0"/>
    <pivotField axis="axisPage" showAll="0">
      <items count="115">
        <item sd="0" x="10"/>
        <item sd="0" m="1" x="109"/>
        <item sd="0" m="1" x="105"/>
        <item sd="0" x="32"/>
        <item sd="0" x="5"/>
        <item sd="0" m="1" x="74"/>
        <item sd="0" m="1" x="104"/>
        <item sd="0" x="30"/>
        <item sd="0" m="1" x="107"/>
        <item sd="0" m="1" x="78"/>
        <item sd="0" m="1" x="97"/>
        <item sd="0" x="12"/>
        <item sd="0" x="0"/>
        <item sd="0" x="13"/>
        <item sd="0" x="16"/>
        <item sd="0" x="33"/>
        <item sd="0" x="9"/>
        <item sd="0" x="1"/>
        <item sd="0" m="1" x="92"/>
        <item sd="0" x="2"/>
        <item sd="0" x="3"/>
        <item sd="0" m="1" x="89"/>
        <item sd="0" x="6"/>
        <item sd="0" x="4"/>
        <item sd="0" x="31"/>
        <item sd="0" x="7"/>
        <item sd="0" x="18"/>
        <item sd="0" x="11"/>
        <item sd="0" x="27"/>
        <item sd="0" x="28"/>
        <item sd="0" m="1" x="103"/>
        <item sd="0" x="29"/>
        <item sd="0" x="20"/>
        <item sd="0" m="1" x="112"/>
        <item sd="0" x="41"/>
        <item sd="0" x="38"/>
        <item sd="0" x="42"/>
        <item sd="0" m="1" x="96"/>
        <item sd="0" x="56"/>
        <item sd="0" m="1" x="88"/>
        <item sd="0" x="61"/>
        <item sd="0" x="57"/>
        <item sd="0" x="43"/>
        <item sd="0" x="59"/>
        <item sd="0" x="63"/>
        <item sd="0" x="44"/>
        <item sd="0" x="58"/>
        <item sd="0" x="67"/>
        <item sd="0" x="53"/>
        <item sd="0" m="1" x="102"/>
        <item sd="0" x="46"/>
        <item sd="0" x="50"/>
        <item sd="0" x="48"/>
        <item sd="0" x="62"/>
        <item sd="0" m="1" x="108"/>
        <item sd="0" x="71"/>
        <item sd="0" x="55"/>
        <item sd="0" x="60"/>
        <item sd="0" x="51"/>
        <item sd="0" m="1" x="110"/>
        <item sd="0" m="1" x="84"/>
        <item sd="0" m="1" x="93"/>
        <item sd="0" m="1" x="80"/>
        <item sd="0" x="17"/>
        <item x="24"/>
        <item sd="0" x="14"/>
        <item sd="0" m="1" x="77"/>
        <item sd="0" x="25"/>
        <item sd="0" m="1" x="79"/>
        <item sd="0" x="15"/>
        <item sd="0" m="1" x="82"/>
        <item sd="0" m="1" x="90"/>
        <item sd="0" m="1" x="81"/>
        <item sd="0" x="21"/>
        <item sd="0" x="8"/>
        <item x="72"/>
        <item m="1" x="73"/>
        <item m="1" x="99"/>
        <item x="34"/>
        <item m="1" x="76"/>
        <item x="26"/>
        <item x="19"/>
        <item m="1" x="106"/>
        <item x="39"/>
        <item x="45"/>
        <item x="54"/>
        <item x="64"/>
        <item x="68"/>
        <item x="52"/>
        <item m="1" x="98"/>
        <item x="69"/>
        <item x="70"/>
        <item x="36"/>
        <item m="1" x="101"/>
        <item x="23"/>
        <item m="1" x="111"/>
        <item m="1" x="94"/>
        <item m="1" x="87"/>
        <item m="1" x="113"/>
        <item m="1" x="85"/>
        <item m="1" x="100"/>
        <item m="1" x="86"/>
        <item x="65"/>
        <item x="22"/>
        <item x="49"/>
        <item m="1" x="95"/>
        <item m="1" x="83"/>
        <item x="40"/>
        <item m="1" x="75"/>
        <item m="1" x="91"/>
        <item x="35"/>
        <item x="37"/>
        <item x="47"/>
        <item x="66"/>
        <item t="default" sd="0"/>
      </items>
    </pivotField>
    <pivotField showAll="0"/>
    <pivotField showAll="0"/>
    <pivotField showAll="0"/>
    <pivotField showAll="0"/>
    <pivotField showAll="0"/>
    <pivotField showAll="0"/>
    <pivotField dataField="1" numFmtId="3" showAll="0"/>
  </pivotFields>
  <rowFields count="1">
    <field x="12"/>
  </rowFields>
  <rowItems count="78">
    <i>
      <x v="43"/>
    </i>
    <i>
      <x v="119"/>
    </i>
    <i>
      <x v="94"/>
    </i>
    <i>
      <x v="95"/>
    </i>
    <i>
      <x v="116"/>
    </i>
    <i>
      <x v="123"/>
    </i>
    <i>
      <x v="40"/>
    </i>
    <i>
      <x v="78"/>
    </i>
    <i>
      <x v="64"/>
    </i>
    <i>
      <x v="91"/>
    </i>
    <i>
      <x v="128"/>
    </i>
    <i>
      <x v="111"/>
    </i>
    <i>
      <x v="139"/>
    </i>
    <i>
      <x v="80"/>
    </i>
    <i>
      <x v="74"/>
    </i>
    <i>
      <x v="39"/>
    </i>
    <i>
      <x v="53"/>
    </i>
    <i>
      <x v="60"/>
    </i>
    <i>
      <x v="99"/>
    </i>
    <i>
      <x v="100"/>
    </i>
    <i>
      <x v="65"/>
    </i>
    <i>
      <x v="45"/>
    </i>
    <i>
      <x v="66"/>
    </i>
    <i>
      <x v="68"/>
    </i>
    <i>
      <x v="55"/>
    </i>
    <i>
      <x v="92"/>
    </i>
    <i>
      <x v="41"/>
    </i>
    <i>
      <x v="35"/>
    </i>
    <i>
      <x v="87"/>
    </i>
    <i>
      <x v="57"/>
    </i>
    <i>
      <x v="151"/>
    </i>
    <i>
      <x v="115"/>
    </i>
    <i>
      <x v="108"/>
    </i>
    <i>
      <x v="61"/>
    </i>
    <i>
      <x v="134"/>
    </i>
    <i>
      <x v="88"/>
    </i>
    <i>
      <x v="63"/>
    </i>
    <i>
      <x v="144"/>
    </i>
    <i>
      <x v="85"/>
    </i>
    <i>
      <x v="38"/>
    </i>
    <i>
      <x v="62"/>
    </i>
    <i>
      <x v="133"/>
    </i>
    <i>
      <x v="141"/>
    </i>
    <i>
      <x v="84"/>
    </i>
    <i>
      <x v="145"/>
    </i>
    <i>
      <x v="83"/>
    </i>
    <i>
      <x v="101"/>
    </i>
    <i>
      <x v="81"/>
    </i>
    <i>
      <x v="106"/>
    </i>
    <i>
      <x v="72"/>
    </i>
    <i>
      <x v="109"/>
    </i>
    <i>
      <x v="56"/>
    </i>
    <i>
      <x v="82"/>
    </i>
    <i>
      <x v="75"/>
    </i>
    <i>
      <x v="59"/>
    </i>
    <i>
      <x v="67"/>
    </i>
    <i>
      <x v="149"/>
    </i>
    <i>
      <x v="153"/>
    </i>
    <i>
      <x v="103"/>
    </i>
    <i>
      <x v="131"/>
    </i>
    <i>
      <x v="117"/>
    </i>
    <i>
      <x v="125"/>
    </i>
    <i>
      <x v="76"/>
    </i>
    <i>
      <x v="79"/>
    </i>
    <i>
      <x v="143"/>
    </i>
    <i>
      <x v="147"/>
    </i>
    <i>
      <x v="54"/>
    </i>
    <i>
      <x v="52"/>
    </i>
    <i>
      <x v="107"/>
    </i>
    <i>
      <x v="114"/>
    </i>
    <i>
      <x v="90"/>
    </i>
    <i>
      <x v="129"/>
    </i>
    <i>
      <x v="42"/>
    </i>
    <i>
      <x v="51"/>
    </i>
    <i>
      <x v="50"/>
    </i>
    <i>
      <x v="98"/>
    </i>
    <i>
      <x v="118"/>
    </i>
    <i t="grand">
      <x/>
    </i>
  </rowItems>
  <colItems count="1">
    <i/>
  </colItems>
  <pageFields count="4">
    <pageField fld="14" hier="-1"/>
    <pageField fld="0" hier="-1"/>
    <pageField fld="16" hier="-1"/>
    <pageField fld="6" hier="-1"/>
  </pageFields>
  <dataFields count="1">
    <dataField name="Sum of Итого" fld="23" baseField="0" baseItem="0"/>
  </dataFields>
  <formats count="11">
    <format dxfId="29">
      <pivotArea collapsedLevelsAreSubtotals="1" fieldPosition="0">
        <references count="2">
          <reference field="0" count="1" selected="0">
            <x v="0"/>
          </reference>
          <reference field="16" count="29"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</reference>
        </references>
      </pivotArea>
    </format>
    <format dxfId="28">
      <pivotArea outline="0" collapsedLevelsAreSubtotals="1" fieldPosition="0"/>
    </format>
    <format dxfId="27">
      <pivotArea dataOnly="0" labelOnly="1" outline="0" axis="axisValues" fieldPosition="0"/>
    </format>
    <format dxfId="26">
      <pivotArea outline="0" collapsedLevelsAreSubtotals="1" fieldPosition="0"/>
    </format>
    <format dxfId="25">
      <pivotArea dataOnly="0" labelOnly="1" outline="0" axis="axisValues" fieldPosition="0"/>
    </format>
    <format dxfId="24">
      <pivotArea collapsedLevelsAreSubtotals="1" fieldPosition="0">
        <references count="1">
          <reference field="12" count="1">
            <x v="43"/>
          </reference>
        </references>
      </pivotArea>
    </format>
    <format dxfId="23">
      <pivotArea collapsedLevelsAreSubtotals="1" fieldPosition="0">
        <references count="1">
          <reference field="12" count="1">
            <x v="95"/>
          </reference>
        </references>
      </pivotArea>
    </format>
    <format dxfId="22">
      <pivotArea dataOnly="0" labelOnly="1" fieldPosition="0">
        <references count="1">
          <reference field="12" count="50">
            <x v="35"/>
            <x v="39"/>
            <x v="41"/>
            <x v="45"/>
            <x v="53"/>
            <x v="55"/>
            <x v="57"/>
            <x v="58"/>
            <x v="60"/>
            <x v="61"/>
            <x v="63"/>
            <x v="64"/>
            <x v="65"/>
            <x v="66"/>
            <x v="67"/>
            <x v="68"/>
            <x v="70"/>
            <x v="72"/>
            <x v="73"/>
            <x v="74"/>
            <x v="75"/>
            <x v="77"/>
            <x v="80"/>
            <x v="82"/>
            <x v="83"/>
            <x v="84"/>
            <x v="85"/>
            <x v="87"/>
            <x v="88"/>
            <x v="89"/>
            <x v="91"/>
            <x v="92"/>
            <x v="93"/>
            <x v="94"/>
            <x v="95"/>
            <x v="99"/>
            <x v="100"/>
            <x v="101"/>
            <x v="106"/>
            <x v="108"/>
            <x v="109"/>
            <x v="111"/>
            <x v="114"/>
            <x v="115"/>
            <x v="127"/>
            <x v="128"/>
            <x v="130"/>
            <x v="133"/>
            <x v="134"/>
            <x v="139"/>
          </reference>
        </references>
      </pivotArea>
    </format>
    <format dxfId="21">
      <pivotArea dataOnly="0" labelOnly="1" fieldPosition="0">
        <references count="1">
          <reference field="12" count="27">
            <x v="38"/>
            <x v="40"/>
            <x v="42"/>
            <x v="43"/>
            <x v="50"/>
            <x v="51"/>
            <x v="52"/>
            <x v="54"/>
            <x v="56"/>
            <x v="59"/>
            <x v="62"/>
            <x v="76"/>
            <x v="78"/>
            <x v="79"/>
            <x v="81"/>
            <x v="90"/>
            <x v="98"/>
            <x v="103"/>
            <x v="107"/>
            <x v="117"/>
            <x v="118"/>
            <x v="119"/>
            <x v="123"/>
            <x v="124"/>
            <x v="125"/>
            <x v="129"/>
            <x v="131"/>
          </reference>
        </references>
      </pivotArea>
    </format>
    <format dxfId="20">
      <pivotArea dataOnly="0" labelOnly="1" grandRow="1" outline="0" fieldPosition="0"/>
    </format>
    <format dxfId="19">
      <pivotArea collapsedLevelsAreSubtotals="1" fieldPosition="0">
        <references count="1">
          <reference field="12" count="1">
            <x v="9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PivotTable1" cacheId="10" applyNumberFormats="0" applyBorderFormats="0" applyFontFormats="0" applyPatternFormats="0" applyAlignmentFormats="0" applyWidthHeightFormats="1" dataCaption="Values" updatedVersion="5" minRefreshableVersion="3" useAutoFormatting="1" itemPrintTitles="1" createdVersion="7" indent="0" outline="1" outlineData="1" multipleFieldFilters="0">
  <location ref="A1:E91" firstHeaderRow="1" firstDataRow="2" firstDataCol="1"/>
  <pivotFields count="24">
    <pivotField showAll="0"/>
    <pivotField showAll="0"/>
    <pivotField showAll="0"/>
    <pivotField numFmtId="14" showAll="0"/>
    <pivotField numFmtId="14" showAll="0"/>
    <pivotField numFmtId="3" showAll="0"/>
    <pivotField showAll="0"/>
    <pivotField showAll="0"/>
    <pivotField showAll="0"/>
    <pivotField showAll="0"/>
    <pivotField numFmtId="3" showAll="0"/>
    <pivotField showAll="0"/>
    <pivotField axis="axisRow" showAll="0" sortType="descending">
      <items count="93">
        <item x="3"/>
        <item x="40"/>
        <item x="5"/>
        <item x="20"/>
        <item x="41"/>
        <item x="6"/>
        <item x="42"/>
        <item x="13"/>
        <item x="0"/>
        <item x="43"/>
        <item x="15"/>
        <item x="35"/>
        <item x="17"/>
        <item x="24"/>
        <item x="44"/>
        <item x="45"/>
        <item x="46"/>
        <item x="47"/>
        <item x="14"/>
        <item x="48"/>
        <item x="51"/>
        <item x="52"/>
        <item x="53"/>
        <item x="4"/>
        <item x="36"/>
        <item x="55"/>
        <item x="56"/>
        <item x="2"/>
        <item x="57"/>
        <item x="19"/>
        <item x="59"/>
        <item x="60"/>
        <item x="61"/>
        <item x="62"/>
        <item m="1" x="90"/>
        <item x="38"/>
        <item x="34"/>
        <item x="63"/>
        <item x="64"/>
        <item x="65"/>
        <item x="66"/>
        <item x="67"/>
        <item x="68"/>
        <item x="30"/>
        <item x="69"/>
        <item x="9"/>
        <item x="73"/>
        <item x="8"/>
        <item x="75"/>
        <item x="21"/>
        <item x="76"/>
        <item x="10"/>
        <item x="11"/>
        <item x="77"/>
        <item x="37"/>
        <item x="1"/>
        <item x="16"/>
        <item x="78"/>
        <item x="79"/>
        <item x="12"/>
        <item x="80"/>
        <item x="81"/>
        <item x="22"/>
        <item x="82"/>
        <item x="33"/>
        <item x="18"/>
        <item x="25"/>
        <item x="84"/>
        <item x="7"/>
        <item x="85"/>
        <item x="28"/>
        <item x="86"/>
        <item x="23"/>
        <item x="70"/>
        <item x="87"/>
        <item x="50"/>
        <item x="39"/>
        <item x="72"/>
        <item x="49"/>
        <item x="74"/>
        <item x="27"/>
        <item x="71"/>
        <item x="26"/>
        <item x="54"/>
        <item x="58"/>
        <item x="29"/>
        <item x="31"/>
        <item x="83"/>
        <item x="32"/>
        <item m="1" x="89"/>
        <item m="1" x="91"/>
        <item m="1" x="8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numFmtId="3" showAll="0"/>
  </pivotFields>
  <rowFields count="1">
    <field x="12"/>
  </rowFields>
  <rowItems count="89">
    <i>
      <x v="51"/>
    </i>
    <i>
      <x v="65"/>
    </i>
    <i>
      <x v="7"/>
    </i>
    <i>
      <x v="49"/>
    </i>
    <i>
      <x v="68"/>
    </i>
    <i>
      <x v="85"/>
    </i>
    <i>
      <x v="62"/>
    </i>
    <i>
      <x v="70"/>
    </i>
    <i>
      <x v="3"/>
    </i>
    <i>
      <x v="36"/>
    </i>
    <i>
      <x v="47"/>
    </i>
    <i>
      <x v="59"/>
    </i>
    <i>
      <x v="74"/>
    </i>
    <i>
      <x v="35"/>
    </i>
    <i>
      <x v="43"/>
    </i>
    <i>
      <x v="38"/>
    </i>
    <i>
      <x v="32"/>
    </i>
    <i>
      <x v="2"/>
    </i>
    <i>
      <x v="86"/>
    </i>
    <i>
      <x v="19"/>
    </i>
    <i>
      <x v="52"/>
    </i>
    <i>
      <x v="25"/>
    </i>
    <i>
      <x v="8"/>
    </i>
    <i>
      <x v="27"/>
    </i>
    <i>
      <x v="29"/>
    </i>
    <i>
      <x v="14"/>
    </i>
    <i>
      <x v="48"/>
    </i>
    <i>
      <x v="5"/>
    </i>
    <i>
      <x/>
    </i>
    <i>
      <x v="45"/>
    </i>
    <i>
      <x v="88"/>
    </i>
    <i>
      <x v="17"/>
    </i>
    <i>
      <x v="61"/>
    </i>
    <i>
      <x v="57"/>
    </i>
    <i>
      <x v="21"/>
    </i>
    <i>
      <x v="81"/>
    </i>
    <i>
      <x v="23"/>
    </i>
    <i>
      <x v="77"/>
    </i>
    <i>
      <x v="20"/>
    </i>
    <i>
      <x v="84"/>
    </i>
    <i>
      <x v="44"/>
    </i>
    <i>
      <x v="22"/>
    </i>
    <i>
      <x v="78"/>
    </i>
    <i>
      <x v="71"/>
    </i>
    <i>
      <x v="12"/>
    </i>
    <i>
      <x v="4"/>
    </i>
    <i>
      <x v="83"/>
    </i>
    <i>
      <x v="26"/>
    </i>
    <i>
      <x v="42"/>
    </i>
    <i>
      <x v="79"/>
    </i>
    <i>
      <x v="55"/>
    </i>
    <i>
      <x v="31"/>
    </i>
    <i>
      <x v="39"/>
    </i>
    <i>
      <x v="53"/>
    </i>
    <i>
      <x v="58"/>
    </i>
    <i>
      <x v="87"/>
    </i>
    <i>
      <x v="16"/>
    </i>
    <i>
      <x v="80"/>
    </i>
    <i>
      <x v="41"/>
    </i>
    <i>
      <x v="1"/>
    </i>
    <i>
      <x v="33"/>
    </i>
    <i>
      <x v="75"/>
    </i>
    <i>
      <x v="18"/>
    </i>
    <i>
      <x v="40"/>
    </i>
    <i>
      <x v="28"/>
    </i>
    <i>
      <x v="72"/>
    </i>
    <i>
      <x v="50"/>
    </i>
    <i>
      <x v="82"/>
    </i>
    <i>
      <x v="73"/>
    </i>
    <i>
      <x v="63"/>
    </i>
    <i>
      <x v="66"/>
    </i>
    <i>
      <x v="67"/>
    </i>
    <i>
      <x v="37"/>
    </i>
    <i>
      <x v="54"/>
    </i>
    <i>
      <x v="30"/>
    </i>
    <i>
      <x v="13"/>
    </i>
    <i>
      <x v="11"/>
    </i>
    <i>
      <x v="56"/>
    </i>
    <i>
      <x v="60"/>
    </i>
    <i>
      <x v="46"/>
    </i>
    <i>
      <x v="15"/>
    </i>
    <i>
      <x v="69"/>
    </i>
    <i>
      <x v="64"/>
    </i>
    <i>
      <x v="24"/>
    </i>
    <i>
      <x v="76"/>
    </i>
    <i>
      <x v="6"/>
    </i>
    <i>
      <x v="10"/>
    </i>
    <i>
      <x v="9"/>
    </i>
    <i t="grand">
      <x/>
    </i>
  </rowItems>
  <colFields count="1">
    <field x="22"/>
  </colFields>
  <colItems count="4">
    <i>
      <x/>
    </i>
    <i>
      <x v="1"/>
    </i>
    <i>
      <x v="2"/>
    </i>
    <i t="grand">
      <x/>
    </i>
  </colItems>
  <dataFields count="1">
    <dataField name="Sum of Итого" fld="23" baseField="0" baseItem="0" numFmtId="3"/>
  </dataFields>
  <formats count="1">
    <format dxfId="1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4" name="Таблица4" displayName="Таблица4" ref="A29:K45" totalsRowShown="0">
  <autoFilter ref="A29:K45"/>
  <tableColumns count="11">
    <tableColumn id="1" name="Sum of Amount"/>
    <tableColumn id="2" name="Названия столбцов"/>
    <tableColumn id="3" name="Столбец1"/>
    <tableColumn id="4" name="Столбец2"/>
    <tableColumn id="5" name="Столбец3"/>
    <tableColumn id="6" name="Столбец4"/>
    <tableColumn id="7" name="Столбец5"/>
    <tableColumn id="8" name="Столбец6"/>
    <tableColumn id="9" name="Столбец7"/>
    <tableColumn id="10" name="Столбец8"/>
    <tableColumn id="11" name="Столбец9"/>
  </tableColumns>
  <tableStyleInfo name="TableStyleMedium8" showFirstColumn="0" showLastColumn="0" showRowStripes="1" showColumnStripes="0"/>
</table>
</file>

<file path=xl/tables/table2.xml><?xml version="1.0" encoding="utf-8"?>
<table xmlns="http://schemas.openxmlformats.org/spreadsheetml/2006/main" id="1" name="CreditDays" displayName="CreditDays" ref="B3:P22" totalsRowShown="0" headerRowDxfId="15" headerRowBorderDxfId="14" tableBorderDxfId="13">
  <autoFilter ref="B3:P22"/>
  <tableColumns count="15">
    <tableColumn id="1" name="Credit Days"/>
    <tableColumn id="2" name="Customer"/>
    <tableColumn id="3" name="Подразделение" dataDxfId="12"/>
    <tableColumn id="4" name="ОПТ Converse" dataDxfId="11"/>
    <tableColumn id="5" name="ОПТ Dr.Martens"/>
    <tableColumn id="6" name="ОПТ Havaianas"/>
    <tableColumn id="7" name="ОПТ Saucony"/>
    <tableColumn id="8" name="ОПТ UGG"/>
    <tableColumn id="9" name="ОПТ Дисконт"/>
    <tableColumn id="10" name="ОПТ Сток"/>
    <tableColumn id="11" name="ОПТ Сток Converse"/>
    <tableColumn id="12" name="ОПТ Сток Dr.Martens"/>
    <tableColumn id="13" name="ОПТ Сток Havaianas"/>
    <tableColumn id="14" name="ОПТ Сток Saucony"/>
    <tableColumn id="15" name="ОПТ Сток UGG"/>
  </tableColumns>
  <tableStyleInfo name="TableStyleMedium11" showFirstColumn="0" showLastColumn="0" showRowStripes="1" showColumnStripes="0"/>
</table>
</file>

<file path=xl/tables/table3.xml><?xml version="1.0" encoding="utf-8"?>
<table xmlns="http://schemas.openxmlformats.org/spreadsheetml/2006/main" id="3" name="CreditDAY" displayName="CreditDAY" ref="C26:F211" totalsRowShown="0">
  <autoFilter ref="C26:F211"/>
  <tableColumns count="4">
    <tableColumn id="1" name="Customer"/>
    <tableColumn id="2" name="Договор.Наименование" dataDxfId="10"/>
    <tableColumn id="3" name="Brand Temp" dataDxfId="9"/>
    <tableColumn id="4" name="Credit Days Nominal">
      <calculatedColumnFormula>68+5</calculatedColumnFormula>
    </tableColumn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ivotTable" Target="../pivotTables/pivotTable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3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25" sqref="B25"/>
    </sheetView>
  </sheetViews>
  <sheetFormatPr defaultRowHeight="11.25" outlineLevelCol="1" x14ac:dyDescent="0.2"/>
  <cols>
    <col min="1" max="1" width="41.6640625" customWidth="1"/>
    <col min="2" max="2" width="19.33203125" style="9" bestFit="1" customWidth="1"/>
    <col min="3" max="3" width="13.5" style="9" bestFit="1" customWidth="1"/>
    <col min="4" max="4" width="15.1640625" style="9" customWidth="1"/>
    <col min="5" max="5" width="15.83203125" style="9" customWidth="1"/>
    <col min="6" max="6" width="17" style="9" customWidth="1"/>
    <col min="7" max="7" width="17.1640625" style="9" bestFit="1" customWidth="1"/>
    <col min="8" max="9" width="17.1640625" style="9" customWidth="1"/>
    <col min="10" max="10" width="17.1640625" style="9" bestFit="1" customWidth="1"/>
    <col min="11" max="11" width="15" customWidth="1"/>
    <col min="12" max="12" width="4.5" customWidth="1"/>
    <col min="13" max="13" width="5.33203125" customWidth="1"/>
    <col min="14" max="14" width="4.83203125" customWidth="1"/>
    <col min="15" max="15" width="5.83203125" bestFit="1" customWidth="1"/>
    <col min="16" max="16" width="9.83203125" bestFit="1" customWidth="1"/>
    <col min="17" max="17" width="9.83203125" hidden="1" customWidth="1" outlineLevel="1"/>
    <col min="18" max="18" width="13.5" bestFit="1" customWidth="1" collapsed="1"/>
    <col min="19" max="19" width="13.5" hidden="1" customWidth="1" outlineLevel="1"/>
    <col min="20" max="20" width="13.5" bestFit="1" customWidth="1" collapsed="1"/>
    <col min="21" max="21" width="13.5" customWidth="1" outlineLevel="1"/>
    <col min="22" max="22" width="15.83203125" bestFit="1" customWidth="1"/>
    <col min="23" max="23" width="15.83203125" customWidth="1" outlineLevel="1"/>
    <col min="24" max="24" width="12.6640625" bestFit="1" customWidth="1"/>
    <col min="25" max="25" width="13.5" bestFit="1" customWidth="1"/>
  </cols>
  <sheetData>
    <row r="1" spans="1:25" x14ac:dyDescent="0.2">
      <c r="A1" t="s">
        <v>5</v>
      </c>
      <c r="B1" s="9" t="s">
        <v>339</v>
      </c>
    </row>
    <row r="2" spans="1:25" x14ac:dyDescent="0.2">
      <c r="A2" t="s">
        <v>7</v>
      </c>
      <c r="B2" s="9" t="s">
        <v>339</v>
      </c>
    </row>
    <row r="3" spans="1:25" x14ac:dyDescent="0.2">
      <c r="A3" t="s">
        <v>366</v>
      </c>
      <c r="B3" s="9" t="s">
        <v>339</v>
      </c>
    </row>
    <row r="4" spans="1:25" x14ac:dyDescent="0.2">
      <c r="A4" t="s">
        <v>369</v>
      </c>
      <c r="B4" s="9" t="s">
        <v>339</v>
      </c>
    </row>
    <row r="5" spans="1:25" x14ac:dyDescent="0.2">
      <c r="A5" t="s">
        <v>335</v>
      </c>
      <c r="B5" s="9" t="s">
        <v>339</v>
      </c>
      <c r="P5" s="32" t="s">
        <v>404</v>
      </c>
    </row>
    <row r="6" spans="1:25" x14ac:dyDescent="0.2">
      <c r="C6" s="33"/>
      <c r="D6" s="33"/>
      <c r="E6" s="33"/>
    </row>
    <row r="7" spans="1:25" s="37" customFormat="1" x14ac:dyDescent="0.2">
      <c r="A7" s="39" t="s">
        <v>368</v>
      </c>
      <c r="B7" s="40" t="s">
        <v>341</v>
      </c>
      <c r="C7" s="40"/>
      <c r="D7" s="40"/>
      <c r="E7" s="40"/>
      <c r="F7" s="40"/>
      <c r="G7" s="40"/>
      <c r="H7" s="40"/>
      <c r="I7" s="40"/>
      <c r="J7" s="40"/>
      <c r="P7" s="39"/>
      <c r="Q7" s="39"/>
      <c r="R7" s="39"/>
      <c r="S7" s="39"/>
      <c r="T7" s="39"/>
      <c r="U7" s="39"/>
      <c r="V7" s="39"/>
      <c r="W7" s="39"/>
      <c r="X7" s="39"/>
      <c r="Y7" s="39"/>
    </row>
    <row r="8" spans="1:25" s="37" customFormat="1" x14ac:dyDescent="0.2">
      <c r="A8" s="39" t="s">
        <v>336</v>
      </c>
      <c r="B8" s="40" t="s">
        <v>365</v>
      </c>
      <c r="C8" s="40" t="s">
        <v>361</v>
      </c>
      <c r="D8" s="40" t="s">
        <v>362</v>
      </c>
      <c r="E8" s="40" t="s">
        <v>386</v>
      </c>
      <c r="F8" s="40" t="s">
        <v>364</v>
      </c>
      <c r="G8" s="54" t="s">
        <v>403</v>
      </c>
      <c r="H8" s="54" t="s">
        <v>385</v>
      </c>
      <c r="I8" s="52" t="s">
        <v>337</v>
      </c>
      <c r="J8" s="40" t="s">
        <v>338</v>
      </c>
      <c r="P8" s="38" t="s">
        <v>365</v>
      </c>
      <c r="Q8" s="38" t="s">
        <v>388</v>
      </c>
      <c r="R8" s="38" t="s">
        <v>361</v>
      </c>
      <c r="S8" s="38" t="s">
        <v>388</v>
      </c>
      <c r="T8" s="38" t="s">
        <v>362</v>
      </c>
      <c r="U8" s="38" t="s">
        <v>388</v>
      </c>
      <c r="V8" s="38" t="s">
        <v>386</v>
      </c>
      <c r="W8" s="38" t="s">
        <v>388</v>
      </c>
      <c r="X8" s="38" t="s">
        <v>364</v>
      </c>
      <c r="Y8" s="38" t="s">
        <v>387</v>
      </c>
    </row>
    <row r="9" spans="1:25" s="32" customFormat="1" x14ac:dyDescent="0.2">
      <c r="A9" s="32" t="s">
        <v>212</v>
      </c>
      <c r="B9" s="33"/>
      <c r="C9" s="33">
        <v>1430000</v>
      </c>
      <c r="D9" s="33">
        <v>1000000</v>
      </c>
      <c r="E9" s="33">
        <v>10000000</v>
      </c>
      <c r="F9" s="33">
        <v>6951153.8600000003</v>
      </c>
      <c r="G9" s="55">
        <f>H9+I9</f>
        <v>-17000000</v>
      </c>
      <c r="H9" s="55">
        <v>-7000000</v>
      </c>
      <c r="I9" s="55">
        <v>-10000000</v>
      </c>
      <c r="J9" s="34">
        <f>SUM(B9:G9)</f>
        <v>2381153.8599999994</v>
      </c>
      <c r="K9" s="37"/>
      <c r="O9" t="b">
        <f>J9=SUM(P9,R9,T9,V9,X9,Y9)</f>
        <v>1</v>
      </c>
      <c r="P9" s="31">
        <f>IF(B9+Q9&lt;0,0,B9+Q9)</f>
        <v>0</v>
      </c>
      <c r="Q9" s="31">
        <f>IF(G9+F9+E9+D9+C9&lt;0,G9+F9+E9+D9+C9,0)</f>
        <v>0</v>
      </c>
      <c r="R9" s="31">
        <f>IF(C9+S9&lt;0,0,C9+S9)</f>
        <v>1430000</v>
      </c>
      <c r="S9" s="31">
        <f>IF(G9+F9+E9+D9&lt;0,G9+F9+E9+D9,0)</f>
        <v>0</v>
      </c>
      <c r="T9" s="31">
        <f>IF(D9+U9&lt;0,0,D9+U9)</f>
        <v>951153.8599999994</v>
      </c>
      <c r="U9" s="31">
        <f>IF(G9+F9+E9&lt;0,G9+F9+E9,0)</f>
        <v>-48846.140000000596</v>
      </c>
      <c r="V9" s="31">
        <f>IF(E9+W9&lt;0,0,E9+W9)</f>
        <v>0</v>
      </c>
      <c r="W9" s="31">
        <f>IF(G9+F9&lt;0,G9+F9,0)</f>
        <v>-10048846.140000001</v>
      </c>
      <c r="X9" s="31">
        <f>IF(F9+G9&lt;0,0,F9+G9)</f>
        <v>0</v>
      </c>
      <c r="Y9" s="31">
        <f>IF(SUM(B9:G9)&lt;0,J9,0)</f>
        <v>0</v>
      </c>
    </row>
    <row r="10" spans="1:25" x14ac:dyDescent="0.2">
      <c r="A10" t="s">
        <v>238</v>
      </c>
      <c r="C10" s="9">
        <f>SUM(C9:G9)</f>
        <v>2381153.8599999994</v>
      </c>
      <c r="D10" s="9">
        <v>0</v>
      </c>
      <c r="E10" s="9">
        <v>0</v>
      </c>
      <c r="F10" s="9">
        <v>0</v>
      </c>
      <c r="G10" s="9">
        <v>-136330</v>
      </c>
      <c r="J10" s="9">
        <v>-136330</v>
      </c>
    </row>
    <row r="11" spans="1:25" x14ac:dyDescent="0.2">
      <c r="A11" t="s">
        <v>239</v>
      </c>
      <c r="G11" s="9">
        <v>-3780743</v>
      </c>
      <c r="J11" s="9">
        <v>-3780743</v>
      </c>
      <c r="R11" s="9"/>
      <c r="S11" s="9"/>
      <c r="V11" s="9"/>
      <c r="W11" s="9"/>
    </row>
    <row r="12" spans="1:25" x14ac:dyDescent="0.2">
      <c r="A12" t="s">
        <v>240</v>
      </c>
      <c r="B12" s="9">
        <v>11527772.720000001</v>
      </c>
      <c r="G12" s="9">
        <v>-9445208.1999999993</v>
      </c>
      <c r="J12" s="9">
        <v>2082564.5200000014</v>
      </c>
      <c r="X12" s="9"/>
      <c r="Y12" s="9"/>
    </row>
    <row r="13" spans="1:25" x14ac:dyDescent="0.2">
      <c r="A13" t="s">
        <v>250</v>
      </c>
      <c r="G13" s="9">
        <v>-3775.8</v>
      </c>
      <c r="J13" s="9">
        <v>-3775.8</v>
      </c>
      <c r="X13" s="9"/>
      <c r="Y13" s="9"/>
    </row>
    <row r="14" spans="1:25" x14ac:dyDescent="0.2">
      <c r="A14" t="s">
        <v>253</v>
      </c>
      <c r="G14" s="9">
        <v>-6813.74</v>
      </c>
      <c r="J14" s="9">
        <v>-6813.74</v>
      </c>
      <c r="Y14" s="9"/>
    </row>
    <row r="15" spans="1:25" x14ac:dyDescent="0.2">
      <c r="A15" t="s">
        <v>256</v>
      </c>
      <c r="G15" s="9">
        <v>-114999.4</v>
      </c>
      <c r="J15" s="9">
        <v>-114999.4</v>
      </c>
      <c r="Y15" s="9"/>
    </row>
    <row r="16" spans="1:25" x14ac:dyDescent="0.2">
      <c r="A16" t="s">
        <v>257</v>
      </c>
      <c r="G16" s="9">
        <v>-750</v>
      </c>
      <c r="J16" s="9">
        <v>-750</v>
      </c>
      <c r="Y16" s="9"/>
    </row>
    <row r="17" spans="1:25" x14ac:dyDescent="0.2">
      <c r="A17" t="s">
        <v>258</v>
      </c>
      <c r="G17" s="9">
        <v>-3825.89</v>
      </c>
      <c r="J17" s="9">
        <v>-3825.89</v>
      </c>
      <c r="Y17" s="9"/>
    </row>
    <row r="18" spans="1:25" x14ac:dyDescent="0.2">
      <c r="A18" t="s">
        <v>259</v>
      </c>
      <c r="G18" s="9">
        <v>-4077031.04</v>
      </c>
      <c r="J18" s="9">
        <v>-4077031.04</v>
      </c>
      <c r="Y18" s="9"/>
    </row>
    <row r="19" spans="1:25" x14ac:dyDescent="0.2">
      <c r="A19" t="s">
        <v>260</v>
      </c>
      <c r="G19" s="9">
        <v>-100128.37000000002</v>
      </c>
      <c r="J19" s="9">
        <v>-100128.37000000002</v>
      </c>
      <c r="Y19" s="9"/>
    </row>
    <row r="20" spans="1:25" x14ac:dyDescent="0.2">
      <c r="A20" t="s">
        <v>262</v>
      </c>
      <c r="G20" s="9">
        <v>-118621.49</v>
      </c>
      <c r="J20" s="9">
        <v>-118621.49</v>
      </c>
      <c r="Y20" s="9"/>
    </row>
    <row r="21" spans="1:25" x14ac:dyDescent="0.2">
      <c r="A21" t="s">
        <v>265</v>
      </c>
      <c r="G21" s="9">
        <v>-468020.64</v>
      </c>
      <c r="J21" s="9">
        <v>-468020.64</v>
      </c>
      <c r="Y21" s="9"/>
    </row>
    <row r="22" spans="1:25" x14ac:dyDescent="0.2">
      <c r="A22" t="s">
        <v>266</v>
      </c>
      <c r="G22" s="9">
        <v>-47278.38</v>
      </c>
      <c r="J22" s="9">
        <v>-47278.38</v>
      </c>
      <c r="Y22" s="9"/>
    </row>
    <row r="23" spans="1:25" x14ac:dyDescent="0.2">
      <c r="A23" t="s">
        <v>267</v>
      </c>
      <c r="G23" s="9">
        <v>-48030.720000000001</v>
      </c>
      <c r="J23" s="9">
        <v>-48030.720000000001</v>
      </c>
      <c r="Y23" s="9"/>
    </row>
    <row r="24" spans="1:25" x14ac:dyDescent="0.2">
      <c r="A24" t="s">
        <v>269</v>
      </c>
      <c r="G24" s="9">
        <v>-259729.01</v>
      </c>
      <c r="J24" s="9">
        <v>-259729.01</v>
      </c>
      <c r="Y24" s="9"/>
    </row>
    <row r="25" spans="1:25" x14ac:dyDescent="0.2">
      <c r="A25" t="s">
        <v>271</v>
      </c>
      <c r="B25" s="9">
        <v>770902.41</v>
      </c>
      <c r="J25" s="9">
        <v>770902.41</v>
      </c>
      <c r="Y25" s="9"/>
    </row>
    <row r="26" spans="1:25" x14ac:dyDescent="0.2">
      <c r="A26" t="s">
        <v>273</v>
      </c>
      <c r="B26" s="9">
        <v>2924170.8</v>
      </c>
      <c r="J26" s="9">
        <v>2924170.8</v>
      </c>
      <c r="Y26" s="9"/>
    </row>
    <row r="27" spans="1:25" x14ac:dyDescent="0.2">
      <c r="A27" t="s">
        <v>274</v>
      </c>
      <c r="G27" s="9">
        <v>-295885.5</v>
      </c>
      <c r="J27" s="9">
        <v>-295885.5</v>
      </c>
      <c r="Y27" s="9"/>
    </row>
    <row r="28" spans="1:25" x14ac:dyDescent="0.2">
      <c r="A28" t="s">
        <v>275</v>
      </c>
      <c r="B28" s="9">
        <v>0.5</v>
      </c>
      <c r="G28" s="9">
        <v>-146723</v>
      </c>
      <c r="J28" s="9">
        <v>-146722.5</v>
      </c>
      <c r="Y28" s="9"/>
    </row>
    <row r="29" spans="1:25" x14ac:dyDescent="0.2">
      <c r="A29" t="s">
        <v>276</v>
      </c>
      <c r="G29" s="9">
        <v>-46500</v>
      </c>
      <c r="J29" s="9">
        <v>-46500</v>
      </c>
      <c r="Y29" s="9"/>
    </row>
    <row r="30" spans="1:25" x14ac:dyDescent="0.2">
      <c r="A30" t="s">
        <v>277</v>
      </c>
      <c r="B30" s="9">
        <v>194977.26</v>
      </c>
      <c r="J30" s="9">
        <v>194977.26</v>
      </c>
      <c r="Y30" s="9"/>
    </row>
    <row r="31" spans="1:25" x14ac:dyDescent="0.2">
      <c r="A31" t="s">
        <v>279</v>
      </c>
      <c r="G31" s="9">
        <v>-86937.39</v>
      </c>
      <c r="J31" s="9">
        <v>-86937.39</v>
      </c>
      <c r="Y31" s="9"/>
    </row>
    <row r="32" spans="1:25" x14ac:dyDescent="0.2">
      <c r="A32" t="s">
        <v>280</v>
      </c>
      <c r="B32" s="9">
        <v>701836.2</v>
      </c>
      <c r="G32" s="9">
        <v>-26408644.879999999</v>
      </c>
      <c r="J32" s="9">
        <v>-25706808.68</v>
      </c>
      <c r="Y32" s="9"/>
    </row>
    <row r="33" spans="1:25" x14ac:dyDescent="0.2">
      <c r="A33" t="s">
        <v>285</v>
      </c>
      <c r="B33" s="9">
        <v>11218187.800000001</v>
      </c>
      <c r="G33" s="9">
        <v>-22309089.300000001</v>
      </c>
      <c r="J33" s="9">
        <v>-11090901.5</v>
      </c>
      <c r="Y33" s="9"/>
    </row>
    <row r="34" spans="1:25" x14ac:dyDescent="0.2">
      <c r="A34" t="s">
        <v>289</v>
      </c>
      <c r="G34" s="9">
        <v>-313549.98</v>
      </c>
      <c r="J34" s="9">
        <v>-313549.98</v>
      </c>
      <c r="Y34" s="9"/>
    </row>
    <row r="35" spans="1:25" x14ac:dyDescent="0.2">
      <c r="A35" t="s">
        <v>290</v>
      </c>
      <c r="G35" s="9">
        <v>-51719460.639999971</v>
      </c>
      <c r="J35" s="9">
        <v>-51719460.639999971</v>
      </c>
      <c r="Y35" s="9"/>
    </row>
    <row r="36" spans="1:25" x14ac:dyDescent="0.2">
      <c r="A36" t="s">
        <v>291</v>
      </c>
      <c r="G36" s="9">
        <v>-5995140.4999999981</v>
      </c>
      <c r="J36" s="9">
        <v>-5995140.4999999981</v>
      </c>
      <c r="Y36" s="9"/>
    </row>
    <row r="37" spans="1:25" x14ac:dyDescent="0.2">
      <c r="A37" t="s">
        <v>292</v>
      </c>
      <c r="B37" s="9">
        <v>1535870.49</v>
      </c>
      <c r="G37" s="9">
        <v>-1267522.2999999998</v>
      </c>
      <c r="J37" s="9">
        <v>268348.19000000018</v>
      </c>
      <c r="Y37" s="9"/>
    </row>
    <row r="38" spans="1:25" x14ac:dyDescent="0.2">
      <c r="A38" t="s">
        <v>294</v>
      </c>
      <c r="G38" s="9">
        <v>-137809</v>
      </c>
      <c r="J38" s="9">
        <v>-137809</v>
      </c>
      <c r="Y38" s="9"/>
    </row>
    <row r="39" spans="1:25" x14ac:dyDescent="0.2">
      <c r="A39" t="s">
        <v>296</v>
      </c>
      <c r="G39" s="9">
        <v>-365552.73</v>
      </c>
      <c r="J39" s="9">
        <v>-365552.73</v>
      </c>
    </row>
    <row r="40" spans="1:25" x14ac:dyDescent="0.2">
      <c r="A40" t="s">
        <v>298</v>
      </c>
      <c r="B40" s="9">
        <v>514049.76</v>
      </c>
      <c r="J40" s="9">
        <v>514049.76</v>
      </c>
    </row>
    <row r="41" spans="1:25" x14ac:dyDescent="0.2">
      <c r="A41" t="s">
        <v>300</v>
      </c>
      <c r="G41" s="9">
        <v>-81729.239999999991</v>
      </c>
      <c r="J41" s="9">
        <v>-81729.239999999991</v>
      </c>
    </row>
    <row r="42" spans="1:25" x14ac:dyDescent="0.2">
      <c r="A42" t="s">
        <v>310</v>
      </c>
      <c r="B42" s="9">
        <v>1453279.6</v>
      </c>
      <c r="G42" s="9">
        <v>-0.01</v>
      </c>
      <c r="J42" s="9">
        <v>1453279.59</v>
      </c>
    </row>
    <row r="43" spans="1:25" x14ac:dyDescent="0.2">
      <c r="A43" t="s">
        <v>315</v>
      </c>
      <c r="G43" s="9">
        <v>-535845.12</v>
      </c>
      <c r="J43" s="9">
        <v>-535845.12</v>
      </c>
    </row>
    <row r="44" spans="1:25" x14ac:dyDescent="0.2">
      <c r="A44" t="s">
        <v>318</v>
      </c>
      <c r="F44" s="9">
        <v>562855.30000000005</v>
      </c>
      <c r="G44" s="9">
        <v>-562855.30000000005</v>
      </c>
      <c r="J44" s="9">
        <v>0</v>
      </c>
    </row>
    <row r="45" spans="1:25" x14ac:dyDescent="0.2">
      <c r="A45" t="s">
        <v>324</v>
      </c>
      <c r="G45" s="9">
        <v>-374679.05</v>
      </c>
      <c r="J45" s="9">
        <v>-374679.05</v>
      </c>
    </row>
    <row r="46" spans="1:25" x14ac:dyDescent="0.2">
      <c r="A46" t="s">
        <v>326</v>
      </c>
      <c r="G46" s="9">
        <v>-58701</v>
      </c>
      <c r="J46" s="9">
        <v>-58701</v>
      </c>
    </row>
    <row r="47" spans="1:25" x14ac:dyDescent="0.2">
      <c r="A47" t="s">
        <v>327</v>
      </c>
      <c r="G47" s="9">
        <v>-37887.25</v>
      </c>
      <c r="J47" s="9">
        <v>-37887.25</v>
      </c>
    </row>
    <row r="48" spans="1:25" x14ac:dyDescent="0.2">
      <c r="A48" t="s">
        <v>328</v>
      </c>
      <c r="G48" s="9">
        <v>-103136</v>
      </c>
      <c r="J48" s="9">
        <v>-103136</v>
      </c>
    </row>
    <row r="49" spans="1:10" x14ac:dyDescent="0.2">
      <c r="A49" t="s">
        <v>330</v>
      </c>
      <c r="G49" s="9">
        <v>-132450.49000000002</v>
      </c>
      <c r="J49" s="9">
        <v>-132450.49000000002</v>
      </c>
    </row>
    <row r="50" spans="1:10" x14ac:dyDescent="0.2">
      <c r="A50" t="s">
        <v>331</v>
      </c>
      <c r="G50" s="9">
        <v>-14474049.620000001</v>
      </c>
      <c r="J50" s="9">
        <v>-14474049.620000001</v>
      </c>
    </row>
    <row r="51" spans="1:10" x14ac:dyDescent="0.2">
      <c r="A51" t="s">
        <v>333</v>
      </c>
      <c r="G51" s="9">
        <v>-236440.41</v>
      </c>
      <c r="J51" s="9">
        <v>-236440.41</v>
      </c>
    </row>
    <row r="52" spans="1:10" x14ac:dyDescent="0.2">
      <c r="A52" t="s">
        <v>334</v>
      </c>
      <c r="G52" s="9">
        <v>-306054.51</v>
      </c>
      <c r="J52" s="9">
        <v>-306054.51</v>
      </c>
    </row>
    <row r="53" spans="1:10" x14ac:dyDescent="0.2">
      <c r="A53" t="s">
        <v>338</v>
      </c>
      <c r="B53" s="9">
        <v>102727815.76000001</v>
      </c>
      <c r="C53" s="9">
        <v>0.2</v>
      </c>
      <c r="D53" s="9">
        <v>224122.5</v>
      </c>
      <c r="F53" s="9">
        <v>27685778.91</v>
      </c>
      <c r="G53" s="9">
        <v>-1874409197.5500009</v>
      </c>
      <c r="J53" s="9">
        <v>-1743771480.1800008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3"/>
  <sheetViews>
    <sheetView showGridLines="0" workbookViewId="0">
      <selection activeCell="A16" sqref="A16"/>
    </sheetView>
  </sheetViews>
  <sheetFormatPr defaultRowHeight="11.25" x14ac:dyDescent="0.2"/>
  <cols>
    <col min="1" max="1" width="42.1640625" customWidth="1"/>
    <col min="2" max="2" width="13.5" style="9" customWidth="1"/>
    <col min="3" max="3" width="11.83203125" bestFit="1" customWidth="1"/>
    <col min="4" max="4" width="12.83203125" bestFit="1" customWidth="1"/>
    <col min="5" max="5" width="10.6640625" bestFit="1" customWidth="1"/>
    <col min="6" max="6" width="11.1640625" bestFit="1" customWidth="1"/>
    <col min="7" max="7" width="7.1640625" bestFit="1" customWidth="1"/>
    <col min="8" max="8" width="11.6640625" bestFit="1" customWidth="1"/>
    <col min="9" max="9" width="8" bestFit="1" customWidth="1"/>
    <col min="10" max="10" width="12.5" bestFit="1" customWidth="1"/>
    <col min="11" max="11" width="23.5" style="9" bestFit="1" customWidth="1"/>
    <col min="12" max="12" width="19.1640625" bestFit="1" customWidth="1"/>
    <col min="13" max="13" width="12.5" bestFit="1" customWidth="1"/>
    <col min="14" max="14" width="10.5" bestFit="1" customWidth="1"/>
    <col min="15" max="15" width="13" bestFit="1" customWidth="1"/>
    <col min="16" max="16" width="10.5" bestFit="1" customWidth="1"/>
    <col min="17" max="17" width="11.6640625" bestFit="1" customWidth="1"/>
    <col min="18" max="18" width="8" bestFit="1" customWidth="1"/>
    <col min="19" max="19" width="12.5" bestFit="1" customWidth="1"/>
    <col min="20" max="20" width="16.33203125" bestFit="1" customWidth="1"/>
    <col min="21" max="21" width="17.5" bestFit="1" customWidth="1"/>
    <col min="22" max="22" width="16.33203125" bestFit="1" customWidth="1"/>
    <col min="23" max="23" width="14.83203125" bestFit="1" customWidth="1"/>
    <col min="24" max="25" width="10.83203125" bestFit="1" customWidth="1"/>
    <col min="26" max="26" width="15.5" bestFit="1" customWidth="1"/>
    <col min="27" max="27" width="14.5" bestFit="1" customWidth="1"/>
    <col min="28" max="28" width="25.5" bestFit="1" customWidth="1"/>
    <col min="29" max="29" width="36.5" bestFit="1" customWidth="1"/>
    <col min="30" max="30" width="25.5" bestFit="1" customWidth="1"/>
    <col min="31" max="31" width="30.6640625" bestFit="1" customWidth="1"/>
    <col min="32" max="32" width="25.83203125" bestFit="1" customWidth="1"/>
    <col min="33" max="34" width="25" bestFit="1" customWidth="1"/>
    <col min="35" max="37" width="19.5" bestFit="1" customWidth="1"/>
    <col min="38" max="38" width="20" bestFit="1" customWidth="1"/>
    <col min="39" max="39" width="25.33203125" bestFit="1" customWidth="1"/>
    <col min="40" max="50" width="19.5" bestFit="1" customWidth="1"/>
    <col min="51" max="51" width="20" bestFit="1" customWidth="1"/>
    <col min="52" max="53" width="19.5" bestFit="1" customWidth="1"/>
    <col min="54" max="54" width="20.1640625" bestFit="1" customWidth="1"/>
    <col min="55" max="55" width="19.5" bestFit="1" customWidth="1"/>
    <col min="56" max="56" width="19.33203125" bestFit="1" customWidth="1"/>
    <col min="57" max="57" width="19.1640625" bestFit="1" customWidth="1"/>
    <col min="58" max="60" width="19.5" bestFit="1" customWidth="1"/>
    <col min="61" max="61" width="19.33203125" bestFit="1" customWidth="1"/>
    <col min="62" max="63" width="19.5" bestFit="1" customWidth="1"/>
    <col min="64" max="64" width="33.6640625" bestFit="1" customWidth="1"/>
    <col min="65" max="65" width="32.1640625" bestFit="1" customWidth="1"/>
    <col min="66" max="66" width="35" bestFit="1" customWidth="1"/>
    <col min="67" max="67" width="38.1640625" bestFit="1" customWidth="1"/>
    <col min="68" max="68" width="33.5" bestFit="1" customWidth="1"/>
    <col min="69" max="69" width="25.6640625" bestFit="1" customWidth="1"/>
    <col min="70" max="70" width="34.83203125" bestFit="1" customWidth="1"/>
    <col min="71" max="71" width="20.5" bestFit="1" customWidth="1"/>
    <col min="72" max="72" width="40.33203125" bestFit="1" customWidth="1"/>
    <col min="73" max="73" width="25" bestFit="1" customWidth="1"/>
    <col min="74" max="74" width="21.5" bestFit="1" customWidth="1"/>
    <col min="75" max="75" width="8.6640625" bestFit="1" customWidth="1"/>
    <col min="76" max="76" width="37.6640625" bestFit="1" customWidth="1"/>
    <col min="77" max="77" width="31" bestFit="1" customWidth="1"/>
    <col min="78" max="79" width="26.33203125" bestFit="1" customWidth="1"/>
    <col min="80" max="80" width="25.6640625" bestFit="1" customWidth="1"/>
    <col min="81" max="83" width="22.5" bestFit="1" customWidth="1"/>
    <col min="84" max="84" width="20.33203125" bestFit="1" customWidth="1"/>
    <col min="85" max="85" width="28.5" bestFit="1" customWidth="1"/>
    <col min="86" max="86" width="12.6640625" bestFit="1" customWidth="1"/>
    <col min="87" max="87" width="20.83203125" bestFit="1" customWidth="1"/>
    <col min="88" max="88" width="22.1640625" bestFit="1" customWidth="1"/>
    <col min="89" max="89" width="12.1640625" bestFit="1" customWidth="1"/>
    <col min="90" max="90" width="27" bestFit="1" customWidth="1"/>
    <col min="91" max="91" width="12.1640625" bestFit="1" customWidth="1"/>
    <col min="92" max="94" width="25.5" bestFit="1" customWidth="1"/>
    <col min="95" max="96" width="23.5" bestFit="1" customWidth="1"/>
    <col min="97" max="103" width="25.5" bestFit="1" customWidth="1"/>
    <col min="104" max="104" width="36.5" bestFit="1" customWidth="1"/>
    <col min="105" max="105" width="25.5" bestFit="1" customWidth="1"/>
    <col min="106" max="106" width="30.6640625" bestFit="1" customWidth="1"/>
    <col min="107" max="107" width="25.83203125" bestFit="1" customWidth="1"/>
    <col min="108" max="109" width="25" bestFit="1" customWidth="1"/>
    <col min="110" max="112" width="19.5" bestFit="1" customWidth="1"/>
    <col min="113" max="113" width="20" bestFit="1" customWidth="1"/>
    <col min="114" max="114" width="25.33203125" bestFit="1" customWidth="1"/>
    <col min="115" max="125" width="19.5" bestFit="1" customWidth="1"/>
    <col min="126" max="126" width="20" bestFit="1" customWidth="1"/>
    <col min="127" max="128" width="19.5" bestFit="1" customWidth="1"/>
    <col min="129" max="129" width="20.1640625" bestFit="1" customWidth="1"/>
    <col min="130" max="130" width="19.5" bestFit="1" customWidth="1"/>
    <col min="131" max="131" width="19.33203125" bestFit="1" customWidth="1"/>
    <col min="132" max="132" width="19.1640625" bestFit="1" customWidth="1"/>
    <col min="133" max="135" width="19.5" bestFit="1" customWidth="1"/>
    <col min="136" max="136" width="19.33203125" bestFit="1" customWidth="1"/>
    <col min="137" max="138" width="19.5" bestFit="1" customWidth="1"/>
    <col min="139" max="139" width="33.6640625" bestFit="1" customWidth="1"/>
    <col min="140" max="140" width="32.1640625" bestFit="1" customWidth="1"/>
    <col min="141" max="141" width="35" bestFit="1" customWidth="1"/>
    <col min="142" max="142" width="38.1640625" bestFit="1" customWidth="1"/>
    <col min="143" max="143" width="33.5" bestFit="1" customWidth="1"/>
    <col min="144" max="144" width="25.6640625" bestFit="1" customWidth="1"/>
    <col min="145" max="145" width="34.83203125" bestFit="1" customWidth="1"/>
    <col min="146" max="146" width="20.5" bestFit="1" customWidth="1"/>
    <col min="147" max="147" width="40.33203125" bestFit="1" customWidth="1"/>
    <col min="148" max="148" width="25" bestFit="1" customWidth="1"/>
    <col min="149" max="149" width="21.5" bestFit="1" customWidth="1"/>
    <col min="150" max="150" width="10.5" bestFit="1" customWidth="1"/>
    <col min="151" max="151" width="37.6640625" bestFit="1" customWidth="1"/>
    <col min="152" max="152" width="30.83203125" bestFit="1" customWidth="1"/>
    <col min="153" max="153" width="30" bestFit="1" customWidth="1"/>
  </cols>
  <sheetData>
    <row r="1" spans="1:16" x14ac:dyDescent="0.2">
      <c r="A1" s="7" t="s">
        <v>5</v>
      </c>
      <c r="B1" t="s">
        <v>1022</v>
      </c>
      <c r="K1"/>
    </row>
    <row r="2" spans="1:16" x14ac:dyDescent="0.2">
      <c r="A2" s="7" t="s">
        <v>335</v>
      </c>
      <c r="B2" t="s">
        <v>1022</v>
      </c>
      <c r="K2"/>
    </row>
    <row r="3" spans="1:16" x14ac:dyDescent="0.2">
      <c r="A3" s="7" t="s">
        <v>7</v>
      </c>
      <c r="B3" t="s">
        <v>1022</v>
      </c>
      <c r="K3"/>
    </row>
    <row r="4" spans="1:16" x14ac:dyDescent="0.2">
      <c r="A4" s="7" t="s">
        <v>366</v>
      </c>
      <c r="B4" t="s">
        <v>1022</v>
      </c>
      <c r="K4"/>
    </row>
    <row r="5" spans="1:16" x14ac:dyDescent="0.2">
      <c r="B5"/>
      <c r="K5"/>
    </row>
    <row r="6" spans="1:16" x14ac:dyDescent="0.2">
      <c r="A6" s="7" t="s">
        <v>1038</v>
      </c>
      <c r="B6" s="31" t="s">
        <v>368</v>
      </c>
      <c r="K6"/>
    </row>
    <row r="7" spans="1:16" x14ac:dyDescent="0.2">
      <c r="A7" s="173" t="s">
        <v>69</v>
      </c>
      <c r="B7" s="31">
        <v>28674034.02</v>
      </c>
      <c r="K7"/>
    </row>
    <row r="8" spans="1:16" x14ac:dyDescent="0.2">
      <c r="A8" s="173" t="s">
        <v>285</v>
      </c>
      <c r="B8" s="31">
        <v>23557157.109999996</v>
      </c>
      <c r="K8"/>
      <c r="O8" s="59"/>
    </row>
    <row r="9" spans="1:16" x14ac:dyDescent="0.2">
      <c r="A9" s="173" t="s">
        <v>185</v>
      </c>
      <c r="B9" s="31">
        <v>6031650.5600000005</v>
      </c>
      <c r="K9"/>
      <c r="O9" s="36"/>
    </row>
    <row r="10" spans="1:16" x14ac:dyDescent="0.2">
      <c r="A10" s="173" t="s">
        <v>212</v>
      </c>
      <c r="B10" s="31">
        <v>5215718.33</v>
      </c>
      <c r="K10"/>
      <c r="O10" s="36"/>
      <c r="P10" s="9"/>
    </row>
    <row r="11" spans="1:16" x14ac:dyDescent="0.2">
      <c r="A11" s="1" t="s">
        <v>277</v>
      </c>
      <c r="B11" s="31">
        <v>1866611.16</v>
      </c>
      <c r="K11"/>
      <c r="O11" s="36"/>
    </row>
    <row r="12" spans="1:16" x14ac:dyDescent="0.2">
      <c r="A12" s="173" t="s">
        <v>292</v>
      </c>
      <c r="B12" s="31">
        <v>875253.72999999975</v>
      </c>
      <c r="K12"/>
    </row>
    <row r="13" spans="1:16" x14ac:dyDescent="0.2">
      <c r="A13" s="173" t="s">
        <v>48</v>
      </c>
      <c r="B13" s="31">
        <v>811658.50999999989</v>
      </c>
      <c r="K13"/>
    </row>
    <row r="14" spans="1:16" x14ac:dyDescent="0.2">
      <c r="A14" s="173" t="s">
        <v>148</v>
      </c>
      <c r="B14" s="31">
        <v>333822.37000000005</v>
      </c>
      <c r="K14"/>
    </row>
    <row r="15" spans="1:16" x14ac:dyDescent="0.2">
      <c r="A15" s="173" t="s">
        <v>125</v>
      </c>
      <c r="B15" s="31">
        <v>216716.57999999996</v>
      </c>
      <c r="K15"/>
    </row>
    <row r="16" spans="1:16" x14ac:dyDescent="0.2">
      <c r="A16" s="173" t="s">
        <v>180</v>
      </c>
      <c r="B16" s="31">
        <v>85942.5</v>
      </c>
      <c r="K16"/>
    </row>
    <row r="17" spans="1:11" x14ac:dyDescent="0.2">
      <c r="A17" s="173" t="s">
        <v>310</v>
      </c>
      <c r="B17" s="31">
        <v>5357.99</v>
      </c>
      <c r="K17"/>
    </row>
    <row r="18" spans="1:11" x14ac:dyDescent="0.2">
      <c r="A18" s="173" t="s">
        <v>271</v>
      </c>
      <c r="B18" s="31">
        <v>0.01</v>
      </c>
      <c r="K18"/>
    </row>
    <row r="19" spans="1:11" x14ac:dyDescent="0.2">
      <c r="A19" s="173" t="s">
        <v>1040</v>
      </c>
      <c r="B19" s="31"/>
      <c r="K19"/>
    </row>
    <row r="20" spans="1:11" x14ac:dyDescent="0.2">
      <c r="A20" s="173" t="s">
        <v>150</v>
      </c>
      <c r="B20" s="31">
        <v>-413.01</v>
      </c>
      <c r="K20"/>
    </row>
    <row r="21" spans="1:11" x14ac:dyDescent="0.2">
      <c r="A21" s="173" t="s">
        <v>140</v>
      </c>
      <c r="B21" s="31">
        <v>-625.94000000000005</v>
      </c>
      <c r="K21"/>
    </row>
    <row r="22" spans="1:11" x14ac:dyDescent="0.2">
      <c r="A22" s="173" t="s">
        <v>44</v>
      </c>
      <c r="B22" s="31">
        <v>-700</v>
      </c>
      <c r="K22"/>
    </row>
    <row r="23" spans="1:11" x14ac:dyDescent="0.2">
      <c r="A23" s="173" t="s">
        <v>105</v>
      </c>
      <c r="B23" s="31">
        <v>-1194</v>
      </c>
      <c r="K23"/>
    </row>
    <row r="24" spans="1:11" x14ac:dyDescent="0.2">
      <c r="A24" s="173" t="s">
        <v>117</v>
      </c>
      <c r="B24" s="31">
        <v>-1759.12</v>
      </c>
      <c r="K24"/>
    </row>
    <row r="25" spans="1:11" x14ac:dyDescent="0.2">
      <c r="A25" s="173" t="s">
        <v>250</v>
      </c>
      <c r="B25" s="31">
        <v>-3775.8</v>
      </c>
      <c r="K25"/>
    </row>
    <row r="26" spans="1:11" x14ac:dyDescent="0.2">
      <c r="A26" s="173" t="s">
        <v>253</v>
      </c>
      <c r="B26" s="31">
        <v>-6813.74</v>
      </c>
      <c r="K26"/>
    </row>
    <row r="27" spans="1:11" x14ac:dyDescent="0.2">
      <c r="A27" s="173" t="s">
        <v>127</v>
      </c>
      <c r="B27" s="31">
        <v>-7199.46</v>
      </c>
      <c r="K27"/>
    </row>
    <row r="28" spans="1:11" x14ac:dyDescent="0.2">
      <c r="A28" s="173" t="s">
        <v>94</v>
      </c>
      <c r="B28" s="31">
        <v>-7495</v>
      </c>
      <c r="K28"/>
    </row>
    <row r="29" spans="1:11" x14ac:dyDescent="0.2">
      <c r="A29" s="173" t="s">
        <v>130</v>
      </c>
      <c r="B29" s="31">
        <v>-9548</v>
      </c>
      <c r="K29"/>
    </row>
    <row r="30" spans="1:11" x14ac:dyDescent="0.2">
      <c r="A30" s="173" t="s">
        <v>134</v>
      </c>
      <c r="B30" s="31">
        <v>-10198</v>
      </c>
      <c r="K30"/>
    </row>
    <row r="31" spans="1:11" x14ac:dyDescent="0.2">
      <c r="A31" s="173" t="s">
        <v>109</v>
      </c>
      <c r="B31" s="31">
        <v>-11533.5</v>
      </c>
      <c r="K31"/>
    </row>
    <row r="32" spans="1:11" x14ac:dyDescent="0.2">
      <c r="A32" s="173" t="s">
        <v>183</v>
      </c>
      <c r="B32" s="31">
        <v>-18087.14</v>
      </c>
      <c r="K32"/>
    </row>
    <row r="33" spans="1:11" x14ac:dyDescent="0.2">
      <c r="A33" s="173" t="s">
        <v>54</v>
      </c>
      <c r="B33" s="31">
        <v>-30012.37</v>
      </c>
      <c r="K33"/>
    </row>
    <row r="34" spans="1:11" x14ac:dyDescent="0.2">
      <c r="A34" s="173" t="s">
        <v>33</v>
      </c>
      <c r="B34" s="31">
        <v>-34032</v>
      </c>
      <c r="K34"/>
    </row>
    <row r="35" spans="1:11" x14ac:dyDescent="0.2">
      <c r="A35" s="173" t="s">
        <v>168</v>
      </c>
      <c r="B35" s="31">
        <v>-35353.949999999997</v>
      </c>
      <c r="K35"/>
    </row>
    <row r="36" spans="1:11" x14ac:dyDescent="0.2">
      <c r="A36" s="173" t="s">
        <v>114</v>
      </c>
      <c r="B36" s="31">
        <v>-36635.9</v>
      </c>
      <c r="K36"/>
    </row>
    <row r="37" spans="1:11" x14ac:dyDescent="0.2">
      <c r="A37" s="1" t="s">
        <v>874</v>
      </c>
      <c r="B37" s="31">
        <v>-45220</v>
      </c>
      <c r="K37"/>
    </row>
    <row r="38" spans="1:11" x14ac:dyDescent="0.2">
      <c r="A38" s="173" t="s">
        <v>276</v>
      </c>
      <c r="B38" s="31">
        <v>-46500</v>
      </c>
      <c r="K38"/>
    </row>
    <row r="39" spans="1:11" x14ac:dyDescent="0.2">
      <c r="A39" s="173" t="s">
        <v>266</v>
      </c>
      <c r="B39" s="31">
        <v>-47278.38</v>
      </c>
      <c r="K39"/>
    </row>
    <row r="40" spans="1:11" x14ac:dyDescent="0.2">
      <c r="A40" s="173" t="s">
        <v>119</v>
      </c>
      <c r="B40" s="31">
        <v>-50473</v>
      </c>
      <c r="K40"/>
    </row>
    <row r="41" spans="1:11" x14ac:dyDescent="0.2">
      <c r="A41" s="173" t="s">
        <v>328</v>
      </c>
      <c r="B41" s="31">
        <v>-52256.76</v>
      </c>
      <c r="K41"/>
    </row>
    <row r="42" spans="1:11" x14ac:dyDescent="0.2">
      <c r="A42" s="173" t="s">
        <v>173</v>
      </c>
      <c r="B42" s="31">
        <v>-57267</v>
      </c>
      <c r="K42"/>
    </row>
    <row r="43" spans="1:11" x14ac:dyDescent="0.2">
      <c r="A43" s="173" t="s">
        <v>121</v>
      </c>
      <c r="B43" s="31">
        <v>-57290.6</v>
      </c>
      <c r="K43"/>
    </row>
    <row r="44" spans="1:11" x14ac:dyDescent="0.2">
      <c r="A44" s="1" t="s">
        <v>730</v>
      </c>
      <c r="B44" s="31">
        <v>-69037.63</v>
      </c>
      <c r="K44"/>
    </row>
    <row r="45" spans="1:11" x14ac:dyDescent="0.2">
      <c r="A45" s="173" t="s">
        <v>164</v>
      </c>
      <c r="B45" s="31">
        <v>-79689.259999999995</v>
      </c>
      <c r="K45"/>
    </row>
    <row r="46" spans="1:11" x14ac:dyDescent="0.2">
      <c r="A46" s="173" t="s">
        <v>41</v>
      </c>
      <c r="B46" s="31">
        <v>-82070</v>
      </c>
      <c r="K46"/>
    </row>
    <row r="47" spans="1:11" x14ac:dyDescent="0.2">
      <c r="A47" s="173" t="s">
        <v>120</v>
      </c>
      <c r="B47" s="31">
        <v>-82254</v>
      </c>
      <c r="K47"/>
    </row>
    <row r="48" spans="1:11" x14ac:dyDescent="0.2">
      <c r="A48" s="173" t="s">
        <v>327</v>
      </c>
      <c r="B48" s="31">
        <v>-85944.35</v>
      </c>
      <c r="K48"/>
    </row>
    <row r="49" spans="1:11" x14ac:dyDescent="0.2">
      <c r="A49" s="1" t="s">
        <v>549</v>
      </c>
      <c r="B49" s="31">
        <v>-95438.37</v>
      </c>
      <c r="K49"/>
    </row>
    <row r="50" spans="1:11" x14ac:dyDescent="0.2">
      <c r="A50" s="173" t="s">
        <v>158</v>
      </c>
      <c r="B50" s="31">
        <v>-98745.97</v>
      </c>
      <c r="K50"/>
    </row>
    <row r="51" spans="1:11" x14ac:dyDescent="0.2">
      <c r="A51" s="1" t="s">
        <v>732</v>
      </c>
      <c r="B51" s="31">
        <v>-103355.81</v>
      </c>
      <c r="K51"/>
    </row>
    <row r="52" spans="1:11" x14ac:dyDescent="0.2">
      <c r="A52" s="173" t="s">
        <v>156</v>
      </c>
      <c r="B52" s="31">
        <v>-110330.7</v>
      </c>
      <c r="K52"/>
    </row>
    <row r="53" spans="1:11" x14ac:dyDescent="0.2">
      <c r="A53" s="173" t="s">
        <v>256</v>
      </c>
      <c r="B53" s="31">
        <v>-114999.4</v>
      </c>
      <c r="K53"/>
    </row>
    <row r="54" spans="1:11" x14ac:dyDescent="0.2">
      <c r="A54" s="173" t="s">
        <v>152</v>
      </c>
      <c r="B54" s="31">
        <v>-118113</v>
      </c>
      <c r="K54"/>
    </row>
    <row r="55" spans="1:11" x14ac:dyDescent="0.2">
      <c r="A55" s="173" t="s">
        <v>262</v>
      </c>
      <c r="B55" s="31">
        <v>-118621.49</v>
      </c>
      <c r="K55"/>
    </row>
    <row r="56" spans="1:11" x14ac:dyDescent="0.2">
      <c r="A56" s="173" t="s">
        <v>137</v>
      </c>
      <c r="B56" s="31">
        <v>-134160.04999999999</v>
      </c>
      <c r="K56"/>
    </row>
    <row r="57" spans="1:11" x14ac:dyDescent="0.2">
      <c r="A57" s="173" t="s">
        <v>267</v>
      </c>
      <c r="B57" s="31">
        <v>-149105.75</v>
      </c>
      <c r="K57"/>
    </row>
    <row r="58" spans="1:11" x14ac:dyDescent="0.2">
      <c r="A58" s="173" t="s">
        <v>111</v>
      </c>
      <c r="B58" s="31">
        <v>-166755.06</v>
      </c>
      <c r="K58"/>
    </row>
    <row r="59" spans="1:11" x14ac:dyDescent="0.2">
      <c r="A59" s="173" t="s">
        <v>154</v>
      </c>
      <c r="B59" s="31">
        <v>-178707.59999999998</v>
      </c>
      <c r="K59"/>
    </row>
    <row r="60" spans="1:11" x14ac:dyDescent="0.2">
      <c r="A60" s="173" t="s">
        <v>142</v>
      </c>
      <c r="B60" s="31">
        <v>-205125.58</v>
      </c>
      <c r="K60"/>
    </row>
    <row r="61" spans="1:11" x14ac:dyDescent="0.2">
      <c r="A61" s="173" t="s">
        <v>116</v>
      </c>
      <c r="B61" s="31">
        <v>-229099.86</v>
      </c>
      <c r="K61"/>
    </row>
    <row r="62" spans="1:11" x14ac:dyDescent="0.2">
      <c r="A62" s="173" t="s">
        <v>133</v>
      </c>
      <c r="B62" s="31">
        <v>-255220.18</v>
      </c>
      <c r="K62"/>
    </row>
    <row r="63" spans="1:11" x14ac:dyDescent="0.2">
      <c r="A63" s="1" t="s">
        <v>734</v>
      </c>
      <c r="B63" s="31">
        <v>-278680.69</v>
      </c>
      <c r="K63"/>
    </row>
    <row r="64" spans="1:11" x14ac:dyDescent="0.2">
      <c r="A64" s="1" t="s">
        <v>769</v>
      </c>
      <c r="B64" s="31">
        <v>-301128.5</v>
      </c>
      <c r="K64"/>
    </row>
    <row r="65" spans="1:11" x14ac:dyDescent="0.2">
      <c r="A65" s="173" t="s">
        <v>258</v>
      </c>
      <c r="B65" s="31">
        <v>-319617.68</v>
      </c>
      <c r="K65"/>
    </row>
    <row r="66" spans="1:11" x14ac:dyDescent="0.2">
      <c r="A66" s="173" t="s">
        <v>324</v>
      </c>
      <c r="B66" s="31">
        <v>-329279.42</v>
      </c>
      <c r="K66"/>
    </row>
    <row r="67" spans="1:11" x14ac:dyDescent="0.2">
      <c r="A67" s="173" t="s">
        <v>279</v>
      </c>
      <c r="B67" s="31">
        <v>-400029.78</v>
      </c>
      <c r="K67"/>
    </row>
    <row r="68" spans="1:11" x14ac:dyDescent="0.2">
      <c r="A68" s="173" t="s">
        <v>296</v>
      </c>
      <c r="B68" s="31">
        <v>-417326.30000000005</v>
      </c>
      <c r="K68"/>
    </row>
    <row r="69" spans="1:11" x14ac:dyDescent="0.2">
      <c r="A69" s="173" t="s">
        <v>143</v>
      </c>
      <c r="B69" s="31">
        <v>-527313.01</v>
      </c>
      <c r="K69"/>
    </row>
    <row r="70" spans="1:11" x14ac:dyDescent="0.2">
      <c r="A70" s="173" t="s">
        <v>149</v>
      </c>
      <c r="B70" s="31">
        <v>-580403.11</v>
      </c>
      <c r="K70"/>
    </row>
    <row r="71" spans="1:11" x14ac:dyDescent="0.2">
      <c r="A71" s="1" t="s">
        <v>726</v>
      </c>
      <c r="B71" s="31">
        <v>-694956</v>
      </c>
      <c r="K71"/>
    </row>
    <row r="72" spans="1:11" x14ac:dyDescent="0.2">
      <c r="A72" s="1" t="s">
        <v>733</v>
      </c>
      <c r="B72" s="31">
        <v>-721170</v>
      </c>
      <c r="K72"/>
    </row>
    <row r="73" spans="1:11" x14ac:dyDescent="0.2">
      <c r="A73" s="173" t="s">
        <v>106</v>
      </c>
      <c r="B73" s="31">
        <v>-794076</v>
      </c>
      <c r="K73"/>
    </row>
    <row r="74" spans="1:11" x14ac:dyDescent="0.2">
      <c r="A74" s="173" t="s">
        <v>103</v>
      </c>
      <c r="B74" s="31">
        <v>-854276.44000000006</v>
      </c>
      <c r="K74"/>
    </row>
    <row r="75" spans="1:11" x14ac:dyDescent="0.2">
      <c r="A75" s="173" t="s">
        <v>265</v>
      </c>
      <c r="B75" s="31">
        <v>-887638.05</v>
      </c>
      <c r="K75"/>
    </row>
    <row r="76" spans="1:11" x14ac:dyDescent="0.2">
      <c r="A76" s="173" t="s">
        <v>275</v>
      </c>
      <c r="B76" s="31">
        <v>-944662.40000000014</v>
      </c>
      <c r="K76"/>
    </row>
    <row r="77" spans="1:11" x14ac:dyDescent="0.2">
      <c r="A77" s="173" t="s">
        <v>178</v>
      </c>
      <c r="B77" s="31">
        <v>-989139.12000000011</v>
      </c>
      <c r="K77"/>
    </row>
    <row r="78" spans="1:11" x14ac:dyDescent="0.2">
      <c r="A78" s="173" t="s">
        <v>315</v>
      </c>
      <c r="B78" s="31">
        <v>-1074919.04</v>
      </c>
      <c r="K78"/>
    </row>
    <row r="79" spans="1:11" x14ac:dyDescent="0.2">
      <c r="A79" s="173" t="s">
        <v>60</v>
      </c>
      <c r="B79" s="31">
        <v>-3201565.86</v>
      </c>
      <c r="K79"/>
    </row>
    <row r="80" spans="1:11" x14ac:dyDescent="0.2">
      <c r="A80" s="173" t="s">
        <v>99</v>
      </c>
      <c r="B80" s="31">
        <v>-5563927.1299999999</v>
      </c>
      <c r="K80"/>
    </row>
    <row r="81" spans="1:11" x14ac:dyDescent="0.2">
      <c r="A81" s="173" t="s">
        <v>98</v>
      </c>
      <c r="B81" s="31">
        <v>-19467781.560000002</v>
      </c>
      <c r="K81"/>
    </row>
    <row r="82" spans="1:11" x14ac:dyDescent="0.2">
      <c r="A82" s="173" t="s">
        <v>240</v>
      </c>
      <c r="B82" s="31">
        <v>-19483080.329999998</v>
      </c>
      <c r="K82"/>
    </row>
    <row r="83" spans="1:11" x14ac:dyDescent="0.2">
      <c r="A83" s="173" t="s">
        <v>280</v>
      </c>
      <c r="B83" s="31">
        <v>-32214070.100000001</v>
      </c>
      <c r="K83"/>
    </row>
    <row r="84" spans="1:11" x14ac:dyDescent="0.2">
      <c r="A84" s="173" t="s">
        <v>1039</v>
      </c>
      <c r="B84" s="31">
        <v>-25419554.380000014</v>
      </c>
      <c r="K84"/>
    </row>
    <row r="85" spans="1:11" x14ac:dyDescent="0.2">
      <c r="B85"/>
      <c r="K85"/>
    </row>
    <row r="86" spans="1:11" x14ac:dyDescent="0.2">
      <c r="B86"/>
      <c r="K86"/>
    </row>
    <row r="87" spans="1:11" x14ac:dyDescent="0.2">
      <c r="B87"/>
      <c r="K87"/>
    </row>
    <row r="88" spans="1:11" x14ac:dyDescent="0.2">
      <c r="B88"/>
      <c r="K88"/>
    </row>
    <row r="89" spans="1:11" x14ac:dyDescent="0.2">
      <c r="B89"/>
      <c r="K89"/>
    </row>
    <row r="90" spans="1:11" x14ac:dyDescent="0.2">
      <c r="A90" s="47"/>
      <c r="B90"/>
      <c r="K90"/>
    </row>
    <row r="91" spans="1:11" x14ac:dyDescent="0.2">
      <c r="A91" s="47"/>
      <c r="B91"/>
      <c r="K91"/>
    </row>
    <row r="92" spans="1:11" x14ac:dyDescent="0.2">
      <c r="A92" s="47"/>
      <c r="B92"/>
      <c r="K92"/>
    </row>
    <row r="93" spans="1:11" x14ac:dyDescent="0.2">
      <c r="A93" s="47"/>
      <c r="B93"/>
      <c r="K93"/>
    </row>
    <row r="94" spans="1:11" x14ac:dyDescent="0.2">
      <c r="A94" s="47"/>
      <c r="B94"/>
      <c r="K94"/>
    </row>
    <row r="95" spans="1:11" x14ac:dyDescent="0.2">
      <c r="A95" s="47"/>
      <c r="B95"/>
      <c r="K95"/>
    </row>
    <row r="96" spans="1:11" x14ac:dyDescent="0.2">
      <c r="A96" s="47"/>
      <c r="B96"/>
      <c r="K96"/>
    </row>
    <row r="97" spans="1:11" x14ac:dyDescent="0.2">
      <c r="A97" s="47"/>
      <c r="B97"/>
      <c r="K97"/>
    </row>
    <row r="98" spans="1:11" x14ac:dyDescent="0.2">
      <c r="A98" s="47"/>
      <c r="B98"/>
      <c r="K98"/>
    </row>
    <row r="99" spans="1:11" x14ac:dyDescent="0.2">
      <c r="A99" s="47"/>
      <c r="B99"/>
      <c r="K99"/>
    </row>
    <row r="100" spans="1:11" x14ac:dyDescent="0.2">
      <c r="A100" s="47"/>
      <c r="B100"/>
      <c r="K100"/>
    </row>
    <row r="101" spans="1:11" x14ac:dyDescent="0.2">
      <c r="A101" s="47"/>
      <c r="B101"/>
      <c r="K101"/>
    </row>
    <row r="102" spans="1:11" x14ac:dyDescent="0.2">
      <c r="A102" s="47"/>
      <c r="B102"/>
      <c r="K102"/>
    </row>
    <row r="103" spans="1:11" x14ac:dyDescent="0.2">
      <c r="A103" s="47"/>
      <c r="B103"/>
      <c r="K103"/>
    </row>
    <row r="104" spans="1:11" x14ac:dyDescent="0.2">
      <c r="A104" s="47"/>
      <c r="B104"/>
      <c r="K104"/>
    </row>
    <row r="105" spans="1:11" x14ac:dyDescent="0.2">
      <c r="A105" s="47"/>
      <c r="B105"/>
      <c r="K105"/>
    </row>
    <row r="106" spans="1:11" x14ac:dyDescent="0.2">
      <c r="A106" s="47"/>
      <c r="B106"/>
      <c r="K106"/>
    </row>
    <row r="107" spans="1:11" x14ac:dyDescent="0.2">
      <c r="A107" s="47"/>
      <c r="B107"/>
      <c r="K107"/>
    </row>
    <row r="108" spans="1:11" x14ac:dyDescent="0.2">
      <c r="A108" s="47"/>
      <c r="B108"/>
      <c r="K108"/>
    </row>
    <row r="109" spans="1:11" x14ac:dyDescent="0.2">
      <c r="A109" s="47"/>
      <c r="B109"/>
      <c r="K109"/>
    </row>
    <row r="110" spans="1:11" x14ac:dyDescent="0.2">
      <c r="A110" s="47"/>
      <c r="B110"/>
      <c r="K110"/>
    </row>
    <row r="111" spans="1:11" x14ac:dyDescent="0.2">
      <c r="A111" s="47"/>
      <c r="B111"/>
      <c r="K111"/>
    </row>
    <row r="112" spans="1:11" x14ac:dyDescent="0.2">
      <c r="A112" s="47"/>
      <c r="B112"/>
      <c r="K112"/>
    </row>
    <row r="113" spans="1:11" x14ac:dyDescent="0.2">
      <c r="A113" s="47"/>
      <c r="B113"/>
      <c r="K113"/>
    </row>
    <row r="114" spans="1:11" x14ac:dyDescent="0.2">
      <c r="A114" s="47"/>
      <c r="B114"/>
      <c r="K114"/>
    </row>
    <row r="115" spans="1:11" x14ac:dyDescent="0.2">
      <c r="A115" s="47"/>
      <c r="B115"/>
      <c r="K115"/>
    </row>
    <row r="116" spans="1:11" x14ac:dyDescent="0.2">
      <c r="A116" s="47"/>
      <c r="B116"/>
      <c r="K116"/>
    </row>
    <row r="117" spans="1:11" x14ac:dyDescent="0.2">
      <c r="A117" s="47"/>
      <c r="B117"/>
      <c r="K117"/>
    </row>
    <row r="118" spans="1:11" x14ac:dyDescent="0.2">
      <c r="A118" s="47"/>
      <c r="B118"/>
      <c r="K118"/>
    </row>
    <row r="119" spans="1:11" x14ac:dyDescent="0.2">
      <c r="A119" s="47"/>
      <c r="B119"/>
      <c r="K119"/>
    </row>
    <row r="120" spans="1:11" x14ac:dyDescent="0.2">
      <c r="A120" s="47"/>
      <c r="B120"/>
      <c r="K120"/>
    </row>
    <row r="121" spans="1:11" x14ac:dyDescent="0.2">
      <c r="A121" s="47"/>
      <c r="B121"/>
      <c r="K121"/>
    </row>
    <row r="122" spans="1:11" x14ac:dyDescent="0.2">
      <c r="A122" s="47"/>
      <c r="B122"/>
      <c r="K122"/>
    </row>
    <row r="123" spans="1:11" x14ac:dyDescent="0.2">
      <c r="A123" s="47"/>
      <c r="B123"/>
      <c r="K123"/>
    </row>
    <row r="124" spans="1:11" x14ac:dyDescent="0.2">
      <c r="A124" s="47"/>
      <c r="B124"/>
      <c r="K124"/>
    </row>
    <row r="125" spans="1:11" x14ac:dyDescent="0.2">
      <c r="A125" s="47"/>
      <c r="B125"/>
      <c r="K125"/>
    </row>
    <row r="126" spans="1:11" x14ac:dyDescent="0.2">
      <c r="A126" s="47"/>
      <c r="B126"/>
      <c r="K126"/>
    </row>
    <row r="127" spans="1:11" x14ac:dyDescent="0.2">
      <c r="A127" s="47"/>
      <c r="B127"/>
      <c r="K127"/>
    </row>
    <row r="128" spans="1:11" x14ac:dyDescent="0.2">
      <c r="A128" s="47"/>
      <c r="B128"/>
      <c r="K128"/>
    </row>
    <row r="129" spans="1:11" x14ac:dyDescent="0.2">
      <c r="A129" s="47"/>
      <c r="B129"/>
      <c r="K129"/>
    </row>
    <row r="130" spans="1:11" x14ac:dyDescent="0.2">
      <c r="A130" s="47"/>
      <c r="B130"/>
      <c r="K130"/>
    </row>
    <row r="131" spans="1:11" x14ac:dyDescent="0.2">
      <c r="A131" s="47"/>
      <c r="B131"/>
      <c r="K131"/>
    </row>
    <row r="132" spans="1:11" x14ac:dyDescent="0.2">
      <c r="A132" s="47"/>
      <c r="B132"/>
      <c r="K132"/>
    </row>
    <row r="133" spans="1:11" x14ac:dyDescent="0.2">
      <c r="A133" s="47"/>
      <c r="B133"/>
      <c r="K133"/>
    </row>
    <row r="134" spans="1:11" x14ac:dyDescent="0.2">
      <c r="A134" s="47"/>
      <c r="B134"/>
      <c r="K134"/>
    </row>
    <row r="135" spans="1:11" x14ac:dyDescent="0.2">
      <c r="A135" s="47"/>
      <c r="B135"/>
      <c r="K135"/>
    </row>
    <row r="136" spans="1:11" x14ac:dyDescent="0.2">
      <c r="A136" s="47"/>
      <c r="B136"/>
      <c r="K136"/>
    </row>
    <row r="137" spans="1:11" x14ac:dyDescent="0.2">
      <c r="A137" s="47"/>
      <c r="B137"/>
      <c r="K137"/>
    </row>
    <row r="138" spans="1:11" x14ac:dyDescent="0.2">
      <c r="A138" s="47"/>
      <c r="B138"/>
      <c r="K138"/>
    </row>
    <row r="139" spans="1:11" x14ac:dyDescent="0.2">
      <c r="A139" s="47"/>
      <c r="B139"/>
      <c r="K139"/>
    </row>
    <row r="140" spans="1:11" x14ac:dyDescent="0.2">
      <c r="A140" s="47"/>
      <c r="B140"/>
      <c r="K140"/>
    </row>
    <row r="141" spans="1:11" x14ac:dyDescent="0.2">
      <c r="A141" s="47"/>
      <c r="B141"/>
      <c r="K141"/>
    </row>
    <row r="142" spans="1:11" x14ac:dyDescent="0.2">
      <c r="A142" s="47"/>
      <c r="B142"/>
      <c r="K142"/>
    </row>
    <row r="143" spans="1:11" x14ac:dyDescent="0.2">
      <c r="A143" s="47"/>
      <c r="B143"/>
      <c r="K143"/>
    </row>
    <row r="144" spans="1:11" x14ac:dyDescent="0.2">
      <c r="A144" s="47"/>
      <c r="B144"/>
      <c r="K144"/>
    </row>
    <row r="145" spans="1:11" x14ac:dyDescent="0.2">
      <c r="A145" s="47"/>
      <c r="B145"/>
      <c r="K145"/>
    </row>
    <row r="146" spans="1:11" x14ac:dyDescent="0.2">
      <c r="A146" s="47"/>
      <c r="B146"/>
      <c r="K146"/>
    </row>
    <row r="147" spans="1:11" x14ac:dyDescent="0.2">
      <c r="A147" s="47"/>
      <c r="B147"/>
      <c r="K147"/>
    </row>
    <row r="148" spans="1:11" x14ac:dyDescent="0.2">
      <c r="A148" s="47"/>
      <c r="B148"/>
      <c r="K148"/>
    </row>
    <row r="149" spans="1:11" x14ac:dyDescent="0.2">
      <c r="A149" s="47"/>
      <c r="B149"/>
      <c r="K149"/>
    </row>
    <row r="150" spans="1:11" x14ac:dyDescent="0.2">
      <c r="A150" s="47"/>
      <c r="B150"/>
      <c r="K150"/>
    </row>
    <row r="151" spans="1:11" x14ac:dyDescent="0.2">
      <c r="A151" s="47"/>
      <c r="B151"/>
      <c r="K151"/>
    </row>
    <row r="152" spans="1:11" x14ac:dyDescent="0.2">
      <c r="A152" s="47"/>
      <c r="B152"/>
      <c r="K152"/>
    </row>
    <row r="153" spans="1:11" x14ac:dyDescent="0.2">
      <c r="A153" s="47"/>
      <c r="B153"/>
      <c r="K153"/>
    </row>
    <row r="154" spans="1:11" x14ac:dyDescent="0.2">
      <c r="A154" s="47"/>
      <c r="B154"/>
      <c r="K154"/>
    </row>
    <row r="155" spans="1:11" x14ac:dyDescent="0.2">
      <c r="A155" s="47"/>
      <c r="B155"/>
      <c r="K155"/>
    </row>
    <row r="156" spans="1:11" x14ac:dyDescent="0.2">
      <c r="A156" s="47"/>
      <c r="B156"/>
      <c r="K156"/>
    </row>
    <row r="157" spans="1:11" x14ac:dyDescent="0.2">
      <c r="A157" s="47"/>
      <c r="B157"/>
      <c r="K157"/>
    </row>
    <row r="158" spans="1:11" x14ac:dyDescent="0.2">
      <c r="A158" s="47"/>
      <c r="B158"/>
      <c r="K158"/>
    </row>
    <row r="159" spans="1:11" x14ac:dyDescent="0.2">
      <c r="A159" s="47"/>
      <c r="B159"/>
      <c r="K159"/>
    </row>
    <row r="160" spans="1:11" x14ac:dyDescent="0.2">
      <c r="A160" s="47"/>
      <c r="B160"/>
      <c r="K160"/>
    </row>
    <row r="161" spans="1:11" x14ac:dyDescent="0.2">
      <c r="A161" s="47"/>
      <c r="B161"/>
      <c r="K161"/>
    </row>
    <row r="162" spans="1:11" x14ac:dyDescent="0.2">
      <c r="A162" s="47"/>
      <c r="B162"/>
      <c r="K162"/>
    </row>
    <row r="163" spans="1:11" x14ac:dyDescent="0.2">
      <c r="A163" s="47"/>
      <c r="B163"/>
      <c r="K163"/>
    </row>
    <row r="164" spans="1:11" x14ac:dyDescent="0.2">
      <c r="A164" s="47"/>
      <c r="B164"/>
      <c r="K164"/>
    </row>
    <row r="165" spans="1:11" x14ac:dyDescent="0.2">
      <c r="A165" s="47"/>
      <c r="B165"/>
      <c r="K165"/>
    </row>
    <row r="166" spans="1:11" x14ac:dyDescent="0.2">
      <c r="A166" s="47"/>
      <c r="B166"/>
      <c r="K166"/>
    </row>
    <row r="167" spans="1:11" x14ac:dyDescent="0.2">
      <c r="A167" s="47"/>
      <c r="B167"/>
      <c r="K167"/>
    </row>
    <row r="168" spans="1:11" x14ac:dyDescent="0.2">
      <c r="A168" s="47"/>
      <c r="B168"/>
      <c r="K168"/>
    </row>
    <row r="169" spans="1:11" x14ac:dyDescent="0.2">
      <c r="A169" s="47"/>
      <c r="B169"/>
      <c r="K169"/>
    </row>
    <row r="170" spans="1:11" x14ac:dyDescent="0.2">
      <c r="A170" s="47"/>
      <c r="B170"/>
      <c r="K170"/>
    </row>
    <row r="171" spans="1:11" x14ac:dyDescent="0.2">
      <c r="A171" s="47"/>
      <c r="B171"/>
      <c r="K171"/>
    </row>
    <row r="172" spans="1:11" x14ac:dyDescent="0.2">
      <c r="A172" s="47"/>
      <c r="B172"/>
      <c r="K172"/>
    </row>
    <row r="173" spans="1:11" x14ac:dyDescent="0.2">
      <c r="A173" s="47"/>
      <c r="B173"/>
      <c r="K173"/>
    </row>
    <row r="174" spans="1:11" x14ac:dyDescent="0.2">
      <c r="A174" s="47"/>
      <c r="B174"/>
      <c r="K174"/>
    </row>
    <row r="175" spans="1:11" x14ac:dyDescent="0.2">
      <c r="A175" s="47"/>
      <c r="B175"/>
      <c r="K175"/>
    </row>
    <row r="176" spans="1:11" x14ac:dyDescent="0.2">
      <c r="A176" s="47"/>
      <c r="B176"/>
      <c r="K176"/>
    </row>
    <row r="177" spans="1:11" x14ac:dyDescent="0.2">
      <c r="A177" s="47"/>
      <c r="B177"/>
      <c r="K177"/>
    </row>
    <row r="178" spans="1:11" x14ac:dyDescent="0.2">
      <c r="A178" s="47"/>
      <c r="B178"/>
      <c r="K178"/>
    </row>
    <row r="179" spans="1:11" x14ac:dyDescent="0.2">
      <c r="A179" s="47"/>
      <c r="B179"/>
      <c r="K179"/>
    </row>
    <row r="180" spans="1:11" x14ac:dyDescent="0.2">
      <c r="A180" s="47"/>
      <c r="B180"/>
      <c r="K180"/>
    </row>
    <row r="181" spans="1:11" x14ac:dyDescent="0.2">
      <c r="A181" s="47"/>
      <c r="B181"/>
      <c r="K181"/>
    </row>
    <row r="182" spans="1:11" x14ac:dyDescent="0.2">
      <c r="A182" s="47"/>
      <c r="B182"/>
      <c r="K182"/>
    </row>
    <row r="183" spans="1:11" x14ac:dyDescent="0.2">
      <c r="A183" s="47"/>
      <c r="B183"/>
      <c r="K183"/>
    </row>
    <row r="184" spans="1:11" x14ac:dyDescent="0.2">
      <c r="A184" s="47"/>
      <c r="B184"/>
      <c r="K184"/>
    </row>
    <row r="185" spans="1:11" x14ac:dyDescent="0.2">
      <c r="A185" s="47"/>
      <c r="B185"/>
      <c r="K185"/>
    </row>
    <row r="186" spans="1:11" x14ac:dyDescent="0.2">
      <c r="A186" s="47"/>
      <c r="B186"/>
      <c r="K186"/>
    </row>
    <row r="187" spans="1:11" x14ac:dyDescent="0.2">
      <c r="A187" s="47"/>
      <c r="B187"/>
      <c r="K187"/>
    </row>
    <row r="188" spans="1:11" x14ac:dyDescent="0.2">
      <c r="A188" s="47"/>
      <c r="B188"/>
      <c r="K188"/>
    </row>
    <row r="189" spans="1:11" x14ac:dyDescent="0.2">
      <c r="A189" s="47"/>
      <c r="B189"/>
      <c r="K189"/>
    </row>
    <row r="190" spans="1:11" x14ac:dyDescent="0.2">
      <c r="A190" s="47"/>
      <c r="B190"/>
      <c r="K190"/>
    </row>
    <row r="191" spans="1:11" x14ac:dyDescent="0.2">
      <c r="A191" s="47"/>
      <c r="B191"/>
      <c r="K191"/>
    </row>
    <row r="192" spans="1:11" x14ac:dyDescent="0.2">
      <c r="A192" s="47"/>
      <c r="B192"/>
      <c r="K192"/>
    </row>
    <row r="193" spans="1:11" x14ac:dyDescent="0.2">
      <c r="A193" s="47"/>
      <c r="B193"/>
      <c r="K193"/>
    </row>
    <row r="194" spans="1:11" x14ac:dyDescent="0.2">
      <c r="A194" s="47"/>
      <c r="B194"/>
      <c r="K194"/>
    </row>
    <row r="195" spans="1:11" x14ac:dyDescent="0.2">
      <c r="A195" s="47"/>
      <c r="B195"/>
      <c r="K195"/>
    </row>
    <row r="196" spans="1:11" x14ac:dyDescent="0.2">
      <c r="A196" s="47"/>
      <c r="B196"/>
      <c r="K196"/>
    </row>
    <row r="197" spans="1:11" x14ac:dyDescent="0.2">
      <c r="A197" s="47"/>
      <c r="B197"/>
      <c r="K197"/>
    </row>
    <row r="198" spans="1:11" x14ac:dyDescent="0.2">
      <c r="A198" s="47"/>
      <c r="B198"/>
      <c r="K198"/>
    </row>
    <row r="199" spans="1:11" x14ac:dyDescent="0.2">
      <c r="A199" s="47"/>
      <c r="B199"/>
      <c r="K199"/>
    </row>
    <row r="200" spans="1:11" x14ac:dyDescent="0.2">
      <c r="A200" s="47"/>
      <c r="B200"/>
      <c r="K200"/>
    </row>
    <row r="201" spans="1:11" x14ac:dyDescent="0.2">
      <c r="B201"/>
      <c r="K201"/>
    </row>
    <row r="202" spans="1:11" x14ac:dyDescent="0.2">
      <c r="B202"/>
      <c r="K202"/>
    </row>
    <row r="203" spans="1:11" x14ac:dyDescent="0.2">
      <c r="B203"/>
      <c r="K203"/>
    </row>
    <row r="204" spans="1:11" x14ac:dyDescent="0.2">
      <c r="B204"/>
      <c r="K204"/>
    </row>
    <row r="205" spans="1:11" x14ac:dyDescent="0.2">
      <c r="B205"/>
      <c r="K205"/>
    </row>
    <row r="206" spans="1:11" x14ac:dyDescent="0.2">
      <c r="B206"/>
      <c r="K206"/>
    </row>
    <row r="207" spans="1:11" x14ac:dyDescent="0.2">
      <c r="B207"/>
      <c r="K207"/>
    </row>
    <row r="208" spans="1:11" x14ac:dyDescent="0.2">
      <c r="B208"/>
      <c r="K208"/>
    </row>
    <row r="209" spans="2:11" x14ac:dyDescent="0.2">
      <c r="B209"/>
      <c r="K209"/>
    </row>
    <row r="210" spans="2:11" x14ac:dyDescent="0.2">
      <c r="B210"/>
      <c r="K210"/>
    </row>
    <row r="211" spans="2:11" x14ac:dyDescent="0.2">
      <c r="B211"/>
      <c r="K211"/>
    </row>
    <row r="212" spans="2:11" x14ac:dyDescent="0.2">
      <c r="B212"/>
      <c r="K212"/>
    </row>
    <row r="213" spans="2:11" x14ac:dyDescent="0.2">
      <c r="B213"/>
      <c r="K213"/>
    </row>
    <row r="214" spans="2:11" x14ac:dyDescent="0.2">
      <c r="B214"/>
      <c r="K214"/>
    </row>
    <row r="215" spans="2:11" x14ac:dyDescent="0.2">
      <c r="B215"/>
      <c r="K215"/>
    </row>
    <row r="216" spans="2:11" x14ac:dyDescent="0.2">
      <c r="B216"/>
      <c r="K216"/>
    </row>
    <row r="217" spans="2:11" x14ac:dyDescent="0.2">
      <c r="B217"/>
      <c r="K217"/>
    </row>
    <row r="218" spans="2:11" x14ac:dyDescent="0.2">
      <c r="B218"/>
      <c r="K218"/>
    </row>
    <row r="219" spans="2:11" x14ac:dyDescent="0.2">
      <c r="B219"/>
      <c r="K219"/>
    </row>
    <row r="220" spans="2:11" x14ac:dyDescent="0.2">
      <c r="B220"/>
      <c r="K220"/>
    </row>
    <row r="221" spans="2:11" x14ac:dyDescent="0.2">
      <c r="B221"/>
      <c r="K221"/>
    </row>
    <row r="222" spans="2:11" x14ac:dyDescent="0.2">
      <c r="B222"/>
      <c r="K222"/>
    </row>
    <row r="223" spans="2:11" x14ac:dyDescent="0.2">
      <c r="B223"/>
      <c r="K223"/>
    </row>
    <row r="224" spans="2:11" x14ac:dyDescent="0.2">
      <c r="B224"/>
      <c r="K224"/>
    </row>
    <row r="225" spans="2:11" x14ac:dyDescent="0.2">
      <c r="B225"/>
      <c r="K225"/>
    </row>
    <row r="226" spans="2:11" x14ac:dyDescent="0.2">
      <c r="B226"/>
      <c r="K226"/>
    </row>
    <row r="227" spans="2:11" x14ac:dyDescent="0.2">
      <c r="B227"/>
      <c r="K227"/>
    </row>
    <row r="228" spans="2:11" x14ac:dyDescent="0.2">
      <c r="B228"/>
      <c r="K228"/>
    </row>
    <row r="229" spans="2:11" x14ac:dyDescent="0.2">
      <c r="B229"/>
      <c r="K229"/>
    </row>
    <row r="230" spans="2:11" x14ac:dyDescent="0.2">
      <c r="B230"/>
      <c r="K230"/>
    </row>
    <row r="231" spans="2:11" x14ac:dyDescent="0.2">
      <c r="B231"/>
      <c r="K231"/>
    </row>
    <row r="232" spans="2:11" x14ac:dyDescent="0.2">
      <c r="B232"/>
      <c r="K232"/>
    </row>
    <row r="233" spans="2:11" x14ac:dyDescent="0.2">
      <c r="B233"/>
      <c r="K233"/>
    </row>
    <row r="234" spans="2:11" x14ac:dyDescent="0.2">
      <c r="B234"/>
      <c r="K234"/>
    </row>
    <row r="235" spans="2:11" x14ac:dyDescent="0.2">
      <c r="B235"/>
      <c r="K235"/>
    </row>
    <row r="236" spans="2:11" x14ac:dyDescent="0.2">
      <c r="B236"/>
      <c r="K236"/>
    </row>
    <row r="237" spans="2:11" x14ac:dyDescent="0.2">
      <c r="B237"/>
      <c r="K237"/>
    </row>
    <row r="238" spans="2:11" x14ac:dyDescent="0.2">
      <c r="B238"/>
      <c r="K238"/>
    </row>
    <row r="239" spans="2:11" x14ac:dyDescent="0.2">
      <c r="B239"/>
      <c r="K239"/>
    </row>
    <row r="240" spans="2:11" x14ac:dyDescent="0.2">
      <c r="B240"/>
      <c r="K240"/>
    </row>
    <row r="241" spans="2:11" x14ac:dyDescent="0.2">
      <c r="B241"/>
      <c r="K241"/>
    </row>
    <row r="242" spans="2:11" x14ac:dyDescent="0.2">
      <c r="B242"/>
      <c r="K242"/>
    </row>
    <row r="243" spans="2:11" x14ac:dyDescent="0.2">
      <c r="B243"/>
    </row>
    <row r="244" spans="2:11" x14ac:dyDescent="0.2">
      <c r="B244"/>
    </row>
    <row r="245" spans="2:11" x14ac:dyDescent="0.2">
      <c r="B245"/>
    </row>
    <row r="246" spans="2:11" x14ac:dyDescent="0.2">
      <c r="B246"/>
    </row>
    <row r="247" spans="2:11" x14ac:dyDescent="0.2">
      <c r="B247"/>
    </row>
    <row r="248" spans="2:11" x14ac:dyDescent="0.2">
      <c r="B248"/>
    </row>
    <row r="249" spans="2:11" x14ac:dyDescent="0.2">
      <c r="B249"/>
    </row>
    <row r="250" spans="2:11" x14ac:dyDescent="0.2">
      <c r="B250"/>
    </row>
    <row r="251" spans="2:11" x14ac:dyDescent="0.2">
      <c r="B251"/>
    </row>
    <row r="252" spans="2:11" x14ac:dyDescent="0.2">
      <c r="B252"/>
    </row>
    <row r="253" spans="2:11" x14ac:dyDescent="0.2">
      <c r="B253"/>
    </row>
    <row r="254" spans="2:11" x14ac:dyDescent="0.2">
      <c r="B254"/>
    </row>
    <row r="255" spans="2:11" x14ac:dyDescent="0.2">
      <c r="B255"/>
    </row>
    <row r="256" spans="2:11" x14ac:dyDescent="0.2">
      <c r="B256"/>
    </row>
    <row r="257" spans="2:2" x14ac:dyDescent="0.2">
      <c r="B257"/>
    </row>
    <row r="258" spans="2:2" x14ac:dyDescent="0.2">
      <c r="B258"/>
    </row>
    <row r="259" spans="2:2" x14ac:dyDescent="0.2">
      <c r="B259"/>
    </row>
    <row r="260" spans="2:2" x14ac:dyDescent="0.2">
      <c r="B260"/>
    </row>
    <row r="261" spans="2:2" x14ac:dyDescent="0.2">
      <c r="B261"/>
    </row>
    <row r="262" spans="2:2" x14ac:dyDescent="0.2">
      <c r="B262"/>
    </row>
    <row r="263" spans="2:2" x14ac:dyDescent="0.2">
      <c r="B263"/>
    </row>
    <row r="264" spans="2:2" x14ac:dyDescent="0.2">
      <c r="B264"/>
    </row>
    <row r="265" spans="2:2" x14ac:dyDescent="0.2">
      <c r="B265"/>
    </row>
    <row r="266" spans="2:2" x14ac:dyDescent="0.2">
      <c r="B266"/>
    </row>
    <row r="267" spans="2:2" x14ac:dyDescent="0.2">
      <c r="B267"/>
    </row>
    <row r="268" spans="2:2" x14ac:dyDescent="0.2">
      <c r="B268"/>
    </row>
    <row r="269" spans="2:2" x14ac:dyDescent="0.2">
      <c r="B269"/>
    </row>
    <row r="270" spans="2:2" x14ac:dyDescent="0.2">
      <c r="B270"/>
    </row>
    <row r="271" spans="2:2" x14ac:dyDescent="0.2">
      <c r="B271"/>
    </row>
    <row r="272" spans="2:2" x14ac:dyDescent="0.2">
      <c r="B272"/>
    </row>
    <row r="273" spans="2:2" x14ac:dyDescent="0.2">
      <c r="B273"/>
    </row>
    <row r="274" spans="2:2" x14ac:dyDescent="0.2">
      <c r="B274"/>
    </row>
    <row r="275" spans="2:2" x14ac:dyDescent="0.2">
      <c r="B275"/>
    </row>
    <row r="276" spans="2:2" x14ac:dyDescent="0.2">
      <c r="B276"/>
    </row>
    <row r="277" spans="2:2" x14ac:dyDescent="0.2">
      <c r="B277"/>
    </row>
    <row r="278" spans="2:2" x14ac:dyDescent="0.2">
      <c r="B278"/>
    </row>
    <row r="279" spans="2:2" x14ac:dyDescent="0.2">
      <c r="B279"/>
    </row>
    <row r="280" spans="2:2" x14ac:dyDescent="0.2">
      <c r="B280"/>
    </row>
    <row r="281" spans="2:2" x14ac:dyDescent="0.2">
      <c r="B281"/>
    </row>
    <row r="282" spans="2:2" x14ac:dyDescent="0.2">
      <c r="B282"/>
    </row>
    <row r="283" spans="2:2" x14ac:dyDescent="0.2">
      <c r="B283"/>
    </row>
    <row r="284" spans="2:2" x14ac:dyDescent="0.2">
      <c r="B284"/>
    </row>
    <row r="285" spans="2:2" x14ac:dyDescent="0.2">
      <c r="B285"/>
    </row>
    <row r="286" spans="2:2" x14ac:dyDescent="0.2">
      <c r="B286"/>
    </row>
    <row r="287" spans="2:2" x14ac:dyDescent="0.2">
      <c r="B287"/>
    </row>
    <row r="288" spans="2:2" x14ac:dyDescent="0.2">
      <c r="B288"/>
    </row>
    <row r="289" spans="2:2" x14ac:dyDescent="0.2">
      <c r="B289"/>
    </row>
    <row r="290" spans="2:2" x14ac:dyDescent="0.2">
      <c r="B290"/>
    </row>
    <row r="291" spans="2:2" x14ac:dyDescent="0.2">
      <c r="B291"/>
    </row>
    <row r="292" spans="2:2" x14ac:dyDescent="0.2">
      <c r="B292"/>
    </row>
    <row r="293" spans="2:2" x14ac:dyDescent="0.2">
      <c r="B293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3"/>
  <sheetViews>
    <sheetView showGridLines="0" workbookViewId="0">
      <pane xSplit="2" ySplit="9" topLeftCell="C22" activePane="bottomRight" state="frozen"/>
      <selection pane="topRight" activeCell="C1" sqref="C1"/>
      <selection pane="bottomLeft" activeCell="A10" sqref="A10"/>
      <selection pane="bottomRight" activeCell="E18" sqref="E18"/>
    </sheetView>
  </sheetViews>
  <sheetFormatPr defaultRowHeight="11.25" x14ac:dyDescent="0.2"/>
  <cols>
    <col min="2" max="2" width="38.1640625" bestFit="1" customWidth="1"/>
    <col min="3" max="3" width="13.6640625" customWidth="1"/>
    <col min="4" max="4" width="14.33203125" bestFit="1" customWidth="1"/>
    <col min="5" max="5" width="12.5" bestFit="1" customWidth="1"/>
    <col min="6" max="6" width="15.33203125" customWidth="1"/>
    <col min="7" max="7" width="10.33203125" customWidth="1"/>
    <col min="8" max="8" width="10.83203125" customWidth="1"/>
    <col min="9" max="11" width="10.1640625" bestFit="1" customWidth="1"/>
    <col min="12" max="12" width="10.6640625" customWidth="1"/>
    <col min="14" max="14" width="13.83203125" customWidth="1"/>
    <col min="15" max="15" width="11.6640625" customWidth="1"/>
  </cols>
  <sheetData>
    <row r="1" spans="1:15" x14ac:dyDescent="0.2">
      <c r="B1" t="s">
        <v>824</v>
      </c>
      <c r="C1" s="164">
        <v>44228</v>
      </c>
    </row>
    <row r="2" spans="1:15" x14ac:dyDescent="0.2">
      <c r="B2" t="s">
        <v>825</v>
      </c>
      <c r="C2" s="164">
        <v>44285</v>
      </c>
    </row>
    <row r="4" spans="1:15" s="17" customFormat="1" ht="33.75" x14ac:dyDescent="0.2">
      <c r="D4" s="50" t="s">
        <v>822</v>
      </c>
      <c r="E4" s="160" t="s">
        <v>823</v>
      </c>
      <c r="O4" s="50" t="s">
        <v>822</v>
      </c>
    </row>
    <row r="5" spans="1:15" s="17" customFormat="1" ht="33.75" x14ac:dyDescent="0.2">
      <c r="E5" s="166" t="s">
        <v>827</v>
      </c>
    </row>
    <row r="7" spans="1:15" x14ac:dyDescent="0.2">
      <c r="B7" s="176" t="s">
        <v>829</v>
      </c>
      <c r="D7" t="s">
        <v>819</v>
      </c>
    </row>
    <row r="8" spans="1:15" s="32" customFormat="1" x14ac:dyDescent="0.2">
      <c r="C8" s="32" t="s">
        <v>418</v>
      </c>
      <c r="F8" s="32" t="s">
        <v>418</v>
      </c>
      <c r="H8" s="32" t="s">
        <v>834</v>
      </c>
    </row>
    <row r="9" spans="1:15" s="174" customFormat="1" ht="22.5" x14ac:dyDescent="0.2">
      <c r="B9" s="175"/>
      <c r="C9" s="174" t="s">
        <v>816</v>
      </c>
      <c r="D9" s="174" t="s">
        <v>818</v>
      </c>
      <c r="E9" s="174" t="s">
        <v>817</v>
      </c>
      <c r="F9" s="174" t="s">
        <v>832</v>
      </c>
      <c r="G9" s="174" t="s">
        <v>833</v>
      </c>
      <c r="H9" s="177" t="s">
        <v>351</v>
      </c>
      <c r="I9" s="174" t="s">
        <v>352</v>
      </c>
      <c r="J9" s="174" t="s">
        <v>353</v>
      </c>
      <c r="K9" s="174" t="s">
        <v>354</v>
      </c>
      <c r="L9" s="174" t="s">
        <v>355</v>
      </c>
      <c r="N9" s="174" t="s">
        <v>820</v>
      </c>
      <c r="O9" s="174" t="s">
        <v>821</v>
      </c>
    </row>
    <row r="10" spans="1:15" x14ac:dyDescent="0.2">
      <c r="A10" s="47">
        <v>1</v>
      </c>
      <c r="B10" s="47" t="str">
        <f>INDEX('Adjusted Ageing by Customer'!$A$9:$A$200,MATCH(LARGE(('Adjusted Ageing by Customer'!$AD$9:$AD$200),$A10),'Adjusted Ageing by Customer'!$AD$9:$AD$200,0),1)</f>
        <v>Купишуз ООО</v>
      </c>
      <c r="C10" s="47"/>
      <c r="D10" s="31">
        <f t="array" ref="D10">SUM(('Отчет по покупателям УТ'!$M$6:$M$4000=Sheet1!$B10)*('Отчет по покупателям УТ'!$A$6:$A$4000=Sheet1!D$4)*('Отчет по покупателям УТ'!$D$6:$D$4000&gt;Sheet1!$C$1)*('Отчет по покупателям УТ'!$D$6:$D$4000&lt;Sheet1!$C$2)*('Отчет по покупателям УТ'!$K$6:$K$4000))/1000</f>
        <v>-913.99721999999997</v>
      </c>
      <c r="E10" s="31">
        <f t="array" ref="E10">SUM(('Отчет по покупателям УТ'!$M$6:$M$4000=Sheet1!$B10)*('Отчет по покупателям УТ'!$A$6:$A$4000=Sheet1!E$4)*('Отчет по покупателям УТ'!$D$6:$D$4000&gt;Sheet1!$C$1)*('Отчет по покупателям УТ'!$D$6:$D$4000&lt;Sheet1!$C$2)*('Отчет по покупателям УТ'!$K$6:$K$4000))/1000</f>
        <v>-263.02499999999998</v>
      </c>
      <c r="F10" s="59">
        <f t="array" ref="F10">SUM(('Adjusted Ageing by Customer'!$A$9:$A$200=Sheet1!$B10)*('Adjusted Ageing by Customer'!$AD$9:$AD$200))/1000</f>
        <v>35454.892790000005</v>
      </c>
      <c r="G10" s="31">
        <f t="array" ref="G10">SUM(('Отчет по покупателям УТ'!$M$6:$M$4000=Sheet1!$B10)*('Отчет по покупателям УТ'!$H$6:$H$4000&lt;&gt;"Advance")*('Отчет по покупателям УТ'!$G$6:$G$4000=Sheet1!G$9)*('Отчет по покупателям УТ'!$K$6:$K$4000))/1000</f>
        <v>0</v>
      </c>
      <c r="H10" s="31">
        <f t="array" ref="H10">SUM(('Отчет по покупателям УТ'!$M$6:$M$4000=Sheet1!$B10)*('Отчет по покупателям УТ'!$H$6:$H$4000&lt;&gt;"Advance")*('Отчет по покупателям УТ'!$G$6:$G$4000=Sheet1!H$9)*('Отчет по покупателям УТ'!$K$6:$K$4000))/1000</f>
        <v>0</v>
      </c>
      <c r="I10" s="31">
        <f t="array" ref="I10">SUM(('Отчет по покупателям УТ'!$M$6:$M$4000=Sheet1!$B10)*('Отчет по покупателям УТ'!$H$6:$H$4000&lt;&gt;"Advance")*('Отчет по покупателям УТ'!$G$6:$G$4000=Sheet1!I$9)*('Отчет по покупателям УТ'!$K$6:$K$4000))/1000</f>
        <v>0</v>
      </c>
      <c r="J10" s="31">
        <f t="array" ref="J10">SUM(('Отчет по покупателям УТ'!$M$6:$M$4000=Sheet1!$B10)*('Отчет по покупателям УТ'!$H$6:$H$4000&lt;&gt;"Advance")*('Отчет по покупателям УТ'!$G$6:$G$4000=Sheet1!J$9)*('Отчет по покупателям УТ'!$K$6:$K$4000))/1000</f>
        <v>0</v>
      </c>
      <c r="K10" s="31">
        <f t="array" ref="K10">SUM(('Отчет по покупателям УТ'!$M$6:$M$4000=Sheet1!$B10)*('Отчет по покупателям УТ'!$H$6:$H$4000&lt;&gt;"Advance")*('Отчет по покупателям УТ'!$G$6:$G$4000=Sheet1!K$9)*('Отчет по покупателям УТ'!$K$6:$K$4000))/1000</f>
        <v>0</v>
      </c>
      <c r="L10" s="31">
        <f t="array" ref="L10">SUM(('Отчет по покупателям УТ'!$M$6:$M$4000=Sheet1!$B10)*('Отчет по покупателям УТ'!$H$6:$H$4000&lt;&gt;"Advance")*('Отчет по покупателям УТ'!$G$6:$G$4000=Sheet1!L$9)*('Отчет по покупателям УТ'!$K$6:$K$4000))/1000</f>
        <v>0</v>
      </c>
      <c r="N10" s="31">
        <f t="array" ref="N10">SUM(('Отчет по покупателям УТ'!$M$6:$M$4000=Sheet1!$B10)*('Отчет по покупателям УТ'!$H$6:$H$4000="Advance")*('Отчет по покупателям УТ'!$K$6:$K$4000))/1000</f>
        <v>-37241.077140000001</v>
      </c>
      <c r="O10" s="31">
        <f t="array" ref="O10">SUM(('Отчет по покупателям УТ'!$M$6:$M$4000=Sheet1!$B10)*('Отчет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-913.99721999999997</v>
      </c>
    </row>
    <row r="11" spans="1:15" x14ac:dyDescent="0.2">
      <c r="A11">
        <v>2</v>
      </c>
      <c r="B11" s="47" t="str">
        <f>INDEX('Adjusted Ageing by Customer'!$A$9:$A$200,MATCH(LARGE(('Adjusted Ageing by Customer'!$AD$9:$AD$200),$A11),'Adjusted Ageing by Customer'!$AD$9:$AD$200,0),1)</f>
        <v>Реинвент ООО</v>
      </c>
      <c r="C11" s="47"/>
      <c r="D11" s="31">
        <v>56</v>
      </c>
      <c r="E11" s="31">
        <f t="array" ref="E11">SUM(('Отчет по покупателям УТ'!$M$6:$M$4000=Sheet1!$B11)*('Отчет по покупателям УТ'!$A$6:$A$4000=Sheet1!E$4)*('Отчет по покупателям УТ'!$D$6:$D$4000&gt;Sheet1!$C$1)*('Отчет по покупателям УТ'!$D$6:$D$4000&lt;Sheet1!$C$2)*('Отчет по покупателям УТ'!$K$6:$K$4000))/1000</f>
        <v>0</v>
      </c>
      <c r="F11" s="36">
        <f t="array" ref="F11">SUM(('Adjusted Ageing by Customer'!$A$9:$A$200=Sheet1!$B11)*('Adjusted Ageing by Customer'!$AD$9:$AD$200))/1000</f>
        <v>22489.98461</v>
      </c>
      <c r="G11" s="31">
        <f t="array" ref="G11">SUM(('Отчет по покупателям УТ'!$M$6:$M$4000=Sheet1!$B11)*('Отчет по покупателям УТ'!$H$6:$H$4000&lt;&gt;"Advance")*('Отчет по покупателям УТ'!$G$6:$G$4000=Sheet1!G$9)*('Отчет по покупателям УТ'!$K$6:$K$4000))/1000</f>
        <v>0</v>
      </c>
      <c r="H11" s="31">
        <f t="array" ref="H11">SUM(('Отчет по покупателям УТ'!$M$6:$M$4000=Sheet1!$B11)*('Отчет по покупателям УТ'!$H$6:$H$4000&lt;&gt;"Advance")*('Отчет по покупателям УТ'!$G$6:$G$4000=Sheet1!H$9)*('Отчет по покупателям УТ'!$K$6:$K$4000))/1000</f>
        <v>0</v>
      </c>
      <c r="I11" s="31">
        <f t="array" ref="I11">SUM(('Отчет по покупателям УТ'!$M$6:$M$4000=Sheet1!$B11)*('Отчет по покупателям УТ'!$H$6:$H$4000&lt;&gt;"Advance")*('Отчет по покупателям УТ'!$G$6:$G$4000=Sheet1!I$9)*('Отчет по покупателям УТ'!$K$6:$K$4000))/1000</f>
        <v>0</v>
      </c>
      <c r="J11" s="31">
        <f t="array" ref="J11">SUM(('Отчет по покупателям УТ'!$M$6:$M$4000=Sheet1!$B11)*('Отчет по покупателям УТ'!$H$6:$H$4000&lt;&gt;"Advance")*('Отчет по покупателям УТ'!$G$6:$G$4000=Sheet1!J$9)*('Отчет по покупателям УТ'!$K$6:$K$4000))/1000</f>
        <v>0</v>
      </c>
      <c r="K11" s="31">
        <f t="array" ref="K11">SUM(('Отчет по покупателям УТ'!$M$6:$M$4000=Sheet1!$B11)*('Отчет по покупателям УТ'!$H$6:$H$4000&lt;&gt;"Advance")*('Отчет по покупателям УТ'!$G$6:$G$4000=Sheet1!K$9)*('Отчет по покупателям УТ'!$K$6:$K$4000))/1000</f>
        <v>0</v>
      </c>
      <c r="L11" s="31">
        <f t="array" ref="L11">SUM(('Отчет по покупателям УТ'!$M$6:$M$4000=Sheet1!$B11)*('Отчет по покупателям УТ'!$H$6:$H$4000&lt;&gt;"Advance")*('Отчет по покупателям УТ'!$G$6:$G$4000=Sheet1!L$9)*('Отчет по покупателям УТ'!$K$6:$K$4000))/1000</f>
        <v>0</v>
      </c>
      <c r="N11" s="31">
        <f t="array" ref="N11">SUM(('Отчет по покупателям УТ'!$M$6:$M$4000=Sheet1!$B11)*('Отчет по покупателям УТ'!$H$6:$H$4000="Advance")*('Отчет по покупателям УТ'!$K$6:$K$4000))/1000</f>
        <v>-28302.90639</v>
      </c>
      <c r="O11" s="31">
        <f t="array" ref="O11">SUM(('Отчет по покупателям УТ'!$M$6:$M$4000=Sheet1!$B11)*('Отчет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12" spans="1:15" x14ac:dyDescent="0.2">
      <c r="A12">
        <v>3</v>
      </c>
      <c r="B12" s="47" t="str">
        <f>INDEX('Adjusted Ageing by Customer'!$A$9:$A$200,MATCH(LARGE(('Adjusted Ageing by Customer'!$AD$9:$AD$200),$A12),'Adjusted Ageing by Customer'!$AD$9:$AD$200,0),1)</f>
        <v>Вайлдберриз ООО</v>
      </c>
      <c r="C12" s="47"/>
      <c r="D12" s="31">
        <v>5000</v>
      </c>
      <c r="E12" s="31">
        <f t="array" ref="E12">SUM(('Отчет по покупателям УТ'!$M$6:$M$4000=Sheet1!$B12)*('Отчет по покупателям УТ'!$A$6:$A$4000=Sheet1!E$4)*('Отчет по покупателям УТ'!$D$6:$D$4000&gt;Sheet1!$C$1)*('Отчет по покупателям УТ'!$D$6:$D$4000&lt;Sheet1!$C$2)*('Отчет по покупателям УТ'!$K$6:$K$4000))/1000</f>
        <v>0</v>
      </c>
      <c r="F12" s="36">
        <f t="array" ref="F12">SUM(('Adjusted Ageing by Customer'!$A$9:$A$200=Sheet1!$B12)*('Adjusted Ageing by Customer'!$AD$9:$AD$200))/1000</f>
        <v>13990.165919999999</v>
      </c>
      <c r="G12" s="31">
        <f t="array" ref="G12">SUM(('Отчет по покупателям УТ'!$M$6:$M$4000=Sheet1!$B12)*('Отчет по покупателям УТ'!$H$6:$H$4000&lt;&gt;"Advance")*('Отчет по покупателям УТ'!$G$6:$G$4000=Sheet1!G$9)*('Отчет по покупателям УТ'!$K$6:$K$4000))/1000</f>
        <v>0</v>
      </c>
      <c r="H12" s="31">
        <f t="array" ref="H12">SUM(('Отчет по покупателям УТ'!$M$6:$M$4000=Sheet1!$B12)*('Отчет по покупателям УТ'!$H$6:$H$4000&lt;&gt;"Advance")*('Отчет по покупателям УТ'!$G$6:$G$4000=Sheet1!H$9)*('Отчет по покупателям УТ'!$K$6:$K$4000))/1000</f>
        <v>6.8792299999999997</v>
      </c>
      <c r="I12" s="31">
        <f t="array" ref="I12">SUM(('Отчет по покупателям УТ'!$M$6:$M$4000=Sheet1!$B12)*('Отчет по покупателям УТ'!$H$6:$H$4000&lt;&gt;"Advance")*('Отчет по покупателям УТ'!$G$6:$G$4000=Sheet1!I$9)*('Отчет по покупателям УТ'!$K$6:$K$4000))/1000</f>
        <v>6.86</v>
      </c>
      <c r="J12" s="31">
        <f t="array" ref="J12">SUM(('Отчет по покупателям УТ'!$M$6:$M$4000=Sheet1!$B12)*('Отчет по покупателям УТ'!$H$6:$H$4000&lt;&gt;"Advance")*('Отчет по покупателям УТ'!$G$6:$G$4000=Sheet1!J$9)*('Отчет по покупателям УТ'!$K$6:$K$4000))/1000</f>
        <v>50.930500000000002</v>
      </c>
      <c r="K12" s="31">
        <f t="array" ref="K12">SUM(('Отчет по покупателям УТ'!$M$6:$M$4000=Sheet1!$B12)*('Отчет по покупателям УТ'!$H$6:$H$4000&lt;&gt;"Advance")*('Отчет по покупателям УТ'!$G$6:$G$4000=Sheet1!K$9)*('Отчет по покупателям УТ'!$K$6:$K$4000))/1000</f>
        <v>12.465999999999999</v>
      </c>
      <c r="L12" s="31">
        <f t="array" ref="L12">SUM(('Отчет по покупателям УТ'!$M$6:$M$4000=Sheet1!$B12)*('Отчет по покупателям УТ'!$H$6:$H$4000&lt;&gt;"Advance")*('Отчет по покупателям УТ'!$G$6:$G$4000=Sheet1!L$9)*('Отчет по покупателям УТ'!$K$6:$K$4000))/1000</f>
        <v>4247.3913200000006</v>
      </c>
      <c r="N12" s="31">
        <f t="array" ref="N12">SUM(('Отчет по покупателям УТ'!$M$6:$M$4000=Sheet1!$B12)*('Отчет по покупателям УТ'!$H$6:$H$4000="Advance")*('Отчет по покупателям УТ'!$K$6:$K$4000))/1000</f>
        <v>-8.8390000000000004</v>
      </c>
      <c r="O12" s="31">
        <f t="array" ref="O12">SUM(('Отчет по покупателям УТ'!$M$6:$M$4000=Sheet1!$B12)*('Отчет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4259.8573200000001</v>
      </c>
    </row>
    <row r="13" spans="1:15" x14ac:dyDescent="0.2">
      <c r="A13">
        <v>4</v>
      </c>
      <c r="B13" s="47" t="str">
        <f>INDEX('Adjusted Ageing by Customer'!$A$9:$A$200,MATCH(LARGE(('Adjusted Ageing by Customer'!$AD$9:$AD$200),$A13),'Adjusted Ageing by Customer'!$AD$9:$AD$200,0),1)</f>
        <v>ИП Щербакова Полина Леонидовна</v>
      </c>
      <c r="F13" s="36">
        <f t="array" ref="F13">SUM(('Adjusted Ageing by Customer'!$A$9:$A$200=Sheet1!$B13)*('Adjusted Ageing by Customer'!$AD$9:$AD$200))/1000</f>
        <v>5949.6815600000009</v>
      </c>
      <c r="G13" s="31">
        <f t="array" ref="G13">SUM(('Отчет по покупателям УТ'!$M$6:$M$4000=Sheet1!$B13)*('Отчет по покупателям УТ'!$H$6:$H$4000&lt;&gt;"Advance")*('Отчет по покупателям УТ'!$G$6:$G$4000=Sheet1!G$9)*('Отчет по покупателям УТ'!$K$6:$K$4000))/1000</f>
        <v>0</v>
      </c>
      <c r="H13" s="31">
        <f t="array" ref="H13">SUM(('Отчет по покупателям УТ'!$M$6:$M$4000=Sheet1!$B13)*('Отчет по покупателям УТ'!$H$6:$H$4000&lt;&gt;"Advance")*('Отчет по покупателям УТ'!$G$6:$G$4000=Sheet1!H$9)*('Отчет по покупателям УТ'!$K$6:$K$4000))/1000</f>
        <v>0</v>
      </c>
      <c r="I13" s="31">
        <f t="array" ref="I13">SUM(('Отчет по покупателям УТ'!$M$6:$M$4000=Sheet1!$B13)*('Отчет по покупателям УТ'!$H$6:$H$4000&lt;&gt;"Advance")*('Отчет по покупателям УТ'!$G$6:$G$4000=Sheet1!I$9)*('Отчет по покупателям УТ'!$K$6:$K$4000))/1000</f>
        <v>0</v>
      </c>
      <c r="J13" s="31">
        <f t="array" ref="J13">SUM(('Отчет по покупателям УТ'!$M$6:$M$4000=Sheet1!$B13)*('Отчет по покупателям УТ'!$H$6:$H$4000&lt;&gt;"Advance")*('Отчет по покупателям УТ'!$G$6:$G$4000=Sheet1!J$9)*('Отчет по покупателям УТ'!$K$6:$K$4000))/1000</f>
        <v>0</v>
      </c>
      <c r="K13" s="31">
        <f t="array" ref="K13">SUM(('Отчет по покупателям УТ'!$M$6:$M$4000=Sheet1!$B13)*('Отчет по покупателям УТ'!$H$6:$H$4000&lt;&gt;"Advance")*('Отчет по покупателям УТ'!$G$6:$G$4000=Sheet1!K$9)*('Отчет по покупателям УТ'!$K$6:$K$4000))/1000</f>
        <v>0</v>
      </c>
      <c r="L13" s="31">
        <f t="array" ref="L13">SUM(('Отчет по покупателям УТ'!$M$6:$M$4000=Sheet1!$B13)*('Отчет по покупателям УТ'!$H$6:$H$4000&lt;&gt;"Advance")*('Отчет по покупателям УТ'!$G$6:$G$4000=Sheet1!L$9)*('Отчет по покупателям УТ'!$K$6:$K$4000))/1000</f>
        <v>0</v>
      </c>
      <c r="N13" s="31">
        <f t="array" ref="N13">SUM(('Отчет по покупателям УТ'!$M$6:$M$4000=Sheet1!$B13)*('Отчет по покупателям УТ'!$H$6:$H$4000="Advance")*('Отчет по покупателям УТ'!$K$6:$K$4000))/1000</f>
        <v>0</v>
      </c>
      <c r="O13" s="31">
        <f t="array" ref="O13">SUM(('Отчет по покупателям УТ'!$M$6:$M$4000=Sheet1!$B13)*('Отчет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14" spans="1:15" x14ac:dyDescent="0.2">
      <c r="A14">
        <v>5</v>
      </c>
      <c r="B14" s="47" t="str">
        <f>INDEX('Adjusted Ageing by Customer'!$A$9:$A$200,MATCH(LARGE(('Adjusted Ageing by Customer'!$AD$9:$AD$200),$A14),'Adjusted Ageing by Customer'!$AD$9:$AD$200,0),1)</f>
        <v>Торговый дом ЦУМ ОАО</v>
      </c>
      <c r="F14" s="36">
        <f t="array" ref="F14">SUM(('Adjusted Ageing by Customer'!$A$9:$A$200=Sheet1!$B14)*('Adjusted Ageing by Customer'!$AD$9:$AD$200))/1000</f>
        <v>5024.2079899999999</v>
      </c>
      <c r="G14" s="31">
        <f t="array" ref="G14">SUM(('Отчет по покупателям УТ'!$M$6:$M$4000=Sheet1!$B14)*('Отчет по покупателям УТ'!$H$6:$H$4000&lt;&gt;"Advance")*('Отчет по покупателям УТ'!$G$6:$G$4000=Sheet1!G$9)*('Отчет по покупателям УТ'!$K$6:$K$4000))/1000</f>
        <v>0</v>
      </c>
      <c r="H14" s="31">
        <f t="array" ref="H14">SUM(('Отчет по покупателям УТ'!$M$6:$M$4000=Sheet1!$B14)*('Отчет по покупателям УТ'!$H$6:$H$4000&lt;&gt;"Advance")*('Отчет по покупателям УТ'!$G$6:$G$4000=Sheet1!H$9)*('Отчет по покупателям УТ'!$K$6:$K$4000))/1000</f>
        <v>0</v>
      </c>
      <c r="I14" s="31">
        <f t="array" ref="I14">SUM(('Отчет по покупателям УТ'!$M$6:$M$4000=Sheet1!$B14)*('Отчет по покупателям УТ'!$H$6:$H$4000&lt;&gt;"Advance")*('Отчет по покупателям УТ'!$G$6:$G$4000=Sheet1!I$9)*('Отчет по покупателям УТ'!$K$6:$K$4000))/1000</f>
        <v>0</v>
      </c>
      <c r="J14" s="31">
        <f t="array" ref="J14">SUM(('Отчет по покупателям УТ'!$M$6:$M$4000=Sheet1!$B14)*('Отчет по покупателям УТ'!$H$6:$H$4000&lt;&gt;"Advance")*('Отчет по покупателям УТ'!$G$6:$G$4000=Sheet1!J$9)*('Отчет по покупателям УТ'!$K$6:$K$4000))/1000</f>
        <v>0</v>
      </c>
      <c r="K14" s="31">
        <f t="array" ref="K14">SUM(('Отчет по покупателям УТ'!$M$6:$M$4000=Sheet1!$B14)*('Отчет по покупателям УТ'!$H$6:$H$4000&lt;&gt;"Advance")*('Отчет по покупателям УТ'!$G$6:$G$4000=Sheet1!K$9)*('Отчет по покупателям УТ'!$K$6:$K$4000))/1000</f>
        <v>0</v>
      </c>
      <c r="L14" s="31">
        <f t="array" ref="L14">SUM(('Отчет по покупателям УТ'!$M$6:$M$4000=Sheet1!$B14)*('Отчет по покупателям УТ'!$H$6:$H$4000&lt;&gt;"Advance")*('Отчет по покупателям УТ'!$G$6:$G$4000=Sheet1!L$9)*('Отчет по покупателям УТ'!$K$6:$K$4000))/1000</f>
        <v>0</v>
      </c>
      <c r="N14" s="31">
        <f t="array" ref="N14">SUM(('Отчет по покупателям УТ'!$M$6:$M$4000=Sheet1!$B14)*('Отчет по покупателям УТ'!$H$6:$H$4000="Advance")*('Отчет по покупателям УТ'!$K$6:$K$4000))/1000</f>
        <v>-1.0000000000000001E-5</v>
      </c>
      <c r="O14" s="31">
        <f t="array" ref="O14">SUM(('Отчет по покупателям УТ'!$M$6:$M$4000=Sheet1!$B14)*('Отчет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15" spans="1:15" x14ac:dyDescent="0.2">
      <c r="A15">
        <v>6</v>
      </c>
      <c r="B15" s="47" t="str">
        <f>INDEX('Adjusted Ageing by Customer'!$A$9:$A$200,MATCH(LARGE(('Adjusted Ageing by Customer'!$AD$9:$AD$200),$A15),'Adjusted Ageing by Customer'!$AD$9:$AD$200,0),1)</f>
        <v>СТОКМАНН АО</v>
      </c>
      <c r="C15" s="47"/>
      <c r="D15" s="47"/>
      <c r="F15" s="36">
        <f t="array" ref="F15">SUM(('Adjusted Ageing by Customer'!$A$9:$A$200=Sheet1!$B15)*('Adjusted Ageing by Customer'!$AD$9:$AD$200))/1000</f>
        <v>3353.3679999999999</v>
      </c>
      <c r="G15" s="31">
        <f t="array" ref="G15">SUM(('Отчет по покупателям УТ'!$M$6:$M$4000=Sheet1!$B15)*('Отчет по покупателям УТ'!$H$6:$H$4000&lt;&gt;"Advance")*('Отчет по покупателям УТ'!$G$6:$G$4000=Sheet1!G$9)*('Отчет по покупателям УТ'!$K$6:$K$4000))/1000</f>
        <v>0</v>
      </c>
      <c r="H15" s="31">
        <f t="array" ref="H15">SUM(('Отчет по покупателям УТ'!$M$6:$M$4000=Sheet1!$B15)*('Отчет по покупателям УТ'!$H$6:$H$4000&lt;&gt;"Advance")*('Отчет по покупателям УТ'!$G$6:$G$4000=Sheet1!H$9)*('Отчет по покупателям УТ'!$K$6:$K$4000))/1000</f>
        <v>0</v>
      </c>
      <c r="I15" s="31">
        <f t="array" ref="I15">SUM(('Отчет по покупателям УТ'!$M$6:$M$4000=Sheet1!$B15)*('Отчет по покупателям УТ'!$H$6:$H$4000&lt;&gt;"Advance")*('Отчет по покупателям УТ'!$G$6:$G$4000=Sheet1!I$9)*('Отчет по покупателям УТ'!$K$6:$K$4000))/1000</f>
        <v>0</v>
      </c>
      <c r="J15" s="31">
        <f t="array" ref="J15">SUM(('Отчет по покупателям УТ'!$M$6:$M$4000=Sheet1!$B15)*('Отчет по покупателям УТ'!$H$6:$H$4000&lt;&gt;"Advance")*('Отчет по покупателям УТ'!$G$6:$G$4000=Sheet1!J$9)*('Отчет по покупателям УТ'!$K$6:$K$4000))/1000</f>
        <v>0</v>
      </c>
      <c r="K15" s="31">
        <f t="array" ref="K15">SUM(('Отчет по покупателям УТ'!$M$6:$M$4000=Sheet1!$B15)*('Отчет по покупателям УТ'!$H$6:$H$4000&lt;&gt;"Advance")*('Отчет по покупателям УТ'!$G$6:$G$4000=Sheet1!K$9)*('Отчет по покупателям УТ'!$K$6:$K$4000))/1000</f>
        <v>0</v>
      </c>
      <c r="L15" s="31">
        <f t="array" ref="L15">SUM(('Отчет по покупателям УТ'!$M$6:$M$4000=Sheet1!$B15)*('Отчет по покупателям УТ'!$H$6:$H$4000&lt;&gt;"Advance")*('Отчет по покупателям УТ'!$G$6:$G$4000=Sheet1!L$9)*('Отчет по покупателям УТ'!$K$6:$K$4000))/1000</f>
        <v>0</v>
      </c>
      <c r="N15" s="31">
        <f t="array" ref="N15">SUM(('Отчет по покупателям УТ'!$M$6:$M$4000=Sheet1!$B15)*('Отчет по покупателям УТ'!$H$6:$H$4000="Advance")*('Отчет по покупателям УТ'!$K$6:$K$4000))/1000</f>
        <v>-30.096</v>
      </c>
      <c r="O15" s="31">
        <f t="array" ref="O15">SUM(('Отчет по покупателям УТ'!$M$6:$M$4000=Sheet1!$B15)*('Отчет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16" spans="1:15" x14ac:dyDescent="0.2">
      <c r="A16">
        <v>7</v>
      </c>
      <c r="B16" s="47" t="str">
        <f>INDEX('Adjusted Ageing by Customer'!$A$9:$A$200,MATCH(LARGE(('Adjusted Ageing by Customer'!$AD$9:$AD$200),$A16),'Adjusted Ageing by Customer'!$AD$9:$AD$200,0),1)</f>
        <v>Приват Трэйд ООО</v>
      </c>
      <c r="F16" s="36">
        <f t="array" ref="F16">SUM(('Adjusted Ageing by Customer'!$A$9:$A$200=Sheet1!$B16)*('Adjusted Ageing by Customer'!$AD$9:$AD$200))/1000</f>
        <v>1970.5913799999998</v>
      </c>
      <c r="G16" s="31">
        <f t="array" ref="G16">SUM(('Отчет по покупателям УТ'!$M$6:$M$4000=Sheet1!$B16)*('Отчет по покупателям УТ'!$H$6:$H$4000&lt;&gt;"Advance")*('Отчет по покупателям УТ'!$G$6:$G$4000=Sheet1!G$9)*('Отчет по покупателям УТ'!$K$6:$K$4000))/1000</f>
        <v>0</v>
      </c>
      <c r="H16" s="31">
        <f t="array" ref="H16">SUM(('Отчет по покупателям УТ'!$M$6:$M$4000=Sheet1!$B16)*('Отчет по покупателям УТ'!$H$6:$H$4000&lt;&gt;"Advance")*('Отчет по покупателям УТ'!$G$6:$G$4000=Sheet1!H$9)*('Отчет по покупателям УТ'!$K$6:$K$4000))/1000</f>
        <v>0</v>
      </c>
      <c r="I16" s="31">
        <f t="array" ref="I16">SUM(('Отчет по покупателям УТ'!$M$6:$M$4000=Sheet1!$B16)*('Отчет по покупателям УТ'!$H$6:$H$4000&lt;&gt;"Advance")*('Отчет по покупателям УТ'!$G$6:$G$4000=Sheet1!I$9)*('Отчет по покупателям УТ'!$K$6:$K$4000))/1000</f>
        <v>0</v>
      </c>
      <c r="J16" s="31">
        <f t="array" ref="J16">SUM(('Отчет по покупателям УТ'!$M$6:$M$4000=Sheet1!$B16)*('Отчет по покупателям УТ'!$H$6:$H$4000&lt;&gt;"Advance")*('Отчет по покупателям УТ'!$G$6:$G$4000=Sheet1!J$9)*('Отчет по покупателям УТ'!$K$6:$K$4000))/1000</f>
        <v>788.64941999999996</v>
      </c>
      <c r="K16" s="31">
        <f t="array" ref="K16">SUM(('Отчет по покупателям УТ'!$M$6:$M$4000=Sheet1!$B16)*('Отчет по покупателям УТ'!$H$6:$H$4000&lt;&gt;"Advance")*('Отчет по покупателям УТ'!$G$6:$G$4000=Sheet1!K$9)*('Отчет по покупателям УТ'!$K$6:$K$4000))/1000</f>
        <v>167.93996000000001</v>
      </c>
      <c r="L16" s="31">
        <f t="array" ref="L16">SUM(('Отчет по покупателям УТ'!$M$6:$M$4000=Sheet1!$B16)*('Отчет по покупателям УТ'!$H$6:$H$4000&lt;&gt;"Advance")*('Отчет по покупателям УТ'!$G$6:$G$4000=Sheet1!L$9)*('Отчет по покупателям УТ'!$K$6:$K$4000))/1000</f>
        <v>2.8199099999999997</v>
      </c>
      <c r="N16" s="31">
        <f t="array" ref="N16">SUM(('Отчет по покупателям УТ'!$M$6:$M$4000=Sheet1!$B16)*('Отчет по покупателям УТ'!$H$6:$H$4000="Advance")*('Отчет по покупателям УТ'!$K$6:$K$4000))/1000</f>
        <v>0</v>
      </c>
      <c r="O16" s="31">
        <f t="array" ref="O16">SUM(('Отчет по покупателям УТ'!$M$6:$M$4000=Sheet1!$B16)*('Отчет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17" spans="1:15" x14ac:dyDescent="0.2">
      <c r="A17">
        <v>8</v>
      </c>
      <c r="B17" s="47" t="str">
        <f>INDEX('Adjusted Ageing by Customer'!$A$9:$A$200,MATCH(LARGE(('Adjusted Ageing by Customer'!$AD$9:$AD$200),$A17),'Adjusted Ageing by Customer'!$AD$9:$AD$200,0),1)</f>
        <v>Фолис Лтд ООО</v>
      </c>
      <c r="F17" s="36">
        <f t="array" ref="F17">SUM(('Adjusted Ageing by Customer'!$A$9:$A$200=Sheet1!$B17)*('Adjusted Ageing by Customer'!$AD$9:$AD$200))/1000</f>
        <v>826.06539999999995</v>
      </c>
      <c r="G17" s="31">
        <f t="array" ref="G17">SUM(('Отчет по покупателям УТ'!$M$6:$M$4000=Sheet1!$B17)*('Отчет по покупателям УТ'!$H$6:$H$4000&lt;&gt;"Advance")*('Отчет по покупателям УТ'!$G$6:$G$4000=Sheet1!G$9)*('Отчет по покупателям УТ'!$K$6:$K$4000))/1000</f>
        <v>0</v>
      </c>
      <c r="H17" s="31">
        <f t="array" ref="H17">SUM(('Отчет по покупателям УТ'!$M$6:$M$4000=Sheet1!$B17)*('Отчет по покупателям УТ'!$H$6:$H$4000&lt;&gt;"Advance")*('Отчет по покупателям УТ'!$G$6:$G$4000=Sheet1!H$9)*('Отчет по покупателям УТ'!$K$6:$K$4000))/1000</f>
        <v>0</v>
      </c>
      <c r="I17" s="31">
        <f t="array" ref="I17">SUM(('Отчет по покупателям УТ'!$M$6:$M$4000=Sheet1!$B17)*('Отчет по покупателям УТ'!$H$6:$H$4000&lt;&gt;"Advance")*('Отчет по покупателям УТ'!$G$6:$G$4000=Sheet1!I$9)*('Отчет по покупателям УТ'!$K$6:$K$4000))/1000</f>
        <v>0</v>
      </c>
      <c r="J17" s="31">
        <f t="array" ref="J17">SUM(('Отчет по покупателям УТ'!$M$6:$M$4000=Sheet1!$B17)*('Отчет по покупателям УТ'!$H$6:$H$4000&lt;&gt;"Advance")*('Отчет по покупателям УТ'!$G$6:$G$4000=Sheet1!J$9)*('Отчет по покупателям УТ'!$K$6:$K$4000))/1000</f>
        <v>0</v>
      </c>
      <c r="K17" s="31">
        <f t="array" ref="K17">SUM(('Отчет по покупателям УТ'!$M$6:$M$4000=Sheet1!$B17)*('Отчет по покупателям УТ'!$H$6:$H$4000&lt;&gt;"Advance")*('Отчет по покупателям УТ'!$G$6:$G$4000=Sheet1!K$9)*('Отчет по покупателям УТ'!$K$6:$K$4000))/1000</f>
        <v>0</v>
      </c>
      <c r="L17" s="31">
        <f t="array" ref="L17">SUM(('Отчет по покупателям УТ'!$M$6:$M$4000=Sheet1!$B17)*('Отчет по покупателям УТ'!$H$6:$H$4000&lt;&gt;"Advance")*('Отчет по покупателям УТ'!$G$6:$G$4000=Sheet1!L$9)*('Отчет по покупателям УТ'!$K$6:$K$4000))/1000</f>
        <v>0</v>
      </c>
      <c r="N17" s="31">
        <f t="array" ref="N17">SUM(('Отчет по покупателям УТ'!$M$6:$M$4000=Sheet1!$B17)*('Отчет по покупателям УТ'!$H$6:$H$4000="Advance")*('Отчет по покупателям УТ'!$K$6:$K$4000))/1000</f>
        <v>-544.28099999999995</v>
      </c>
      <c r="O17" s="31">
        <f t="array" ref="O17">SUM(('Отчет по покупателям УТ'!$M$6:$M$4000=Sheet1!$B17)*('Отчет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18" spans="1:15" x14ac:dyDescent="0.2">
      <c r="A18">
        <v>9</v>
      </c>
      <c r="B18" s="47" t="str">
        <f>INDEX('Adjusted Ageing by Customer'!$A$9:$A$200,MATCH(LARGE(('Adjusted Ageing by Customer'!$AD$9:$AD$200),$A18),'Adjusted Ageing by Customer'!$AD$9:$AD$200,0),1)</f>
        <v>Бренд Стрит ООО</v>
      </c>
      <c r="F18" s="36">
        <f t="array" ref="F18">SUM(('Adjusted Ageing by Customer'!$A$9:$A$200=Sheet1!$B18)*('Adjusted Ageing by Customer'!$AD$9:$AD$200))/1000</f>
        <v>811.65850999999986</v>
      </c>
      <c r="G18" s="31">
        <f t="array" ref="G18">SUM(('Отчет по покупателям УТ'!$M$6:$M$4000=Sheet1!$B18)*('Отчет по покупателям УТ'!$H$6:$H$4000&lt;&gt;"Advance")*('Отчет по покупателям УТ'!$G$6:$G$4000=Sheet1!G$9)*('Отчет по покупателям УТ'!$K$6:$K$4000))/1000</f>
        <v>0</v>
      </c>
      <c r="H18" s="31">
        <f t="array" ref="H18">SUM(('Отчет по покупателям УТ'!$M$6:$M$4000=Sheet1!$B18)*('Отчет по покупателям УТ'!$H$6:$H$4000&lt;&gt;"Advance")*('Отчет по покупателям УТ'!$G$6:$G$4000=Sheet1!H$9)*('Отчет по покупателям УТ'!$K$6:$K$4000))/1000</f>
        <v>0</v>
      </c>
      <c r="I18" s="31">
        <f t="array" ref="I18">SUM(('Отчет по покупателям УТ'!$M$6:$M$4000=Sheet1!$B18)*('Отчет по покупателям УТ'!$H$6:$H$4000&lt;&gt;"Advance")*('Отчет по покупателям УТ'!$G$6:$G$4000=Sheet1!I$9)*('Отчет по покупателям УТ'!$K$6:$K$4000))/1000</f>
        <v>560.15</v>
      </c>
      <c r="J18" s="31">
        <f t="array" ref="J18">SUM(('Отчет по покупателям УТ'!$M$6:$M$4000=Sheet1!$B18)*('Отчет по покупателям УТ'!$H$6:$H$4000&lt;&gt;"Advance")*('Отчет по покупателям УТ'!$G$6:$G$4000=Sheet1!J$9)*('Отчет по покупателям УТ'!$K$6:$K$4000))/1000</f>
        <v>420.96666999999997</v>
      </c>
      <c r="K18" s="31">
        <f t="array" ref="K18">SUM(('Отчет по покупателям УТ'!$M$6:$M$4000=Sheet1!$B18)*('Отчет по покупателям УТ'!$H$6:$H$4000&lt;&gt;"Advance")*('Отчет по покупателям УТ'!$G$6:$G$4000=Sheet1!K$9)*('Отчет по покупателям УТ'!$K$6:$K$4000))/1000</f>
        <v>0</v>
      </c>
      <c r="L18" s="31">
        <f t="array" ref="L18">SUM(('Отчет по покупателям УТ'!$M$6:$M$4000=Sheet1!$B18)*('Отчет по покупателям УТ'!$H$6:$H$4000&lt;&gt;"Advance")*('Отчет по покупателям УТ'!$G$6:$G$4000=Sheet1!L$9)*('Отчет по покупателям УТ'!$K$6:$K$4000))/1000</f>
        <v>0</v>
      </c>
      <c r="N18" s="31">
        <f t="array" ref="N18">SUM(('Отчет по покупателям УТ'!$M$6:$M$4000=Sheet1!$B18)*('Отчет по покупателям УТ'!$H$6:$H$4000="Advance")*('Отчет по покупателям УТ'!$K$6:$K$4000))/1000</f>
        <v>-169.45815999999999</v>
      </c>
      <c r="O18" s="31">
        <f t="array" ref="O18">SUM(('Отчет по покупателям УТ'!$M$6:$M$4000=Sheet1!$B18)*('Отчет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19" spans="1:15" x14ac:dyDescent="0.2">
      <c r="A19">
        <v>10</v>
      </c>
      <c r="B19" s="47" t="str">
        <f>INDEX('Adjusted Ageing by Customer'!$A$9:$A$200,MATCH(LARGE(('Adjusted Ageing by Customer'!$AD$9:$AD$200),$A19),'Adjusted Ageing by Customer'!$AD$9:$AD$200,0),1)</f>
        <v>ИП Марин Сергей Валериевич</v>
      </c>
      <c r="F19" s="36">
        <f t="array" ref="F19">SUM(('Adjusted Ageing by Customer'!$A$9:$A$200=Sheet1!$B19)*('Adjusted Ageing by Customer'!$AD$9:$AD$200))/1000</f>
        <v>598.25215000000003</v>
      </c>
      <c r="G19" s="31">
        <f t="array" ref="G19">SUM(('Отчет по покупателям УТ'!$M$6:$M$4000=Sheet1!$B19)*('Отчет по покупателям УТ'!$H$6:$H$4000&lt;&gt;"Advance")*('Отчет по покупателям УТ'!$G$6:$G$4000=Sheet1!G$9)*('Отчет по покупателям УТ'!$K$6:$K$4000))/1000</f>
        <v>0</v>
      </c>
      <c r="H19" s="31">
        <f t="array" ref="H19">SUM(('Отчет по покупателям УТ'!$M$6:$M$4000=Sheet1!$B19)*('Отчет по покупателям УТ'!$H$6:$H$4000&lt;&gt;"Advance")*('Отчет по покупателям УТ'!$G$6:$G$4000=Sheet1!H$9)*('Отчет по покупателям УТ'!$K$6:$K$4000))/1000</f>
        <v>0</v>
      </c>
      <c r="I19" s="31">
        <f t="array" ref="I19">SUM(('Отчет по покупателям УТ'!$M$6:$M$4000=Sheet1!$B19)*('Отчет по покупателям УТ'!$H$6:$H$4000&lt;&gt;"Advance")*('Отчет по покупателям УТ'!$G$6:$G$4000=Sheet1!I$9)*('Отчет по покупателям УТ'!$K$6:$K$4000))/1000</f>
        <v>0</v>
      </c>
      <c r="J19" s="31">
        <f t="array" ref="J19">SUM(('Отчет по покупателям УТ'!$M$6:$M$4000=Sheet1!$B19)*('Отчет по покупателям УТ'!$H$6:$H$4000&lt;&gt;"Advance")*('Отчет по покупателям УТ'!$G$6:$G$4000=Sheet1!J$9)*('Отчет по покупателям УТ'!$K$6:$K$4000))/1000</f>
        <v>0</v>
      </c>
      <c r="K19" s="31">
        <f t="array" ref="K19">SUM(('Отчет по покупателям УТ'!$M$6:$M$4000=Sheet1!$B19)*('Отчет по покупателям УТ'!$H$6:$H$4000&lt;&gt;"Advance")*('Отчет по покупателям УТ'!$G$6:$G$4000=Sheet1!K$9)*('Отчет по покупателям УТ'!$K$6:$K$4000))/1000</f>
        <v>0</v>
      </c>
      <c r="L19" s="31">
        <f t="array" ref="L19">SUM(('Отчет по покупателям УТ'!$M$6:$M$4000=Sheet1!$B19)*('Отчет по покупателям УТ'!$H$6:$H$4000&lt;&gt;"Advance")*('Отчет по покупателям УТ'!$G$6:$G$4000=Sheet1!L$9)*('Отчет по покупателям УТ'!$K$6:$K$4000))/1000</f>
        <v>0</v>
      </c>
      <c r="N19" s="31">
        <f t="array" ref="N19">SUM(('Отчет по покупателям УТ'!$M$6:$M$4000=Sheet1!$B19)*('Отчет по покупателям УТ'!$H$6:$H$4000="Advance")*('Отчет по покупателям УТ'!$K$6:$K$4000))/1000</f>
        <v>-342.27284999999995</v>
      </c>
      <c r="O19" s="31">
        <f t="array" ref="O19">SUM(('Отчет по покупателям УТ'!$M$6:$M$4000=Sheet1!$B19)*('Отчет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20" spans="1:15" x14ac:dyDescent="0.2">
      <c r="B20" s="47" t="s">
        <v>1017</v>
      </c>
      <c r="F20" s="36"/>
      <c r="G20" s="31"/>
      <c r="H20" s="31"/>
      <c r="I20" s="31"/>
      <c r="J20" s="31"/>
      <c r="K20" s="31"/>
      <c r="L20" s="31"/>
      <c r="N20" s="31"/>
      <c r="O20" s="31"/>
    </row>
    <row r="21" spans="1:15" x14ac:dyDescent="0.2">
      <c r="A21">
        <v>11</v>
      </c>
      <c r="B21" s="47" t="str">
        <f>INDEX('Adjusted Ageing by Customer'!$A$9:$A$200,MATCH(LARGE(('Adjusted Ageing by Customer'!$AD$9:$AD$200),$A21),'Adjusted Ageing by Customer'!$AD$9:$AD$200,0),1)</f>
        <v>ИП Харитонов Сергей Владимирович</v>
      </c>
      <c r="F21" s="36">
        <f t="array" ref="F21">SUM(('Adjusted Ageing by Customer'!$A$9:$A$200=Sheet1!$B21)*('Adjusted Ageing by Customer'!$AD$9:$AD$200))/1000</f>
        <v>85.942499999999995</v>
      </c>
      <c r="G21" s="31">
        <f t="array" ref="G21">SUM(('Отчет по покупателям УТ'!$M$6:$M$4000=Sheet1!$B21)*('Отчет по покупателям УТ'!$H$6:$H$4000&lt;&gt;"Advance")*('Отчет по покупателям УТ'!$G$6:$G$4000=Sheet1!G$9)*('Отчет по покупателям УТ'!$K$6:$K$4000))/1000</f>
        <v>0</v>
      </c>
      <c r="H21" s="31">
        <f t="array" ref="H21">SUM(('Отчет по покупателям УТ'!$M$6:$M$4000=Sheet1!$B21)*('Отчет по покупателям УТ'!$H$6:$H$4000&lt;&gt;"Advance")*('Отчет по покупателям УТ'!$G$6:$G$4000=Sheet1!H$9)*('Отчет по покупателям УТ'!$K$6:$K$4000))/1000</f>
        <v>0</v>
      </c>
      <c r="I21" s="31">
        <f t="array" ref="I21">SUM(('Отчет по покупателям УТ'!$M$6:$M$4000=Sheet1!$B21)*('Отчет по покупателям УТ'!$H$6:$H$4000&lt;&gt;"Advance")*('Отчет по покупателям УТ'!$G$6:$G$4000=Sheet1!I$9)*('Отчет по покупателям УТ'!$K$6:$K$4000))/1000</f>
        <v>0</v>
      </c>
      <c r="J21" s="31">
        <f t="array" ref="J21">SUM(('Отчет по покупателям УТ'!$M$6:$M$4000=Sheet1!$B21)*('Отчет по покупателям УТ'!$H$6:$H$4000&lt;&gt;"Advance")*('Отчет по покупателям УТ'!$G$6:$G$4000=Sheet1!J$9)*('Отчет по покупателям УТ'!$K$6:$K$4000))/1000</f>
        <v>0</v>
      </c>
      <c r="K21" s="31">
        <f t="array" ref="K21">SUM(('Отчет по покупателям УТ'!$M$6:$M$4000=Sheet1!$B21)*('Отчет по покупателям УТ'!$H$6:$H$4000&lt;&gt;"Advance")*('Отчет по покупателям УТ'!$G$6:$G$4000=Sheet1!K$9)*('Отчет по покупателям УТ'!$K$6:$K$4000))/1000</f>
        <v>0</v>
      </c>
      <c r="L21" s="31">
        <f t="array" ref="L21">SUM(('Отчет по покупателям УТ'!$M$6:$M$4000=Sheet1!$B21)*('Отчет по покупателям УТ'!$H$6:$H$4000&lt;&gt;"Advance")*('Отчет по покупателям УТ'!$G$6:$G$4000=Sheet1!L$9)*('Отчет по покупателям УТ'!$K$6:$K$4000))/1000</f>
        <v>0</v>
      </c>
      <c r="N21" s="31">
        <f t="array" ref="N21">SUM(('Отчет по покупателям УТ'!$M$6:$M$4000=Sheet1!$B21)*('Отчет по покупателям УТ'!$H$6:$H$4000="Advance")*('Отчет по покупателям УТ'!$K$6:$K$4000))/1000</f>
        <v>0</v>
      </c>
      <c r="O21" s="31">
        <f t="array" ref="O21">SUM(('Отчет по покупателям УТ'!$M$6:$M$4000=Sheet1!$B21)*('Отчет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22" spans="1:15" x14ac:dyDescent="0.2">
      <c r="A22">
        <v>12</v>
      </c>
      <c r="B22" s="47" t="str">
        <f>INDEX('Adjusted Ageing by Customer'!$A$9:$A$200,MATCH(LARGE(('Adjusted Ageing by Customer'!$AD$9:$AD$200),$A22),'Adjusted Ageing by Customer'!$AD$9:$AD$200,0),1)</f>
        <v>ОФФПРАЙС ООО</v>
      </c>
      <c r="F22" s="36">
        <f t="array" ref="F22">SUM(('Adjusted Ageing by Customer'!$A$9:$A$200=Sheet1!$B22)*('Adjusted Ageing by Customer'!$AD$9:$AD$200))/1000</f>
        <v>1.0000000000000001E-5</v>
      </c>
      <c r="G22" s="31">
        <f t="array" ref="G22">SUM(('Отчет по покупателям УТ'!$M$6:$M$4000=Sheet1!$B22)*('Отчет по покупателям УТ'!$H$6:$H$4000&lt;&gt;"Advance")*('Отчет по покупателям УТ'!$G$6:$G$4000=Sheet1!G$9)*('Отчет по покупателям УТ'!$K$6:$K$4000))/1000</f>
        <v>0</v>
      </c>
      <c r="H22" s="31">
        <f t="array" ref="H22">SUM(('Отчет по покупателям УТ'!$M$6:$M$4000=Sheet1!$B22)*('Отчет по покупателям УТ'!$H$6:$H$4000&lt;&gt;"Advance")*('Отчет по покупателям УТ'!$G$6:$G$4000=Sheet1!H$9)*('Отчет по покупателям УТ'!$K$6:$K$4000))/1000</f>
        <v>0</v>
      </c>
      <c r="I22" s="31">
        <f t="array" ref="I22">SUM(('Отчет по покупателям УТ'!$M$6:$M$4000=Sheet1!$B22)*('Отчет по покупателям УТ'!$H$6:$H$4000&lt;&gt;"Advance")*('Отчет по покупателям УТ'!$G$6:$G$4000=Sheet1!I$9)*('Отчет по покупателям УТ'!$K$6:$K$4000))/1000</f>
        <v>0</v>
      </c>
      <c r="J22" s="31">
        <f t="array" ref="J22">SUM(('Отчет по покупателям УТ'!$M$6:$M$4000=Sheet1!$B22)*('Отчет по покупателям УТ'!$H$6:$H$4000&lt;&gt;"Advance")*('Отчет по покупателям УТ'!$G$6:$G$4000=Sheet1!J$9)*('Отчет по покупателям УТ'!$K$6:$K$4000))/1000</f>
        <v>0</v>
      </c>
      <c r="K22" s="31">
        <f t="array" ref="K22">SUM(('Отчет по покупателям УТ'!$M$6:$M$4000=Sheet1!$B22)*('Отчет по покупателям УТ'!$H$6:$H$4000&lt;&gt;"Advance")*('Отчет по покупателям УТ'!$G$6:$G$4000=Sheet1!K$9)*('Отчет по покупателям УТ'!$K$6:$K$4000))/1000</f>
        <v>0</v>
      </c>
      <c r="L22" s="31">
        <f t="array" ref="L22">SUM(('Отчет по покупателям УТ'!$M$6:$M$4000=Sheet1!$B22)*('Отчет по покупателям УТ'!$H$6:$H$4000&lt;&gt;"Advance")*('Отчет по покупателям УТ'!$G$6:$G$4000=Sheet1!L$9)*('Отчет по покупателям УТ'!$K$6:$K$4000))/1000</f>
        <v>0</v>
      </c>
      <c r="N22" s="31">
        <f t="array" ref="N22">SUM(('Отчет по покупателям УТ'!$M$6:$M$4000=Sheet1!$B22)*('Отчет по покупателям УТ'!$H$6:$H$4000="Advance")*('Отчет по покупателям УТ'!$K$6:$K$4000))/1000</f>
        <v>0</v>
      </c>
      <c r="O22" s="31">
        <f t="array" ref="O22">SUM(('Отчет по покупателям УТ'!$M$6:$M$4000=Sheet1!$B22)*('Отчет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23" spans="1:15" x14ac:dyDescent="0.2">
      <c r="A23">
        <v>13</v>
      </c>
      <c r="B23" s="47" t="str">
        <f>INDEX('Adjusted Ageing by Customer'!$A$9:$A$200,MATCH(LARGE(('Adjusted Ageing by Customer'!$AD$9:$AD$200),$A23),'Adjusted Ageing by Customer'!$AD$9:$AD$200,0),1)</f>
        <v>АЛЬФА ООО</v>
      </c>
      <c r="F23" s="36">
        <f t="array" ref="F23">SUM(('Adjusted Ageing by Customer'!$A$9:$A$200=Sheet1!$B23)*('Adjusted Ageing by Customer'!$AD$9:$AD$200))/1000</f>
        <v>0</v>
      </c>
      <c r="G23" s="31">
        <f t="array" ref="G23">SUM(('Отчет по покупателям УТ'!$M$6:$M$4000=Sheet1!$B23)*('Отчет по покупателям УТ'!$H$6:$H$4000&lt;&gt;"Advance")*('Отчет по покупателям УТ'!$G$6:$G$4000=Sheet1!G$9)*('Отчет по покупателям УТ'!$K$6:$K$4000))/1000</f>
        <v>0</v>
      </c>
      <c r="H23" s="31">
        <f t="array" ref="H23">SUM(('Отчет по покупателям УТ'!$M$6:$M$4000=Sheet1!$B23)*('Отчет по покупателям УТ'!$H$6:$H$4000&lt;&gt;"Advance")*('Отчет по покупателям УТ'!$G$6:$G$4000=Sheet1!H$9)*('Отчет по покупателям УТ'!$K$6:$K$4000))/1000</f>
        <v>0</v>
      </c>
      <c r="I23" s="31">
        <f t="array" ref="I23">SUM(('Отчет по покупателям УТ'!$M$6:$M$4000=Sheet1!$B23)*('Отчет по покупателям УТ'!$H$6:$H$4000&lt;&gt;"Advance")*('Отчет по покупателям УТ'!$G$6:$G$4000=Sheet1!I$9)*('Отчет по покупателям УТ'!$K$6:$K$4000))/1000</f>
        <v>0</v>
      </c>
      <c r="J23" s="31">
        <f t="array" ref="J23">SUM(('Отчет по покупателям УТ'!$M$6:$M$4000=Sheet1!$B23)*('Отчет по покупателям УТ'!$H$6:$H$4000&lt;&gt;"Advance")*('Отчет по покупателям УТ'!$G$6:$G$4000=Sheet1!J$9)*('Отчет по покупателям УТ'!$K$6:$K$4000))/1000</f>
        <v>0</v>
      </c>
      <c r="K23" s="31">
        <f t="array" ref="K23">SUM(('Отчет по покупателям УТ'!$M$6:$M$4000=Sheet1!$B23)*('Отчет по покупателям УТ'!$H$6:$H$4000&lt;&gt;"Advance")*('Отчет по покупателям УТ'!$G$6:$G$4000=Sheet1!K$9)*('Отчет по покупателям УТ'!$K$6:$K$4000))/1000</f>
        <v>0</v>
      </c>
      <c r="L23" s="31">
        <f t="array" ref="L23">SUM(('Отчет по покупателям УТ'!$M$6:$M$4000=Sheet1!$B23)*('Отчет по покупателям УТ'!$H$6:$H$4000&lt;&gt;"Advance")*('Отчет по покупателям УТ'!$G$6:$G$4000=Sheet1!L$9)*('Отчет по покупателям УТ'!$K$6:$K$4000))/1000</f>
        <v>0</v>
      </c>
      <c r="N23" s="31">
        <f t="array" ref="N23">SUM(('Отчет по покупателям УТ'!$M$6:$M$4000=Sheet1!$B23)*('Отчет по покупателям УТ'!$H$6:$H$4000="Advance")*('Отчет по покупателям УТ'!$K$6:$K$4000))/1000</f>
        <v>-34.031999999999996</v>
      </c>
      <c r="O23" s="31">
        <f t="array" ref="O23">SUM(('Отчет по покупателям УТ'!$M$6:$M$4000=Sheet1!$B23)*('Отчет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24" spans="1:15" x14ac:dyDescent="0.2">
      <c r="A24">
        <v>14</v>
      </c>
      <c r="B24" s="47" t="str">
        <f>INDEX('Adjusted Ageing by Customer'!$A$9:$A$200,MATCH(LARGE(('Adjusted Ageing by Customer'!$AD$9:$AD$200),$A24),'Adjusted Ageing by Customer'!$AD$9:$AD$200,0),1)</f>
        <v>АЛЬФА ООО</v>
      </c>
      <c r="F24" s="36">
        <f t="array" ref="F24">SUM(('Adjusted Ageing by Customer'!$A$9:$A$200=Sheet1!$B24)*('Adjusted Ageing by Customer'!$AD$9:$AD$200))/1000</f>
        <v>0</v>
      </c>
      <c r="G24" s="31">
        <f t="array" ref="G24">SUM(('Отчет по покупателям УТ'!$M$6:$M$4000=Sheet1!$B24)*('Отчет по покупателям УТ'!$H$6:$H$4000&lt;&gt;"Advance")*('Отчет по покупателям УТ'!$G$6:$G$4000=Sheet1!G$9)*('Отчет по покупателям УТ'!$K$6:$K$4000))/1000</f>
        <v>0</v>
      </c>
      <c r="H24" s="31">
        <f t="array" ref="H24">SUM(('Отчет по покупателям УТ'!$M$6:$M$4000=Sheet1!$B24)*('Отчет по покупателям УТ'!$H$6:$H$4000&lt;&gt;"Advance")*('Отчет по покупателям УТ'!$G$6:$G$4000=Sheet1!H$9)*('Отчет по покупателям УТ'!$K$6:$K$4000))/1000</f>
        <v>0</v>
      </c>
      <c r="I24" s="31">
        <f t="array" ref="I24">SUM(('Отчет по покупателям УТ'!$M$6:$M$4000=Sheet1!$B24)*('Отчет по покупателям УТ'!$H$6:$H$4000&lt;&gt;"Advance")*('Отчет по покупателям УТ'!$G$6:$G$4000=Sheet1!I$9)*('Отчет по покупателям УТ'!$K$6:$K$4000))/1000</f>
        <v>0</v>
      </c>
      <c r="J24" s="31">
        <f t="array" ref="J24">SUM(('Отчет по покупателям УТ'!$M$6:$M$4000=Sheet1!$B24)*('Отчет по покупателям УТ'!$H$6:$H$4000&lt;&gt;"Advance")*('Отчет по покупателям УТ'!$G$6:$G$4000=Sheet1!J$9)*('Отчет по покупателям УТ'!$K$6:$K$4000))/1000</f>
        <v>0</v>
      </c>
      <c r="K24" s="31">
        <f t="array" ref="K24">SUM(('Отчет по покупателям УТ'!$M$6:$M$4000=Sheet1!$B24)*('Отчет по покупателям УТ'!$H$6:$H$4000&lt;&gt;"Advance")*('Отчет по покупателям УТ'!$G$6:$G$4000=Sheet1!K$9)*('Отчет по покупателям УТ'!$K$6:$K$4000))/1000</f>
        <v>0</v>
      </c>
      <c r="L24" s="31">
        <f t="array" ref="L24">SUM(('Отчет по покупателям УТ'!$M$6:$M$4000=Sheet1!$B24)*('Отчет по покупателям УТ'!$H$6:$H$4000&lt;&gt;"Advance")*('Отчет по покупателям УТ'!$G$6:$G$4000=Sheet1!L$9)*('Отчет по покупателям УТ'!$K$6:$K$4000))/1000</f>
        <v>0</v>
      </c>
      <c r="N24" s="31">
        <f t="array" ref="N24">SUM(('Отчет по покупателям УТ'!$M$6:$M$4000=Sheet1!$B24)*('Отчет по покупателям УТ'!$H$6:$H$4000="Advance")*('Отчет по покупателям УТ'!$K$6:$K$4000))/1000</f>
        <v>-34.031999999999996</v>
      </c>
      <c r="O24" s="31">
        <f t="array" ref="O24">SUM(('Отчет по покупателям УТ'!$M$6:$M$4000=Sheet1!$B24)*('Отчет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25" spans="1:15" x14ac:dyDescent="0.2">
      <c r="A25">
        <v>15</v>
      </c>
      <c r="B25" s="47" t="str">
        <f>INDEX('Adjusted Ageing by Customer'!$A$9:$A$200,MATCH(LARGE(('Adjusted Ageing by Customer'!$AD$9:$AD$200),$A25),'Adjusted Ageing by Customer'!$AD$9:$AD$200,0),1)</f>
        <v>АЛЬФА ООО</v>
      </c>
      <c r="F25" s="36">
        <f t="array" ref="F25">SUM(('Adjusted Ageing by Customer'!$A$9:$A$200=Sheet1!$B25)*('Adjusted Ageing by Customer'!$AD$9:$AD$200))/1000</f>
        <v>0</v>
      </c>
      <c r="G25" s="31">
        <f t="array" ref="G25">SUM(('Отчет по покупателям УТ'!$M$6:$M$4000=Sheet1!$B25)*('Отчет по покупателям УТ'!$H$6:$H$4000&lt;&gt;"Advance")*('Отчет по покупателям УТ'!$G$6:$G$4000=Sheet1!G$9)*('Отчет по покупателям УТ'!$K$6:$K$4000))/1000</f>
        <v>0</v>
      </c>
      <c r="H25" s="31">
        <f t="array" ref="H25">SUM(('Отчет по покупателям УТ'!$M$6:$M$4000=Sheet1!$B25)*('Отчет по покупателям УТ'!$H$6:$H$4000&lt;&gt;"Advance")*('Отчет по покупателям УТ'!$G$6:$G$4000=Sheet1!H$9)*('Отчет по покупателям УТ'!$K$6:$K$4000))/1000</f>
        <v>0</v>
      </c>
      <c r="I25" s="31">
        <f t="array" ref="I25">SUM(('Отчет по покупателям УТ'!$M$6:$M$4000=Sheet1!$B25)*('Отчет по покупателям УТ'!$H$6:$H$4000&lt;&gt;"Advance")*('Отчет по покупателям УТ'!$G$6:$G$4000=Sheet1!I$9)*('Отчет по покупателям УТ'!$K$6:$K$4000))/1000</f>
        <v>0</v>
      </c>
      <c r="J25" s="31">
        <f t="array" ref="J25">SUM(('Отчет по покупателям УТ'!$M$6:$M$4000=Sheet1!$B25)*('Отчет по покупателям УТ'!$H$6:$H$4000&lt;&gt;"Advance")*('Отчет по покупателям УТ'!$G$6:$G$4000=Sheet1!J$9)*('Отчет по покупателям УТ'!$K$6:$K$4000))/1000</f>
        <v>0</v>
      </c>
      <c r="K25" s="31">
        <f t="array" ref="K25">SUM(('Отчет по покупателям УТ'!$M$6:$M$4000=Sheet1!$B25)*('Отчет по покупателям УТ'!$H$6:$H$4000&lt;&gt;"Advance")*('Отчет по покупателям УТ'!$G$6:$G$4000=Sheet1!K$9)*('Отчет по покупателям УТ'!$K$6:$K$4000))/1000</f>
        <v>0</v>
      </c>
      <c r="L25" s="31">
        <f t="array" ref="L25">SUM(('Отчет по покупателям УТ'!$M$6:$M$4000=Sheet1!$B25)*('Отчет по покупателям УТ'!$H$6:$H$4000&lt;&gt;"Advance")*('Отчет по покупателям УТ'!$G$6:$G$4000=Sheet1!L$9)*('Отчет по покупателям УТ'!$K$6:$K$4000))/1000</f>
        <v>0</v>
      </c>
      <c r="N25" s="31">
        <f t="array" ref="N25">SUM(('Отчет по покупателям УТ'!$M$6:$M$4000=Sheet1!$B25)*('Отчет по покупателям УТ'!$H$6:$H$4000="Advance")*('Отчет по покупателям УТ'!$K$6:$K$4000))/1000</f>
        <v>-34.031999999999996</v>
      </c>
      <c r="O25" s="31">
        <f t="array" ref="O25">SUM(('Отчет по покупателям УТ'!$M$6:$M$4000=Sheet1!$B25)*('Отчет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26" spans="1:15" x14ac:dyDescent="0.2">
      <c r="A26">
        <v>16</v>
      </c>
      <c r="B26" s="47" t="str">
        <f>INDEX('Adjusted Ageing by Customer'!$A$9:$A$200,MATCH(LARGE(('Adjusted Ageing by Customer'!$AD$9:$AD$200),$A26),'Adjusted Ageing by Customer'!$AD$9:$AD$200,0),1)</f>
        <v>АЛЬФА ООО</v>
      </c>
      <c r="F26" s="36">
        <f t="array" ref="F26">SUM(('Adjusted Ageing by Customer'!$A$9:$A$200=Sheet1!$B26)*('Adjusted Ageing by Customer'!$AD$9:$AD$200))/1000</f>
        <v>0</v>
      </c>
      <c r="G26" s="31">
        <f t="array" ref="G26">SUM(('Отчет по покупателям УТ'!$M$6:$M$4000=Sheet1!$B26)*('Отчет по покупателям УТ'!$H$6:$H$4000&lt;&gt;"Advance")*('Отчет по покупателям УТ'!$G$6:$G$4000=Sheet1!G$9)*('Отчет по покупателям УТ'!$K$6:$K$4000))/1000</f>
        <v>0</v>
      </c>
      <c r="H26" s="31">
        <f t="array" ref="H26">SUM(('Отчет по покупателям УТ'!$M$6:$M$4000=Sheet1!$B26)*('Отчет по покупателям УТ'!$H$6:$H$4000&lt;&gt;"Advance")*('Отчет по покупателям УТ'!$G$6:$G$4000=Sheet1!H$9)*('Отчет по покупателям УТ'!$K$6:$K$4000))/1000</f>
        <v>0</v>
      </c>
      <c r="I26" s="31">
        <f t="array" ref="I26">SUM(('Отчет по покупателям УТ'!$M$6:$M$4000=Sheet1!$B26)*('Отчет по покупателям УТ'!$H$6:$H$4000&lt;&gt;"Advance")*('Отчет по покупателям УТ'!$G$6:$G$4000=Sheet1!I$9)*('Отчет по покупателям УТ'!$K$6:$K$4000))/1000</f>
        <v>0</v>
      </c>
      <c r="J26" s="31">
        <f t="array" ref="J26">SUM(('Отчет по покупателям УТ'!$M$6:$M$4000=Sheet1!$B26)*('Отчет по покупателям УТ'!$H$6:$H$4000&lt;&gt;"Advance")*('Отчет по покупателям УТ'!$G$6:$G$4000=Sheet1!J$9)*('Отчет по покупателям УТ'!$K$6:$K$4000))/1000</f>
        <v>0</v>
      </c>
      <c r="K26" s="31">
        <f t="array" ref="K26">SUM(('Отчет по покупателям УТ'!$M$6:$M$4000=Sheet1!$B26)*('Отчет по покупателям УТ'!$H$6:$H$4000&lt;&gt;"Advance")*('Отчет по покупателям УТ'!$G$6:$G$4000=Sheet1!K$9)*('Отчет по покупателям УТ'!$K$6:$K$4000))/1000</f>
        <v>0</v>
      </c>
      <c r="L26" s="31">
        <f t="array" ref="L26">SUM(('Отчет по покупателям УТ'!$M$6:$M$4000=Sheet1!$B26)*('Отчет по покупателям УТ'!$H$6:$H$4000&lt;&gt;"Advance")*('Отчет по покупателям УТ'!$G$6:$G$4000=Sheet1!L$9)*('Отчет по покупателям УТ'!$K$6:$K$4000))/1000</f>
        <v>0</v>
      </c>
      <c r="N26" s="31">
        <f t="array" ref="N26">SUM(('Отчет по покупателям УТ'!$M$6:$M$4000=Sheet1!$B26)*('Отчет по покупателям УТ'!$H$6:$H$4000="Advance")*('Отчет по покупателям УТ'!$K$6:$K$4000))/1000</f>
        <v>-34.031999999999996</v>
      </c>
      <c r="O26" s="31">
        <f t="array" ref="O26">SUM(('Отчет по покупателям УТ'!$M$6:$M$4000=Sheet1!$B26)*('Отчет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27" spans="1:15" x14ac:dyDescent="0.2">
      <c r="A27">
        <v>17</v>
      </c>
      <c r="B27" s="47" t="str">
        <f>INDEX('Adjusted Ageing by Customer'!$A$9:$A$200,MATCH(LARGE(('Adjusted Ageing by Customer'!$AD$9:$AD$200),$A27),'Adjusted Ageing by Customer'!$AD$9:$AD$200,0),1)</f>
        <v>АЛЬФА ООО</v>
      </c>
      <c r="F27" s="36">
        <f t="array" ref="F27">SUM(('Adjusted Ageing by Customer'!$A$9:$A$200=Sheet1!$B27)*('Adjusted Ageing by Customer'!$AD$9:$AD$200))/1000</f>
        <v>0</v>
      </c>
      <c r="G27" s="31">
        <f t="array" ref="G27">SUM(('Отчет по покупателям УТ'!$M$6:$M$4000=Sheet1!$B27)*('Отчет по покупателям УТ'!$H$6:$H$4000&lt;&gt;"Advance")*('Отчет по покупателям УТ'!$G$6:$G$4000=Sheet1!G$9)*('Отчет по покупателям УТ'!$K$6:$K$4000))/1000</f>
        <v>0</v>
      </c>
      <c r="H27" s="31">
        <f t="array" ref="H27">SUM(('Отчет по покупателям УТ'!$M$6:$M$4000=Sheet1!$B27)*('Отчет по покупателям УТ'!$H$6:$H$4000&lt;&gt;"Advance")*('Отчет по покупателям УТ'!$G$6:$G$4000=Sheet1!H$9)*('Отчет по покупателям УТ'!$K$6:$K$4000))/1000</f>
        <v>0</v>
      </c>
      <c r="I27" s="31">
        <f t="array" ref="I27">SUM(('Отчет по покупателям УТ'!$M$6:$M$4000=Sheet1!$B27)*('Отчет по покупателям УТ'!$H$6:$H$4000&lt;&gt;"Advance")*('Отчет по покупателям УТ'!$G$6:$G$4000=Sheet1!I$9)*('Отчет по покупателям УТ'!$K$6:$K$4000))/1000</f>
        <v>0</v>
      </c>
      <c r="J27" s="31">
        <f t="array" ref="J27">SUM(('Отчет по покупателям УТ'!$M$6:$M$4000=Sheet1!$B27)*('Отчет по покупателям УТ'!$H$6:$H$4000&lt;&gt;"Advance")*('Отчет по покупателям УТ'!$G$6:$G$4000=Sheet1!J$9)*('Отчет по покупателям УТ'!$K$6:$K$4000))/1000</f>
        <v>0</v>
      </c>
      <c r="K27" s="31">
        <f t="array" ref="K27">SUM(('Отчет по покупателям УТ'!$M$6:$M$4000=Sheet1!$B27)*('Отчет по покупателям УТ'!$H$6:$H$4000&lt;&gt;"Advance")*('Отчет по покупателям УТ'!$G$6:$G$4000=Sheet1!K$9)*('Отчет по покупателям УТ'!$K$6:$K$4000))/1000</f>
        <v>0</v>
      </c>
      <c r="L27" s="31">
        <f t="array" ref="L27">SUM(('Отчет по покупателям УТ'!$M$6:$M$4000=Sheet1!$B27)*('Отчет по покупателям УТ'!$H$6:$H$4000&lt;&gt;"Advance")*('Отчет по покупателям УТ'!$G$6:$G$4000=Sheet1!L$9)*('Отчет по покупателям УТ'!$K$6:$K$4000))/1000</f>
        <v>0</v>
      </c>
      <c r="N27" s="31">
        <f t="array" ref="N27">SUM(('Отчет по покупателям УТ'!$M$6:$M$4000=Sheet1!$B27)*('Отчет по покупателям УТ'!$H$6:$H$4000="Advance")*('Отчет по покупателям УТ'!$K$6:$K$4000))/1000</f>
        <v>-34.031999999999996</v>
      </c>
      <c r="O27" s="31">
        <f t="array" ref="O27">SUM(('Отчет по покупателям УТ'!$M$6:$M$4000=Sheet1!$B27)*('Отчет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28" spans="1:15" x14ac:dyDescent="0.2">
      <c r="A28">
        <v>18</v>
      </c>
      <c r="B28" s="47" t="str">
        <f>INDEX('Adjusted Ageing by Customer'!$A$9:$A$200,MATCH(LARGE(('Adjusted Ageing by Customer'!$AD$9:$AD$200),$A28),'Adjusted Ageing by Customer'!$AD$9:$AD$200,0),1)</f>
        <v>АЛЬФА ООО</v>
      </c>
      <c r="F28" s="36">
        <f t="array" ref="F28">SUM(('Adjusted Ageing by Customer'!$A$9:$A$200=Sheet1!$B28)*('Adjusted Ageing by Customer'!$AD$9:$AD$200))/1000</f>
        <v>0</v>
      </c>
      <c r="G28" s="31">
        <f t="array" ref="G28">SUM(('Отчет по покупателям УТ'!$M$6:$M$4000=Sheet1!$B28)*('Отчет по покупателям УТ'!$H$6:$H$4000&lt;&gt;"Advance")*('Отчет по покупателям УТ'!$G$6:$G$4000=Sheet1!G$9)*('Отчет по покупателям УТ'!$K$6:$K$4000))/1000</f>
        <v>0</v>
      </c>
      <c r="H28" s="31">
        <f t="array" ref="H28">SUM(('Отчет по покупателям УТ'!$M$6:$M$4000=Sheet1!$B28)*('Отчет по покупателям УТ'!$H$6:$H$4000&lt;&gt;"Advance")*('Отчет по покупателям УТ'!$G$6:$G$4000=Sheet1!H$9)*('Отчет по покупателям УТ'!$K$6:$K$4000))/1000</f>
        <v>0</v>
      </c>
      <c r="I28" s="31">
        <f t="array" ref="I28">SUM(('Отчет по покупателям УТ'!$M$6:$M$4000=Sheet1!$B28)*('Отчет по покупателям УТ'!$H$6:$H$4000&lt;&gt;"Advance")*('Отчет по покупателям УТ'!$G$6:$G$4000=Sheet1!I$9)*('Отчет по покупателям УТ'!$K$6:$K$4000))/1000</f>
        <v>0</v>
      </c>
      <c r="J28" s="31">
        <f t="array" ref="J28">SUM(('Отчет по покупателям УТ'!$M$6:$M$4000=Sheet1!$B28)*('Отчет по покупателям УТ'!$H$6:$H$4000&lt;&gt;"Advance")*('Отчет по покупателям УТ'!$G$6:$G$4000=Sheet1!J$9)*('Отчет по покупателям УТ'!$K$6:$K$4000))/1000</f>
        <v>0</v>
      </c>
      <c r="K28" s="31">
        <f t="array" ref="K28">SUM(('Отчет по покупателям УТ'!$M$6:$M$4000=Sheet1!$B28)*('Отчет по покупателям УТ'!$H$6:$H$4000&lt;&gt;"Advance")*('Отчет по покупателям УТ'!$G$6:$G$4000=Sheet1!K$9)*('Отчет по покупателям УТ'!$K$6:$K$4000))/1000</f>
        <v>0</v>
      </c>
      <c r="L28" s="31">
        <f t="array" ref="L28">SUM(('Отчет по покупателям УТ'!$M$6:$M$4000=Sheet1!$B28)*('Отчет по покупателям УТ'!$H$6:$H$4000&lt;&gt;"Advance")*('Отчет по покупателям УТ'!$G$6:$G$4000=Sheet1!L$9)*('Отчет по покупателям УТ'!$K$6:$K$4000))/1000</f>
        <v>0</v>
      </c>
      <c r="N28" s="31">
        <f t="array" ref="N28">SUM(('Отчет по покупателям УТ'!$M$6:$M$4000=Sheet1!$B28)*('Отчет по покупателям УТ'!$H$6:$H$4000="Advance")*('Отчет по покупателям УТ'!$K$6:$K$4000))/1000</f>
        <v>-34.031999999999996</v>
      </c>
      <c r="O28" s="31">
        <f t="array" ref="O28">SUM(('Отчет по покупателям УТ'!$M$6:$M$4000=Sheet1!$B28)*('Отчет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29" spans="1:15" x14ac:dyDescent="0.2">
      <c r="A29">
        <v>19</v>
      </c>
      <c r="B29" s="47" t="str">
        <f>INDEX('Adjusted Ageing by Customer'!$A$9:$A$200,MATCH(LARGE(('Adjusted Ageing by Customer'!$AD$9:$AD$200),$A29),'Adjusted Ageing by Customer'!$AD$9:$AD$200,0),1)</f>
        <v>АЛЬФА ООО</v>
      </c>
      <c r="F29" s="36">
        <f t="array" ref="F29">SUM(('Adjusted Ageing by Customer'!$A$9:$A$200=Sheet1!$B29)*('Adjusted Ageing by Customer'!$AD$9:$AD$200))/1000</f>
        <v>0</v>
      </c>
      <c r="G29" s="31">
        <f t="array" ref="G29">SUM(('Отчет по покупателям УТ'!$M$6:$M$4000=Sheet1!$B29)*('Отчет по покупателям УТ'!$H$6:$H$4000&lt;&gt;"Advance")*('Отчет по покупателям УТ'!$G$6:$G$4000=Sheet1!G$9)*('Отчет по покупателям УТ'!$K$6:$K$4000))/1000</f>
        <v>0</v>
      </c>
      <c r="H29" s="31">
        <f t="array" ref="H29">SUM(('Отчет по покупателям УТ'!$M$6:$M$4000=Sheet1!$B29)*('Отчет по покупателям УТ'!$H$6:$H$4000&lt;&gt;"Advance")*('Отчет по покупателям УТ'!$G$6:$G$4000=Sheet1!H$9)*('Отчет по покупателям УТ'!$K$6:$K$4000))/1000</f>
        <v>0</v>
      </c>
      <c r="I29" s="31">
        <f t="array" ref="I29">SUM(('Отчет по покупателям УТ'!$M$6:$M$4000=Sheet1!$B29)*('Отчет по покупателям УТ'!$H$6:$H$4000&lt;&gt;"Advance")*('Отчет по покупателям УТ'!$G$6:$G$4000=Sheet1!I$9)*('Отчет по покупателям УТ'!$K$6:$K$4000))/1000</f>
        <v>0</v>
      </c>
      <c r="J29" s="31">
        <f t="array" ref="J29">SUM(('Отчет по покупателям УТ'!$M$6:$M$4000=Sheet1!$B29)*('Отчет по покупателям УТ'!$H$6:$H$4000&lt;&gt;"Advance")*('Отчет по покупателям УТ'!$G$6:$G$4000=Sheet1!J$9)*('Отчет по покупателям УТ'!$K$6:$K$4000))/1000</f>
        <v>0</v>
      </c>
      <c r="K29" s="31">
        <f t="array" ref="K29">SUM(('Отчет по покупателям УТ'!$M$6:$M$4000=Sheet1!$B29)*('Отчет по покупателям УТ'!$H$6:$H$4000&lt;&gt;"Advance")*('Отчет по покупателям УТ'!$G$6:$G$4000=Sheet1!K$9)*('Отчет по покупателям УТ'!$K$6:$K$4000))/1000</f>
        <v>0</v>
      </c>
      <c r="L29" s="31">
        <f t="array" ref="L29">SUM(('Отчет по покупателям УТ'!$M$6:$M$4000=Sheet1!$B29)*('Отчет по покупателям УТ'!$H$6:$H$4000&lt;&gt;"Advance")*('Отчет по покупателям УТ'!$G$6:$G$4000=Sheet1!L$9)*('Отчет по покупателям УТ'!$K$6:$K$4000))/1000</f>
        <v>0</v>
      </c>
      <c r="N29" s="31">
        <f t="array" ref="N29">SUM(('Отчет по покупателям УТ'!$M$6:$M$4000=Sheet1!$B29)*('Отчет по покупателям УТ'!$H$6:$H$4000="Advance")*('Отчет по покупателям УТ'!$K$6:$K$4000))/1000</f>
        <v>-34.031999999999996</v>
      </c>
      <c r="O29" s="31">
        <f t="array" ref="O29">SUM(('Отчет по покупателям УТ'!$M$6:$M$4000=Sheet1!$B29)*('Отчет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30" spans="1:15" x14ac:dyDescent="0.2">
      <c r="A30">
        <v>20</v>
      </c>
      <c r="B30" s="47" t="str">
        <f>INDEX('Adjusted Ageing by Customer'!$A$9:$A$200,MATCH(LARGE(('Adjusted Ageing by Customer'!$AD$9:$AD$200),$A30),'Adjusted Ageing by Customer'!$AD$9:$AD$200,0),1)</f>
        <v>АЛЬФА ООО</v>
      </c>
      <c r="F30" s="36">
        <f t="array" ref="F30">SUM(('Adjusted Ageing by Customer'!$A$9:$A$200=Sheet1!$B30)*('Adjusted Ageing by Customer'!$AD$9:$AD$200))/1000</f>
        <v>0</v>
      </c>
      <c r="G30" s="31">
        <f t="array" ref="G30">SUM(('Отчет по покупателям УТ'!$M$6:$M$4000=Sheet1!$B30)*('Отчет по покупателям УТ'!$H$6:$H$4000&lt;&gt;"Advance")*('Отчет по покупателям УТ'!$G$6:$G$4000=Sheet1!G$9)*('Отчет по покупателям УТ'!$K$6:$K$4000))/1000</f>
        <v>0</v>
      </c>
      <c r="H30" s="31">
        <f t="array" ref="H30">SUM(('Отчет по покупателям УТ'!$M$6:$M$4000=Sheet1!$B30)*('Отчет по покупателям УТ'!$H$6:$H$4000&lt;&gt;"Advance")*('Отчет по покупателям УТ'!$G$6:$G$4000=Sheet1!H$9)*('Отчет по покупателям УТ'!$K$6:$K$4000))/1000</f>
        <v>0</v>
      </c>
      <c r="I30" s="31">
        <f t="array" ref="I30">SUM(('Отчет по покупателям УТ'!$M$6:$M$4000=Sheet1!$B30)*('Отчет по покупателям УТ'!$H$6:$H$4000&lt;&gt;"Advance")*('Отчет по покупателям УТ'!$G$6:$G$4000=Sheet1!I$9)*('Отчет по покупателям УТ'!$K$6:$K$4000))/1000</f>
        <v>0</v>
      </c>
      <c r="J30" s="31">
        <f t="array" ref="J30">SUM(('Отчет по покупателям УТ'!$M$6:$M$4000=Sheet1!$B30)*('Отчет по покупателям УТ'!$H$6:$H$4000&lt;&gt;"Advance")*('Отчет по покупателям УТ'!$G$6:$G$4000=Sheet1!J$9)*('Отчет по покупателям УТ'!$K$6:$K$4000))/1000</f>
        <v>0</v>
      </c>
      <c r="K30" s="31">
        <f t="array" ref="K30">SUM(('Отчет по покупателям УТ'!$M$6:$M$4000=Sheet1!$B30)*('Отчет по покупателям УТ'!$H$6:$H$4000&lt;&gt;"Advance")*('Отчет по покупателям УТ'!$G$6:$G$4000=Sheet1!K$9)*('Отчет по покупателям УТ'!$K$6:$K$4000))/1000</f>
        <v>0</v>
      </c>
      <c r="L30" s="31">
        <f t="array" ref="L30">SUM(('Отчет по покупателям УТ'!$M$6:$M$4000=Sheet1!$B30)*('Отчет по покупателям УТ'!$H$6:$H$4000&lt;&gt;"Advance")*('Отчет по покупателям УТ'!$G$6:$G$4000=Sheet1!L$9)*('Отчет по покупателям УТ'!$K$6:$K$4000))/1000</f>
        <v>0</v>
      </c>
      <c r="N30" s="31">
        <f t="array" ref="N30">SUM(('Отчет по покупателям УТ'!$M$6:$M$4000=Sheet1!$B30)*('Отчет по покупателям УТ'!$H$6:$H$4000="Advance")*('Отчет по покупателям УТ'!$K$6:$K$4000))/1000</f>
        <v>-34.031999999999996</v>
      </c>
      <c r="O30" s="31">
        <f t="array" ref="O30">SUM(('Отчет по покупателям УТ'!$M$6:$M$4000=Sheet1!$B30)*('Отчет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31" spans="1:15" x14ac:dyDescent="0.2">
      <c r="D31" s="222">
        <f>SUM(D10:D30)</f>
        <v>4142.0027799999998</v>
      </c>
      <c r="E31" s="222">
        <f t="shared" ref="E31:O31" si="0">SUM(E10:E30)</f>
        <v>-263.02499999999998</v>
      </c>
      <c r="F31" s="222">
        <f t="shared" si="0"/>
        <v>90554.810819999999</v>
      </c>
      <c r="G31" s="222">
        <f t="shared" si="0"/>
        <v>0</v>
      </c>
      <c r="H31" s="222">
        <f t="shared" si="0"/>
        <v>6.8792299999999997</v>
      </c>
      <c r="I31" s="222">
        <f t="shared" si="0"/>
        <v>567.01</v>
      </c>
      <c r="J31" s="222">
        <f t="shared" si="0"/>
        <v>1260.5465899999999</v>
      </c>
      <c r="K31" s="222">
        <f t="shared" si="0"/>
        <v>180.40596000000002</v>
      </c>
      <c r="L31" s="222">
        <f t="shared" si="0"/>
        <v>4250.2112300000008</v>
      </c>
      <c r="M31" s="222">
        <f t="shared" si="0"/>
        <v>0</v>
      </c>
      <c r="N31" s="222">
        <f t="shared" si="0"/>
        <v>-66911.186550000057</v>
      </c>
      <c r="O31" s="222">
        <f t="shared" si="0"/>
        <v>3345.8600999999999</v>
      </c>
    </row>
    <row r="32" spans="1:15" x14ac:dyDescent="0.2">
      <c r="B32" s="176" t="s">
        <v>830</v>
      </c>
    </row>
    <row r="33" spans="1:15" x14ac:dyDescent="0.2">
      <c r="A33" s="47">
        <v>1</v>
      </c>
      <c r="B33" s="47" t="str">
        <f t="array" ref="B33">INDEX('Adjusted Ageing by Customer'!$A$9:$A$200,MATCH(LARGE(('Adjusted Ageing by Customer'!$AD$9:$AD$200),$A33),'Adjusted Ageing by Customer'!$AD$9:$AD$200,0),1)</f>
        <v>Купишуз ООО</v>
      </c>
      <c r="C33" s="47"/>
      <c r="D33" s="31">
        <f t="array" ref="D33">SUM(('Отчет по покупателям УТ'!$M$6:$M$4000=Sheet1!$B33)*('Отчет по покупателям УТ'!$A$6:$A$4000=Sheet1!D$4)*('Отчет по покупателям УТ'!$D$6:$D$4000&gt;Sheet1!$C$1)*('Отчет по покупателям УТ'!$D$6:$D$4000&lt;Sheet1!$C$2)*('Отчет по покупателям УТ'!$K$6:$K$4000))/1000</f>
        <v>-913.99721999999997</v>
      </c>
      <c r="E33" s="31">
        <f t="array" ref="E33">SUM(('Отчет по покупателям УТ'!$M$6:$M$4000=Sheet1!$B33)*('Отчет по покупателям УТ'!$A$6:$A$4000=Sheet1!E$4)*('Отчет по покупателям УТ'!$D$6:$D$4000&gt;Sheet1!$C$1)*('Отчет по покупателям УТ'!$D$6:$D$4000&lt;Sheet1!$C$2)*('Отчет по покупателям УТ'!$K$6:$K$4000))/1000</f>
        <v>-263.02499999999998</v>
      </c>
      <c r="F33" s="59">
        <f t="array" ref="F33">SUM(('Adjusted Ageing by Customer'!$A$9:$A$200=Sheet1!$B33)*('Adjusted Ageing by Customer'!$AD$9:$AD$200))/1000</f>
        <v>35454.892790000005</v>
      </c>
      <c r="G33" s="31">
        <f t="array" ref="G33">SUM(('Отчет по покупателям УТ'!$M$6:$M$4000=Sheet1!$B33)*('Отчет по покупателям УТ'!$H$6:$H$4000&lt;&gt;"Advance")*('Отчет по покупателям УТ'!$G$6:$G$4000=Sheet1!G$9)*('Отчет по покупателям УТ'!$K$6:$K$4000))/1000</f>
        <v>0</v>
      </c>
      <c r="H33" s="31">
        <f t="array" ref="H33">SUM(('Отчет по покупателям УТ'!$M$6:$M$4000=Sheet1!$B33)*('Отчет по покупателям УТ'!$H$6:$H$4000&lt;&gt;"Advance")*('Отчет по покупателям УТ'!$G$6:$G$4000=Sheet1!H$9)*('Отчет по покупателям УТ'!$K$6:$K$4000))/1000</f>
        <v>0</v>
      </c>
      <c r="I33" s="31">
        <f t="array" ref="I33">SUM(('Отчет по покупателям УТ'!$M$6:$M$4000=Sheet1!$B33)*('Отчет по покупателям УТ'!$H$6:$H$4000&lt;&gt;"Advance")*('Отчет по покупателям УТ'!$G$6:$G$4000=Sheet1!I$9)*('Отчет по покупателям УТ'!$K$6:$K$4000))/1000</f>
        <v>0</v>
      </c>
      <c r="J33" s="31">
        <f t="array" ref="J33">SUM(('Отчет по покупателям УТ'!$M$6:$M$4000=Sheet1!$B33)*('Отчет по покупателям УТ'!$H$6:$H$4000&lt;&gt;"Advance")*('Отчет по покупателям УТ'!$G$6:$G$4000=Sheet1!J$9)*('Отчет по покупателям УТ'!$K$6:$K$4000))/1000</f>
        <v>0</v>
      </c>
      <c r="K33" s="31">
        <f t="array" ref="K33">SUM(('Отчет по покупателям УТ'!$M$6:$M$4000=Sheet1!$B33)*('Отчет по покупателям УТ'!$H$6:$H$4000&lt;&gt;"Advance")*('Отчет по покупателям УТ'!$G$6:$G$4000=Sheet1!K$9)*('Отчет по покупателям УТ'!$K$6:$K$4000))/1000</f>
        <v>0</v>
      </c>
      <c r="L33" s="31">
        <f t="array" ref="L33">SUM(('Отчет по покупателям УТ'!$M$6:$M$4000=Sheet1!$B33)*('Отчет по покупателям УТ'!$H$6:$H$4000&lt;&gt;"Advance")*('Отчет по покупателям УТ'!$G$6:$G$4000=Sheet1!L$9)*('Отчет по покупателям УТ'!$K$6:$K$4000))/1000</f>
        <v>0</v>
      </c>
      <c r="N33" s="31">
        <f t="array" ref="N33">SUM(('Отчет по покупателям УТ'!$M$6:$M$4000=Sheet1!$B33)*('Отчет по покупателям УТ'!$H$6:$H$4000="Advance")*('Отчет по покупателям УТ'!$K$6:$K$4000))/1000</f>
        <v>-37241.077140000001</v>
      </c>
      <c r="O33" s="31">
        <f t="array" ref="O33">SUM(('Отчет по покупателям УТ'!$M$6:$M$4000=Sheet1!$B33)*('Отчет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-913.99721999999997</v>
      </c>
    </row>
    <row r="34" spans="1:15" x14ac:dyDescent="0.2">
      <c r="A34">
        <v>2</v>
      </c>
      <c r="B34" s="47" t="str">
        <f t="array" ref="B34">INDEX(Pivots!$A$7:$A$200,MATCH(LARGE((Pivots!$B$7:$B$200),$A34),Pivots!$B$7:$B$200,0),1)</f>
        <v>Реинвент ООО</v>
      </c>
      <c r="D34" s="31">
        <f t="array" ref="D34">SUM(('Отчет по покупателям УТ'!$M$6:$M$4000=Sheet1!$B34)*('Отчет по покупателям УТ'!$A$6:$A$4000=Sheet1!D$4)*('Отчет по покупателям УТ'!$D$6:$D$4000&gt;Sheet1!$C$1)*('Отчет по покупателям УТ'!$D$6:$D$4000&lt;Sheet1!$C$2)*('Отчет по покупателям УТ'!$K$6:$K$4000))/1000</f>
        <v>0</v>
      </c>
      <c r="E34" s="31">
        <f t="array" ref="E34">SUM(('Отчет по покупателям УТ'!$M$6:$M$4000=Sheet1!$B34)*('Отчет по покупателям УТ'!$A$6:$A$4000=Sheet1!E$4)*('Отчет по покупателям УТ'!$D$6:$D$4000&gt;Sheet1!$C$1)*('Отчет по покупателям УТ'!$D$6:$D$4000&lt;Sheet1!$C$2)*('Отчет по покупателям УТ'!$K$6:$K$4000))/1000</f>
        <v>0</v>
      </c>
      <c r="F34" s="59">
        <f t="array" ref="F34">SUM(('Adjusted Ageing by Customer'!$A$9:$A$200=Sheet1!$B34)*('Adjusted Ageing by Customer'!$AD$9:$AD$200))/1000</f>
        <v>22489.98461</v>
      </c>
      <c r="G34" s="31">
        <f t="array" ref="G34">SUM(('Отчет по покупателям УТ'!$M$6:$M$4000=Sheet1!$B34)*('Отчет по покупателям УТ'!$H$6:$H$4000&lt;&gt;"Advance")*('Отчет по покупателям УТ'!$G$6:$G$4000=Sheet1!G$9)*('Отчет по покупателям УТ'!$K$6:$K$4000))/1000</f>
        <v>0</v>
      </c>
      <c r="H34" s="31">
        <f t="array" ref="H34">SUM(('Отчет по покупателям УТ'!$M$6:$M$4000=Sheet1!$B34)*('Отчет по покупателям УТ'!$H$6:$H$4000&lt;&gt;"Advance")*('Отчет по покупателям УТ'!$G$6:$G$4000=Sheet1!H$9)*('Отчет по покупателям УТ'!$K$6:$K$4000))/1000</f>
        <v>0</v>
      </c>
      <c r="I34" s="31">
        <f t="array" ref="I34">SUM(('Отчет по покупателям УТ'!$M$6:$M$4000=Sheet1!$B34)*('Отчет по покупателям УТ'!$H$6:$H$4000&lt;&gt;"Advance")*('Отчет по покупателям УТ'!$G$6:$G$4000=Sheet1!I$9)*('Отчет по покупателям УТ'!$K$6:$K$4000))/1000</f>
        <v>0</v>
      </c>
      <c r="J34" s="31">
        <f t="array" ref="J34">SUM(('Отчет по покупателям УТ'!$M$6:$M$4000=Sheet1!$B34)*('Отчет по покупателям УТ'!$H$6:$H$4000&lt;&gt;"Advance")*('Отчет по покупателям УТ'!$G$6:$G$4000=Sheet1!J$9)*('Отчет по покупателям УТ'!$K$6:$K$4000))/1000</f>
        <v>0</v>
      </c>
      <c r="K34" s="31">
        <f t="array" ref="K34">SUM(('Отчет по покупателям УТ'!$M$6:$M$4000=Sheet1!$B34)*('Отчет по покупателям УТ'!$H$6:$H$4000&lt;&gt;"Advance")*('Отчет по покупателям УТ'!$G$6:$G$4000=Sheet1!K$9)*('Отчет по покупателям УТ'!$K$6:$K$4000))/1000</f>
        <v>0</v>
      </c>
      <c r="L34" s="31">
        <f t="array" ref="L34">SUM(('Отчет по покупателям УТ'!$M$6:$M$4000=Sheet1!$B34)*('Отчет по покупателям УТ'!$H$6:$H$4000&lt;&gt;"Advance")*('Отчет по покупателям УТ'!$G$6:$G$4000=Sheet1!L$9)*('Отчет по покупателям УТ'!$K$6:$K$4000))/1000</f>
        <v>0</v>
      </c>
      <c r="N34" s="31">
        <f t="array" ref="N34">SUM(('Отчет по покупателям УТ'!$M$6:$M$4000=Sheet1!$B34)*('Отчет по покупателям УТ'!$H$6:$H$4000="Advance")*('Отчет по покупателям УТ'!$K$6:$K$4000))/1000</f>
        <v>-28302.90639</v>
      </c>
      <c r="O34" s="31">
        <f t="array" ref="O34">SUM(('Отчет по покупателям УТ'!$M$6:$M$4000=Sheet1!$B34)*('Отчет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35" spans="1:15" x14ac:dyDescent="0.2">
      <c r="A35">
        <v>3</v>
      </c>
      <c r="B35" s="47" t="str">
        <f t="array" ref="B35">INDEX(Pivots!$A$7:$A$200,MATCH(LARGE((Pivots!$B$7:$B$200),$A35),Pivots!$B$7:$B$200,0),1)</f>
        <v>ИП Щербакова Полина Леонидовна</v>
      </c>
      <c r="D35" s="31">
        <f t="array" ref="D35">SUM(('Отчет по покупателям УТ'!$M$6:$M$4000=Sheet1!$B35)*('Отчет по покупателям УТ'!$A$6:$A$4000=Sheet1!D$4)*('Отчет по покупателям УТ'!$D$6:$D$4000&gt;Sheet1!$C$1)*('Отчет по покупателям УТ'!$D$6:$D$4000&lt;Sheet1!$C$2)*('Отчет по покупателям УТ'!$K$6:$K$4000))/1000</f>
        <v>0</v>
      </c>
      <c r="E35" s="31">
        <f t="array" ref="E35">SUM(('Отчет по покупателям УТ'!$M$6:$M$4000=Sheet1!$B35)*('Отчет по покупателям УТ'!$A$6:$A$4000=Sheet1!E$4)*('Отчет по покупателям УТ'!$D$6:$D$4000&gt;Sheet1!$C$1)*('Отчет по покупателям УТ'!$D$6:$D$4000&lt;Sheet1!$C$2)*('Отчет по покупателям УТ'!$K$6:$K$4000))/1000</f>
        <v>0</v>
      </c>
      <c r="F35" s="59">
        <f t="array" ref="F35">SUM(('Adjusted Ageing by Customer'!$A$9:$A$200=Sheet1!$B35)*('Adjusted Ageing by Customer'!$AD$9:$AD$200))/1000</f>
        <v>5949.6815600000009</v>
      </c>
      <c r="G35" s="31">
        <f t="array" ref="G35">SUM(('Отчет по покупателям УТ'!$M$6:$M$4000=Sheet1!$B35)*('Отчет по покупателям УТ'!$H$6:$H$4000&lt;&gt;"Advance")*('Отчет по покупателям УТ'!$G$6:$G$4000=Sheet1!G$9)*('Отчет по покупателям УТ'!$K$6:$K$4000))/1000</f>
        <v>0</v>
      </c>
      <c r="H35" s="31">
        <f t="array" ref="H35">SUM(('Отчет по покупателям УТ'!$M$6:$M$4000=Sheet1!$B35)*('Отчет по покупателям УТ'!$H$6:$H$4000&lt;&gt;"Advance")*('Отчет по покупателям УТ'!$G$6:$G$4000=Sheet1!H$9)*('Отчет по покупателям УТ'!$K$6:$K$4000))/1000</f>
        <v>0</v>
      </c>
      <c r="I35" s="31">
        <f t="array" ref="I35">SUM(('Отчет по покупателям УТ'!$M$6:$M$4000=Sheet1!$B35)*('Отчет по покупателям УТ'!$H$6:$H$4000&lt;&gt;"Advance")*('Отчет по покупателям УТ'!$G$6:$G$4000=Sheet1!I$9)*('Отчет по покупателям УТ'!$K$6:$K$4000))/1000</f>
        <v>0</v>
      </c>
      <c r="J35" s="31">
        <f t="array" ref="J35">SUM(('Отчет по покупателям УТ'!$M$6:$M$4000=Sheet1!$B35)*('Отчет по покупателям УТ'!$H$6:$H$4000&lt;&gt;"Advance")*('Отчет по покупателям УТ'!$G$6:$G$4000=Sheet1!J$9)*('Отчет по покупателям УТ'!$K$6:$K$4000))/1000</f>
        <v>0</v>
      </c>
      <c r="K35" s="31">
        <f t="array" ref="K35">SUM(('Отчет по покупателям УТ'!$M$6:$M$4000=Sheet1!$B35)*('Отчет по покупателям УТ'!$H$6:$H$4000&lt;&gt;"Advance")*('Отчет по покупателям УТ'!$G$6:$G$4000=Sheet1!K$9)*('Отчет по покупателям УТ'!$K$6:$K$4000))/1000</f>
        <v>0</v>
      </c>
      <c r="L35" s="31">
        <f t="array" ref="L35">SUM(('Отчет по покупателям УТ'!$M$6:$M$4000=Sheet1!$B35)*('Отчет по покупателям УТ'!$H$6:$H$4000&lt;&gt;"Advance")*('Отчет по покупателям УТ'!$G$6:$G$4000=Sheet1!L$9)*('Отчет по покупателям УТ'!$K$6:$K$4000))/1000</f>
        <v>0</v>
      </c>
      <c r="N35" s="31">
        <f t="array" ref="N35">SUM(('Отчет по покупателям УТ'!$M$6:$M$4000=Sheet1!$B35)*('Отчет по покупателям УТ'!$H$6:$H$4000="Advance")*('Отчет по покупателям УТ'!$K$6:$K$4000))/1000</f>
        <v>0</v>
      </c>
      <c r="O35" s="31">
        <f t="array" ref="O35">SUM(('Отчет по покупателям УТ'!$M$6:$M$4000=Sheet1!$B35)*('Отчет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36" spans="1:15" x14ac:dyDescent="0.2">
      <c r="A36">
        <v>4</v>
      </c>
      <c r="B36" s="47" t="str">
        <f t="array" ref="B36">INDEX(Pivots!$A$7:$A$200,MATCH(LARGE((Pivots!$B$7:$B$200),$A36),Pivots!$B$7:$B$200,0),1)</f>
        <v>Кеды Вегас</v>
      </c>
      <c r="D36" s="31">
        <f t="array" ref="D36">SUM(('Отчет по покупателям УТ'!$M$6:$M$4000=Sheet1!$B36)*('Отчет по покупателям УТ'!$A$6:$A$4000=Sheet1!D$4)*('Отчет по покупателям УТ'!$D$6:$D$4000&gt;Sheet1!$C$1)*('Отчет по покупателям УТ'!$D$6:$D$4000&lt;Sheet1!$C$2)*('Отчет по покупателям УТ'!$K$6:$K$4000))/1000</f>
        <v>0</v>
      </c>
      <c r="E36" s="31">
        <f t="array" ref="E36">SUM(('Отчет по покупателям УТ'!$M$6:$M$4000=Sheet1!$B36)*('Отчет по покупателям УТ'!$A$6:$A$4000=Sheet1!E$4)*('Отчет по покупателям УТ'!$D$6:$D$4000&gt;Sheet1!$C$1)*('Отчет по покупателям УТ'!$D$6:$D$4000&lt;Sheet1!$C$2)*('Отчет по покупателям УТ'!$K$6:$K$4000))/1000</f>
        <v>0</v>
      </c>
      <c r="F36" s="59">
        <f t="array" ref="F36">SUM(('Adjusted Ageing by Customer'!$A$9:$A$200=Sheet1!$B36)*('Adjusted Ageing by Customer'!$AD$9:$AD$200))/1000</f>
        <v>0</v>
      </c>
      <c r="G36" s="31">
        <f t="array" ref="G36">SUM(('Отчет по покупателям УТ'!$M$6:$M$4000=Sheet1!$B36)*('Отчет по покупателям УТ'!$H$6:$H$4000&lt;&gt;"Advance")*('Отчет по покупателям УТ'!$G$6:$G$4000=Sheet1!G$9)*('Отчет по покупателям УТ'!$K$6:$K$4000))/1000</f>
        <v>0</v>
      </c>
      <c r="H36" s="31">
        <f t="array" ref="H36">SUM(('Отчет по покупателям УТ'!$M$6:$M$4000=Sheet1!$B36)*('Отчет по покупателям УТ'!$H$6:$H$4000&lt;&gt;"Advance")*('Отчет по покупателям УТ'!$G$6:$G$4000=Sheet1!H$9)*('Отчет по покупателям УТ'!$K$6:$K$4000))/1000</f>
        <v>0</v>
      </c>
      <c r="I36" s="31">
        <f t="array" ref="I36">SUM(('Отчет по покупателям УТ'!$M$6:$M$4000=Sheet1!$B36)*('Отчет по покупателям УТ'!$H$6:$H$4000&lt;&gt;"Advance")*('Отчет по покупателям УТ'!$G$6:$G$4000=Sheet1!I$9)*('Отчет по покупателям УТ'!$K$6:$K$4000))/1000</f>
        <v>0</v>
      </c>
      <c r="J36" s="31">
        <f t="array" ref="J36">SUM(('Отчет по покупателям УТ'!$M$6:$M$4000=Sheet1!$B36)*('Отчет по покупателям УТ'!$H$6:$H$4000&lt;&gt;"Advance")*('Отчет по покупателям УТ'!$G$6:$G$4000=Sheet1!J$9)*('Отчет по покупателям УТ'!$K$6:$K$4000))/1000</f>
        <v>0</v>
      </c>
      <c r="K36" s="31">
        <f t="array" ref="K36">SUM(('Отчет по покупателям УТ'!$M$6:$M$4000=Sheet1!$B36)*('Отчет по покупателям УТ'!$H$6:$H$4000&lt;&gt;"Advance")*('Отчет по покупателям УТ'!$G$6:$G$4000=Sheet1!K$9)*('Отчет по покупателям УТ'!$K$6:$K$4000))/1000</f>
        <v>0</v>
      </c>
      <c r="L36" s="31">
        <f t="array" ref="L36">SUM(('Отчет по покупателям УТ'!$M$6:$M$4000=Sheet1!$B36)*('Отчет по покупателям УТ'!$H$6:$H$4000&lt;&gt;"Advance")*('Отчет по покупателям УТ'!$G$6:$G$4000=Sheet1!L$9)*('Отчет по покупателям УТ'!$K$6:$K$4000))/1000</f>
        <v>0</v>
      </c>
      <c r="N36" s="31">
        <f t="array" ref="N36">SUM(('Отчет по покупателям УТ'!$M$6:$M$4000=Sheet1!$B36)*('Отчет по покупателям УТ'!$H$6:$H$4000="Advance")*('Отчет по покупателям УТ'!$K$6:$K$4000))/1000</f>
        <v>0</v>
      </c>
      <c r="O36" s="31">
        <f t="array" ref="O36">SUM(('Отчет по покупателям УТ'!$M$6:$M$4000=Sheet1!$B36)*('Отчет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37" spans="1:15" x14ac:dyDescent="0.2">
      <c r="A37">
        <v>5</v>
      </c>
      <c r="B37" s="47" t="str">
        <f t="array" ref="B37">INDEX(Pivots!$A$7:$A$200,MATCH(LARGE((Pivots!$B$7:$B$200),$A37),Pivots!$B$7:$B$200,0),1)</f>
        <v>Приват Трэйд ООО</v>
      </c>
      <c r="D37" s="31">
        <f t="array" ref="D37">SUM(('Отчет по покупателям УТ'!$M$6:$M$4000=Sheet1!$B37)*('Отчет по покупателям УТ'!$A$6:$A$4000=Sheet1!D$4)*('Отчет по покупателям УТ'!$D$6:$D$4000&gt;Sheet1!$C$1)*('Отчет по покупателям УТ'!$D$6:$D$4000&lt;Sheet1!$C$2)*('Отчет по покупателям УТ'!$K$6:$K$4000))/1000</f>
        <v>0</v>
      </c>
      <c r="E37" s="31">
        <f t="array" ref="E37">SUM(('Отчет по покупателям УТ'!$M$6:$M$4000=Sheet1!$B37)*('Отчет по покупателям УТ'!$A$6:$A$4000=Sheet1!E$4)*('Отчет по покупателям УТ'!$D$6:$D$4000&gt;Sheet1!$C$1)*('Отчет по покупателям УТ'!$D$6:$D$4000&lt;Sheet1!$C$2)*('Отчет по покупателям УТ'!$K$6:$K$4000))/1000</f>
        <v>0</v>
      </c>
      <c r="F37" s="59">
        <f t="array" ref="F37">SUM(('Adjusted Ageing by Customer'!$A$9:$A$200=Sheet1!$B37)*('Adjusted Ageing by Customer'!$AD$9:$AD$200))/1000</f>
        <v>1970.5913799999998</v>
      </c>
      <c r="G37" s="31">
        <f t="array" ref="G37">SUM(('Отчет по покупателям УТ'!$M$6:$M$4000=Sheet1!$B37)*('Отчет по покупателям УТ'!$H$6:$H$4000&lt;&gt;"Advance")*('Отчет по покупателям УТ'!$G$6:$G$4000=Sheet1!G$9)*('Отчет по покупателям УТ'!$K$6:$K$4000))/1000</f>
        <v>0</v>
      </c>
      <c r="H37" s="31">
        <f t="array" ref="H37">SUM(('Отчет по покупателям УТ'!$M$6:$M$4000=Sheet1!$B37)*('Отчет по покупателям УТ'!$H$6:$H$4000&lt;&gt;"Advance")*('Отчет по покупателям УТ'!$G$6:$G$4000=Sheet1!H$9)*('Отчет по покупателям УТ'!$K$6:$K$4000))/1000</f>
        <v>0</v>
      </c>
      <c r="I37" s="31">
        <f t="array" ref="I37">SUM(('Отчет по покупателям УТ'!$M$6:$M$4000=Sheet1!$B37)*('Отчет по покупателям УТ'!$H$6:$H$4000&lt;&gt;"Advance")*('Отчет по покупателям УТ'!$G$6:$G$4000=Sheet1!I$9)*('Отчет по покупателям УТ'!$K$6:$K$4000))/1000</f>
        <v>0</v>
      </c>
      <c r="J37" s="31">
        <f t="array" ref="J37">SUM(('Отчет по покупателям УТ'!$M$6:$M$4000=Sheet1!$B37)*('Отчет по покупателям УТ'!$H$6:$H$4000&lt;&gt;"Advance")*('Отчет по покупателям УТ'!$G$6:$G$4000=Sheet1!J$9)*('Отчет по покупателям УТ'!$K$6:$K$4000))/1000</f>
        <v>788.64941999999996</v>
      </c>
      <c r="K37" s="31">
        <f t="array" ref="K37">SUM(('Отчет по покупателям УТ'!$M$6:$M$4000=Sheet1!$B37)*('Отчет по покупателям УТ'!$H$6:$H$4000&lt;&gt;"Advance")*('Отчет по покупателям УТ'!$G$6:$G$4000=Sheet1!K$9)*('Отчет по покупателям УТ'!$K$6:$K$4000))/1000</f>
        <v>167.93996000000001</v>
      </c>
      <c r="L37" s="31">
        <f t="array" ref="L37">SUM(('Отчет по покупателям УТ'!$M$6:$M$4000=Sheet1!$B37)*('Отчет по покупателям УТ'!$H$6:$H$4000&lt;&gt;"Advance")*('Отчет по покупателям УТ'!$G$6:$G$4000=Sheet1!L$9)*('Отчет по покупателям УТ'!$K$6:$K$4000))/1000</f>
        <v>2.8199099999999997</v>
      </c>
      <c r="N37" s="31">
        <f t="array" ref="N37">SUM(('Отчет по покупателям УТ'!$M$6:$M$4000=Sheet1!$B37)*('Отчет по покупателям УТ'!$H$6:$H$4000="Advance")*('Отчет по покупателям УТ'!$K$6:$K$4000))/1000</f>
        <v>0</v>
      </c>
      <c r="O37" s="31">
        <f t="array" ref="O37">SUM(('Отчет по покупателям УТ'!$M$6:$M$4000=Sheet1!$B37)*('Отчет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38" spans="1:15" x14ac:dyDescent="0.2">
      <c r="A38">
        <v>6</v>
      </c>
      <c r="B38" s="47" t="str">
        <f t="array" ref="B38">INDEX(Pivots!$A$7:$A$200,MATCH(LARGE((Pivots!$B$7:$B$200),$A38),Pivots!$B$7:$B$200,0),1)</f>
        <v>Синяя Гусеница ООО</v>
      </c>
      <c r="D38" s="31">
        <f t="array" ref="D38">SUM(('Отчет по покупателям УТ'!$M$6:$M$4000=Sheet1!$B38)*('Отчет по покупателям УТ'!$A$6:$A$4000=Sheet1!D$4)*('Отчет по покупателям УТ'!$D$6:$D$4000&gt;Sheet1!$C$1)*('Отчет по покупателям УТ'!$D$6:$D$4000&lt;Sheet1!$C$2)*('Отчет по покупателям УТ'!$K$6:$K$4000))/1000</f>
        <v>0</v>
      </c>
      <c r="E38" s="31">
        <f t="array" ref="E38">SUM(('Отчет по покупателям УТ'!$M$6:$M$4000=Sheet1!$B38)*('Отчет по покупателям УТ'!$A$6:$A$4000=Sheet1!E$4)*('Отчет по покупателям УТ'!$D$6:$D$4000&gt;Sheet1!$C$1)*('Отчет по покупателям УТ'!$D$6:$D$4000&lt;Sheet1!$C$2)*('Отчет по покупателям УТ'!$K$6:$K$4000))/1000</f>
        <v>0</v>
      </c>
      <c r="F38" s="59">
        <f t="array" ref="F38">SUM(('Adjusted Ageing by Customer'!$A$9:$A$200=Sheet1!$B38)*('Adjusted Ageing by Customer'!$AD$9:$AD$200))/1000</f>
        <v>0</v>
      </c>
      <c r="G38" s="31">
        <f t="array" ref="G38">SUM(('Отчет по покупателям УТ'!$M$6:$M$4000=Sheet1!$B38)*('Отчет по покупателям УТ'!$H$6:$H$4000&lt;&gt;"Advance")*('Отчет по покупателям УТ'!$G$6:$G$4000=Sheet1!G$9)*('Отчет по покупателям УТ'!$K$6:$K$4000))/1000</f>
        <v>0</v>
      </c>
      <c r="H38" s="31">
        <f t="array" ref="H38">SUM(('Отчет по покупателям УТ'!$M$6:$M$4000=Sheet1!$B38)*('Отчет по покупателям УТ'!$H$6:$H$4000&lt;&gt;"Advance")*('Отчет по покупателям УТ'!$G$6:$G$4000=Sheet1!H$9)*('Отчет по покупателям УТ'!$K$6:$K$4000))/1000</f>
        <v>0</v>
      </c>
      <c r="I38" s="31">
        <f t="array" ref="I38">SUM(('Отчет по покупателям УТ'!$M$6:$M$4000=Sheet1!$B38)*('Отчет по покупателям УТ'!$H$6:$H$4000&lt;&gt;"Advance")*('Отчет по покупателям УТ'!$G$6:$G$4000=Sheet1!I$9)*('Отчет по покупателям УТ'!$K$6:$K$4000))/1000</f>
        <v>0</v>
      </c>
      <c r="J38" s="31">
        <f t="array" ref="J38">SUM(('Отчет по покупателям УТ'!$M$6:$M$4000=Sheet1!$B38)*('Отчет по покупателям УТ'!$H$6:$H$4000&lt;&gt;"Advance")*('Отчет по покупателям УТ'!$G$6:$G$4000=Sheet1!J$9)*('Отчет по покупателям УТ'!$K$6:$K$4000))/1000</f>
        <v>0</v>
      </c>
      <c r="K38" s="31">
        <f t="array" ref="K38">SUM(('Отчет по покупателям УТ'!$M$6:$M$4000=Sheet1!$B38)*('Отчет по покупателям УТ'!$H$6:$H$4000&lt;&gt;"Advance")*('Отчет по покупателям УТ'!$G$6:$G$4000=Sheet1!K$9)*('Отчет по покупателям УТ'!$K$6:$K$4000))/1000</f>
        <v>0</v>
      </c>
      <c r="L38" s="31">
        <f t="array" ref="L38">SUM(('Отчет по покупателям УТ'!$M$6:$M$4000=Sheet1!$B38)*('Отчет по покупателям УТ'!$H$6:$H$4000&lt;&gt;"Advance")*('Отчет по покупателям УТ'!$G$6:$G$4000=Sheet1!L$9)*('Отчет по покупателям УТ'!$K$6:$K$4000))/1000</f>
        <v>0</v>
      </c>
      <c r="N38" s="31">
        <f t="array" ref="N38">SUM(('Отчет по покупателям УТ'!$M$6:$M$4000=Sheet1!$B38)*('Отчет по покупателям УТ'!$H$6:$H$4000="Advance")*('Отчет по покупателям УТ'!$K$6:$K$4000))/1000</f>
        <v>-988.65283999999997</v>
      </c>
      <c r="O38" s="31">
        <f t="array" ref="O38">SUM(('Отчет по покупателям УТ'!$M$6:$M$4000=Sheet1!$B38)*('Отчет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39" spans="1:15" x14ac:dyDescent="0.2">
      <c r="A39">
        <v>7</v>
      </c>
      <c r="B39" s="47" t="str">
        <f t="array" ref="B39">INDEX(Pivots!$A$7:$A$200,MATCH(LARGE((Pivots!$B$7:$B$200),$A39),Pivots!$B$7:$B$200,0),1)</f>
        <v>Бренд Стрит ООО</v>
      </c>
      <c r="D39" s="31">
        <f t="array" ref="D39">SUM(('Отчет по покупателям УТ'!$M$6:$M$4000=Sheet1!$B39)*('Отчет по покупателям УТ'!$A$6:$A$4000=Sheet1!D$4)*('Отчет по покупателям УТ'!$D$6:$D$4000&gt;Sheet1!$C$1)*('Отчет по покупателям УТ'!$D$6:$D$4000&lt;Sheet1!$C$2)*('Отчет по покупателям УТ'!$K$6:$K$4000))/1000</f>
        <v>0</v>
      </c>
      <c r="E39" s="31">
        <f t="array" ref="E39">SUM(('Отчет по покупателям УТ'!$M$6:$M$4000=Sheet1!$B39)*('Отчет по покупателям УТ'!$A$6:$A$4000=Sheet1!E$4)*('Отчет по покупателям УТ'!$D$6:$D$4000&gt;Sheet1!$C$1)*('Отчет по покупателям УТ'!$D$6:$D$4000&lt;Sheet1!$C$2)*('Отчет по покупателям УТ'!$K$6:$K$4000))/1000</f>
        <v>0</v>
      </c>
      <c r="F39" s="59">
        <f t="array" ref="F39">SUM(('Adjusted Ageing by Customer'!$A$9:$A$200=Sheet1!$B39)*('Adjusted Ageing by Customer'!$AD$9:$AD$200))/1000</f>
        <v>811.65850999999986</v>
      </c>
      <c r="G39" s="31">
        <f t="array" ref="G39">SUM(('Отчет по покупателям УТ'!$M$6:$M$4000=Sheet1!$B39)*('Отчет по покупателям УТ'!$H$6:$H$4000&lt;&gt;"Advance")*('Отчет по покупателям УТ'!$G$6:$G$4000=Sheet1!G$9)*('Отчет по покупателям УТ'!$K$6:$K$4000))/1000</f>
        <v>0</v>
      </c>
      <c r="H39" s="31">
        <f t="array" ref="H39">SUM(('Отчет по покупателям УТ'!$M$6:$M$4000=Sheet1!$B39)*('Отчет по покупателям УТ'!$H$6:$H$4000&lt;&gt;"Advance")*('Отчет по покупателям УТ'!$G$6:$G$4000=Sheet1!H$9)*('Отчет по покупателям УТ'!$K$6:$K$4000))/1000</f>
        <v>0</v>
      </c>
      <c r="I39" s="31">
        <f t="array" ref="I39">SUM(('Отчет по покупателям УТ'!$M$6:$M$4000=Sheet1!$B39)*('Отчет по покупателям УТ'!$H$6:$H$4000&lt;&gt;"Advance")*('Отчет по покупателям УТ'!$G$6:$G$4000=Sheet1!I$9)*('Отчет по покупателям УТ'!$K$6:$K$4000))/1000</f>
        <v>560.15</v>
      </c>
      <c r="J39" s="31">
        <f t="array" ref="J39">SUM(('Отчет по покупателям УТ'!$M$6:$M$4000=Sheet1!$B39)*('Отчет по покупателям УТ'!$H$6:$H$4000&lt;&gt;"Advance")*('Отчет по покупателям УТ'!$G$6:$G$4000=Sheet1!J$9)*('Отчет по покупателям УТ'!$K$6:$K$4000))/1000</f>
        <v>420.96666999999997</v>
      </c>
      <c r="K39" s="31">
        <f t="array" ref="K39">SUM(('Отчет по покупателям УТ'!$M$6:$M$4000=Sheet1!$B39)*('Отчет по покупателям УТ'!$H$6:$H$4000&lt;&gt;"Advance")*('Отчет по покупателям УТ'!$G$6:$G$4000=Sheet1!K$9)*('Отчет по покупателям УТ'!$K$6:$K$4000))/1000</f>
        <v>0</v>
      </c>
      <c r="L39" s="31">
        <f t="array" ref="L39">SUM(('Отчет по покупателям УТ'!$M$6:$M$4000=Sheet1!$B39)*('Отчет по покупателям УТ'!$H$6:$H$4000&lt;&gt;"Advance")*('Отчет по покупателям УТ'!$G$6:$G$4000=Sheet1!L$9)*('Отчет по покупателям УТ'!$K$6:$K$4000))/1000</f>
        <v>0</v>
      </c>
      <c r="N39" s="31">
        <f t="array" ref="N39">SUM(('Отчет по покупателям УТ'!$M$6:$M$4000=Sheet1!$B39)*('Отчет по покупателям УТ'!$H$6:$H$4000="Advance")*('Отчет по покупателям УТ'!$K$6:$K$4000))/1000</f>
        <v>-169.45815999999999</v>
      </c>
      <c r="O39" s="31">
        <f t="array" ref="O39">SUM(('Отчет по покупателям УТ'!$M$6:$M$4000=Sheet1!$B39)*('Отчет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40" spans="1:15" x14ac:dyDescent="0.2">
      <c r="A40">
        <v>8</v>
      </c>
      <c r="B40" s="47" t="str">
        <f t="array" ref="B40">INDEX(Pivots!$A$7:$A$200,MATCH(LARGE((Pivots!$B$7:$B$200),$A40),Pivots!$B$7:$B$200,0),1)</f>
        <v>ИП Марин Сергей Валериевич</v>
      </c>
      <c r="D40" s="31">
        <f t="array" ref="D40">SUM(('Отчет по покупателям УТ'!$M$6:$M$4000=Sheet1!$B40)*('Отчет по покупателям УТ'!$A$6:$A$4000=Sheet1!D$4)*('Отчет по покупателям УТ'!$D$6:$D$4000&gt;Sheet1!$C$1)*('Отчет по покупателям УТ'!$D$6:$D$4000&lt;Sheet1!$C$2)*('Отчет по покупателям УТ'!$K$6:$K$4000))/1000</f>
        <v>0</v>
      </c>
      <c r="E40" s="31">
        <f t="array" ref="E40">SUM(('Отчет по покупателям УТ'!$M$6:$M$4000=Sheet1!$B40)*('Отчет по покупателям УТ'!$A$6:$A$4000=Sheet1!E$4)*('Отчет по покупателям УТ'!$D$6:$D$4000&gt;Sheet1!$C$1)*('Отчет по покупателям УТ'!$D$6:$D$4000&lt;Sheet1!$C$2)*('Отчет по покупателям УТ'!$K$6:$K$4000))/1000</f>
        <v>0</v>
      </c>
      <c r="F40" s="59">
        <f t="array" ref="F40">SUM(('Adjusted Ageing by Customer'!$A$9:$A$200=Sheet1!$B40)*('Adjusted Ageing by Customer'!$AD$9:$AD$200))/1000</f>
        <v>598.25215000000003</v>
      </c>
      <c r="G40" s="31">
        <f t="array" ref="G40">SUM(('Отчет по покупателям УТ'!$M$6:$M$4000=Sheet1!$B40)*('Отчет по покупателям УТ'!$H$6:$H$4000&lt;&gt;"Advance")*('Отчет по покупателям УТ'!$G$6:$G$4000=Sheet1!G$9)*('Отчет по покупателям УТ'!$K$6:$K$4000))/1000</f>
        <v>0</v>
      </c>
      <c r="H40" s="31">
        <f t="array" ref="H40">SUM(('Отчет по покупателям УТ'!$M$6:$M$4000=Sheet1!$B40)*('Отчет по покупателям УТ'!$H$6:$H$4000&lt;&gt;"Advance")*('Отчет по покупателям УТ'!$G$6:$G$4000=Sheet1!H$9)*('Отчет по покупателям УТ'!$K$6:$K$4000))/1000</f>
        <v>0</v>
      </c>
      <c r="I40" s="31">
        <f t="array" ref="I40">SUM(('Отчет по покупателям УТ'!$M$6:$M$4000=Sheet1!$B40)*('Отчет по покупателям УТ'!$H$6:$H$4000&lt;&gt;"Advance")*('Отчет по покупателям УТ'!$G$6:$G$4000=Sheet1!I$9)*('Отчет по покупателям УТ'!$K$6:$K$4000))/1000</f>
        <v>0</v>
      </c>
      <c r="J40" s="31">
        <f t="array" ref="J40">SUM(('Отчет по покупателям УТ'!$M$6:$M$4000=Sheet1!$B40)*('Отчет по покупателям УТ'!$H$6:$H$4000&lt;&gt;"Advance")*('Отчет по покупателям УТ'!$G$6:$G$4000=Sheet1!J$9)*('Отчет по покупателям УТ'!$K$6:$K$4000))/1000</f>
        <v>0</v>
      </c>
      <c r="K40" s="31">
        <f t="array" ref="K40">SUM(('Отчет по покупателям УТ'!$M$6:$M$4000=Sheet1!$B40)*('Отчет по покупателям УТ'!$H$6:$H$4000&lt;&gt;"Advance")*('Отчет по покупателям УТ'!$G$6:$G$4000=Sheet1!K$9)*('Отчет по покупателям УТ'!$K$6:$K$4000))/1000</f>
        <v>0</v>
      </c>
      <c r="L40" s="31">
        <f t="array" ref="L40">SUM(('Отчет по покупателям УТ'!$M$6:$M$4000=Sheet1!$B40)*('Отчет по покупателям УТ'!$H$6:$H$4000&lt;&gt;"Advance")*('Отчет по покупателям УТ'!$G$6:$G$4000=Sheet1!L$9)*('Отчет по покупателям УТ'!$K$6:$K$4000))/1000</f>
        <v>0</v>
      </c>
      <c r="N40" s="31">
        <f t="array" ref="N40">SUM(('Отчет по покупателям УТ'!$M$6:$M$4000=Sheet1!$B40)*('Отчет по покупателям УТ'!$H$6:$H$4000="Advance")*('Отчет по покупателям УТ'!$K$6:$K$4000))/1000</f>
        <v>-342.27284999999995</v>
      </c>
      <c r="O40" s="31">
        <f t="array" ref="O40">SUM(('Отчет по покупателям УТ'!$M$6:$M$4000=Sheet1!$B40)*('Отчет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41" spans="1:15" x14ac:dyDescent="0.2">
      <c r="A41">
        <v>9</v>
      </c>
      <c r="B41" s="47" t="str">
        <f t="array" ref="B41">INDEX(Pivots!$A$7:$A$200,MATCH(LARGE((Pivots!$B$7:$B$200),$A41),Pivots!$B$7:$B$200,0),1)</f>
        <v>ИП Журавлев Андрей  Васильевич</v>
      </c>
      <c r="D41" s="31">
        <f t="array" ref="D41">SUM(('Отчет по покупателям УТ'!$M$6:$M$4000=Sheet1!$B41)*('Отчет по покупателям УТ'!$A$6:$A$4000=Sheet1!D$4)*('Отчет по покупателям УТ'!$D$6:$D$4000&gt;Sheet1!$C$1)*('Отчет по покупателям УТ'!$D$6:$D$4000&lt;Sheet1!$C$2)*('Отчет по покупателям УТ'!$K$6:$K$4000))/1000</f>
        <v>0</v>
      </c>
      <c r="E41" s="31">
        <f t="array" ref="E41">SUM(('Отчет по покупателям УТ'!$M$6:$M$4000=Sheet1!$B41)*('Отчет по покупателям УТ'!$A$6:$A$4000=Sheet1!E$4)*('Отчет по покупателям УТ'!$D$6:$D$4000&gt;Sheet1!$C$1)*('Отчет по покупателям УТ'!$D$6:$D$4000&lt;Sheet1!$C$2)*('Отчет по покупателям УТ'!$K$6:$K$4000))/1000</f>
        <v>0</v>
      </c>
      <c r="F41" s="59">
        <f t="array" ref="F41">SUM(('Adjusted Ageing by Customer'!$A$9:$A$200=Sheet1!$B41)*('Adjusted Ageing by Customer'!$AD$9:$AD$200))/1000</f>
        <v>0</v>
      </c>
      <c r="G41" s="31">
        <f t="array" ref="G41">SUM(('Отчет по покупателям УТ'!$M$6:$M$4000=Sheet1!$B41)*('Отчет по покупателям УТ'!$H$6:$H$4000&lt;&gt;"Advance")*('Отчет по покупателям УТ'!$G$6:$G$4000=Sheet1!G$9)*('Отчет по покупателям УТ'!$K$6:$K$4000))/1000</f>
        <v>0</v>
      </c>
      <c r="H41" s="31">
        <f t="array" ref="H41">SUM(('Отчет по покупателям УТ'!$M$6:$M$4000=Sheet1!$B41)*('Отчет по покупателям УТ'!$H$6:$H$4000&lt;&gt;"Advance")*('Отчет по покупателям УТ'!$G$6:$G$4000=Sheet1!H$9)*('Отчет по покупателям УТ'!$K$6:$K$4000))/1000</f>
        <v>0</v>
      </c>
      <c r="I41" s="31">
        <f t="array" ref="I41">SUM(('Отчет по покупателям УТ'!$M$6:$M$4000=Sheet1!$B41)*('Отчет по покупателям УТ'!$H$6:$H$4000&lt;&gt;"Advance")*('Отчет по покупателям УТ'!$G$6:$G$4000=Sheet1!I$9)*('Отчет по покупателям УТ'!$K$6:$K$4000))/1000</f>
        <v>0</v>
      </c>
      <c r="J41" s="31">
        <f t="array" ref="J41">SUM(('Отчет по покупателям УТ'!$M$6:$M$4000=Sheet1!$B41)*('Отчет по покупателям УТ'!$H$6:$H$4000&lt;&gt;"Advance")*('Отчет по покупателям УТ'!$G$6:$G$4000=Sheet1!J$9)*('Отчет по покупателям УТ'!$K$6:$K$4000))/1000</f>
        <v>0</v>
      </c>
      <c r="K41" s="31">
        <f t="array" ref="K41">SUM(('Отчет по покупателям УТ'!$M$6:$M$4000=Sheet1!$B41)*('Отчет по покупателям УТ'!$H$6:$H$4000&lt;&gt;"Advance")*('Отчет по покупателям УТ'!$G$6:$G$4000=Sheet1!K$9)*('Отчет по покупателям УТ'!$K$6:$K$4000))/1000</f>
        <v>0</v>
      </c>
      <c r="L41" s="31">
        <f t="array" ref="L41">SUM(('Отчет по покупателям УТ'!$M$6:$M$4000=Sheet1!$B41)*('Отчет по покупателям УТ'!$H$6:$H$4000&lt;&gt;"Advance")*('Отчет по покупателям УТ'!$G$6:$G$4000=Sheet1!L$9)*('Отчет по покупателям УТ'!$K$6:$K$4000))/1000</f>
        <v>0</v>
      </c>
      <c r="N41" s="31">
        <f t="array" ref="N41">SUM(('Отчет по покупателям УТ'!$M$6:$M$4000=Sheet1!$B41)*('Отчет по покупателям УТ'!$H$6:$H$4000="Advance")*('Отчет по покупателям УТ'!$K$6:$K$4000))/1000</f>
        <v>-1618.90833</v>
      </c>
      <c r="O41" s="31">
        <f t="array" ref="O41">SUM(('Отчет по покупателям УТ'!$M$6:$M$4000=Sheet1!$B41)*('Отчет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42" spans="1:15" x14ac:dyDescent="0.2">
      <c r="A42">
        <v>10</v>
      </c>
      <c r="B42" s="47" t="str">
        <f t="array" ref="B42">INDEX(Pivots!$A$7:$A$200,MATCH(LARGE((Pivots!$B$7:$B$200),$A42),Pivots!$B$7:$B$200,0),1)</f>
        <v>ИП Харитонов Сергей Владимирович</v>
      </c>
      <c r="D42" s="31">
        <f t="array" ref="D42">SUM(('Отчет по покупателям УТ'!$M$6:$M$4000=Sheet1!$B42)*('Отчет по покупателям УТ'!$A$6:$A$4000=Sheet1!D$4)*('Отчет по покупателям УТ'!$D$6:$D$4000&gt;Sheet1!$C$1)*('Отчет по покупателям УТ'!$D$6:$D$4000&lt;Sheet1!$C$2)*('Отчет по покупателям УТ'!$K$6:$K$4000))/1000</f>
        <v>0</v>
      </c>
      <c r="E42" s="31">
        <f t="array" ref="E42">SUM(('Отчет по покупателям УТ'!$M$6:$M$4000=Sheet1!$B42)*('Отчет по покупателям УТ'!$A$6:$A$4000=Sheet1!E$4)*('Отчет по покупателям УТ'!$D$6:$D$4000&gt;Sheet1!$C$1)*('Отчет по покупателям УТ'!$D$6:$D$4000&lt;Sheet1!$C$2)*('Отчет по покупателям УТ'!$K$6:$K$4000))/1000</f>
        <v>0</v>
      </c>
      <c r="F42" s="59">
        <f t="array" ref="F42">SUM(('Adjusted Ageing by Customer'!$A$9:$A$200=Sheet1!$B42)*('Adjusted Ageing by Customer'!$AD$9:$AD$200))/1000</f>
        <v>85.942499999999995</v>
      </c>
      <c r="G42" s="31">
        <f t="array" ref="G42">SUM(('Отчет по покупателям УТ'!$M$6:$M$4000=Sheet1!$B42)*('Отчет по покупателям УТ'!$H$6:$H$4000&lt;&gt;"Advance")*('Отчет по покупателям УТ'!$G$6:$G$4000=Sheet1!G$9)*('Отчет по покупателям УТ'!$K$6:$K$4000))/1000</f>
        <v>0</v>
      </c>
      <c r="H42" s="31">
        <f t="array" ref="H42">SUM(('Отчет по покупателям УТ'!$M$6:$M$4000=Sheet1!$B42)*('Отчет по покупателям УТ'!$H$6:$H$4000&lt;&gt;"Advance")*('Отчет по покупателям УТ'!$G$6:$G$4000=Sheet1!H$9)*('Отчет по покупателям УТ'!$K$6:$K$4000))/1000</f>
        <v>0</v>
      </c>
      <c r="I42" s="31">
        <f t="array" ref="I42">SUM(('Отчет по покупателям УТ'!$M$6:$M$4000=Sheet1!$B42)*('Отчет по покупателям УТ'!$H$6:$H$4000&lt;&gt;"Advance")*('Отчет по покупателям УТ'!$G$6:$G$4000=Sheet1!I$9)*('Отчет по покупателям УТ'!$K$6:$K$4000))/1000</f>
        <v>0</v>
      </c>
      <c r="J42" s="31">
        <f t="array" ref="J42">SUM(('Отчет по покупателям УТ'!$M$6:$M$4000=Sheet1!$B42)*('Отчет по покупателям УТ'!$H$6:$H$4000&lt;&gt;"Advance")*('Отчет по покупателям УТ'!$G$6:$G$4000=Sheet1!J$9)*('Отчет по покупателям УТ'!$K$6:$K$4000))/1000</f>
        <v>0</v>
      </c>
      <c r="K42" s="31">
        <f t="array" ref="K42">SUM(('Отчет по покупателям УТ'!$M$6:$M$4000=Sheet1!$B42)*('Отчет по покупателям УТ'!$H$6:$H$4000&lt;&gt;"Advance")*('Отчет по покупателям УТ'!$G$6:$G$4000=Sheet1!K$9)*('Отчет по покупателям УТ'!$K$6:$K$4000))/1000</f>
        <v>0</v>
      </c>
      <c r="L42" s="31">
        <f t="array" ref="L42">SUM(('Отчет по покупателям УТ'!$M$6:$M$4000=Sheet1!$B42)*('Отчет по покупателям УТ'!$H$6:$H$4000&lt;&gt;"Advance")*('Отчет по покупателям УТ'!$G$6:$G$4000=Sheet1!L$9)*('Отчет по покупателям УТ'!$K$6:$K$4000))/1000</f>
        <v>0</v>
      </c>
      <c r="N42" s="31">
        <f t="array" ref="N42">SUM(('Отчет по покупателям УТ'!$M$6:$M$4000=Sheet1!$B42)*('Отчет по покупателям УТ'!$H$6:$H$4000="Advance")*('Отчет по покупателям УТ'!$K$6:$K$4000))/1000</f>
        <v>0</v>
      </c>
      <c r="O42" s="31">
        <f t="array" ref="O42">SUM(('Отчет по покупателям УТ'!$M$6:$M$4000=Sheet1!$B42)*('Отчет по покупателям УТ'!$A$6:$A$4000=Sheet1!O$4)*('Отчет по покупателям УТ'!$D$6:$D$4000&gt;Sheet1!$C$1)*('Отчет по покупателям УТ'!$D$6:$D$4000&lt;Sheet1!$C$2)*('Отчет по покупателям УТ'!$K$6:$K$4000))/1000</f>
        <v>0</v>
      </c>
    </row>
    <row r="43" spans="1:15" x14ac:dyDescent="0.2">
      <c r="D43" s="222">
        <f>SUM(D33:D42)</f>
        <v>-913.99721999999997</v>
      </c>
      <c r="E43" s="222">
        <f t="shared" ref="E43:O43" si="1">SUM(E33:E42)</f>
        <v>-263.02499999999998</v>
      </c>
      <c r="F43" s="222">
        <f t="shared" si="1"/>
        <v>67361.003500000006</v>
      </c>
      <c r="G43" s="222">
        <f t="shared" si="1"/>
        <v>0</v>
      </c>
      <c r="H43" s="222">
        <f t="shared" si="1"/>
        <v>0</v>
      </c>
      <c r="I43" s="222">
        <f t="shared" si="1"/>
        <v>560.15</v>
      </c>
      <c r="J43" s="222">
        <f t="shared" si="1"/>
        <v>1209.61609</v>
      </c>
      <c r="K43" s="222">
        <f t="shared" si="1"/>
        <v>167.93996000000001</v>
      </c>
      <c r="L43" s="222">
        <f t="shared" si="1"/>
        <v>2.8199099999999997</v>
      </c>
      <c r="M43" s="222">
        <f t="shared" si="1"/>
        <v>0</v>
      </c>
      <c r="N43" s="222">
        <f t="shared" si="1"/>
        <v>-68663.275709999987</v>
      </c>
      <c r="O43" s="222">
        <f t="shared" si="1"/>
        <v>-913.99721999999997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H91"/>
  <sheetViews>
    <sheetView workbookViewId="0">
      <pane xSplit="1" ySplit="2" topLeftCell="B57" activePane="bottomRight" state="frozen"/>
      <selection pane="topRight" activeCell="B1" sqref="B1"/>
      <selection pane="bottomLeft" activeCell="A3" sqref="A3"/>
      <selection pane="bottomRight" activeCell="G94" sqref="G94"/>
    </sheetView>
  </sheetViews>
  <sheetFormatPr defaultRowHeight="11.25" x14ac:dyDescent="0.2"/>
  <cols>
    <col min="1" max="1" width="42.1640625" customWidth="1"/>
    <col min="2" max="2" width="22" bestFit="1" customWidth="1"/>
    <col min="3" max="3" width="11.1640625" customWidth="1"/>
    <col min="4" max="4" width="7.6640625" bestFit="1" customWidth="1"/>
    <col min="5" max="5" width="12" customWidth="1"/>
    <col min="6" max="6" width="20.33203125" customWidth="1"/>
    <col min="7" max="7" width="21.83203125" customWidth="1"/>
    <col min="8" max="8" width="20.83203125" customWidth="1"/>
  </cols>
  <sheetData>
    <row r="1" spans="1:5" x14ac:dyDescent="0.2">
      <c r="A1" s="7" t="s">
        <v>368</v>
      </c>
      <c r="B1" s="7" t="s">
        <v>1037</v>
      </c>
    </row>
    <row r="2" spans="1:5" x14ac:dyDescent="0.2">
      <c r="A2" s="7" t="s">
        <v>1038</v>
      </c>
      <c r="B2" t="s">
        <v>1018</v>
      </c>
      <c r="C2" t="s">
        <v>1019</v>
      </c>
      <c r="D2" t="s">
        <v>1040</v>
      </c>
      <c r="E2" t="s">
        <v>1039</v>
      </c>
    </row>
    <row r="3" spans="1:5" x14ac:dyDescent="0.2">
      <c r="A3" s="1" t="s">
        <v>240</v>
      </c>
      <c r="B3" s="9">
        <v>-37241077.140000001</v>
      </c>
      <c r="C3" s="9">
        <v>72695969.930000007</v>
      </c>
      <c r="D3" s="9"/>
      <c r="E3" s="9">
        <v>35454892.790000007</v>
      </c>
    </row>
    <row r="4" spans="1:5" x14ac:dyDescent="0.2">
      <c r="A4" s="1" t="s">
        <v>285</v>
      </c>
      <c r="B4" s="9">
        <v>-28302906.390000001</v>
      </c>
      <c r="C4" s="9">
        <v>50792891</v>
      </c>
      <c r="D4" s="9"/>
      <c r="E4" s="9">
        <v>22489984.609999999</v>
      </c>
    </row>
    <row r="5" spans="1:5" x14ac:dyDescent="0.2">
      <c r="A5" s="1" t="s">
        <v>69</v>
      </c>
      <c r="B5" s="9">
        <v>-8839</v>
      </c>
      <c r="C5" s="9">
        <v>13999004.92</v>
      </c>
      <c r="D5" s="9"/>
      <c r="E5" s="9">
        <v>13990165.92</v>
      </c>
    </row>
    <row r="6" spans="1:5" x14ac:dyDescent="0.2">
      <c r="A6" s="1" t="s">
        <v>185</v>
      </c>
      <c r="B6" s="9"/>
      <c r="C6" s="9">
        <v>5949681.5600000005</v>
      </c>
      <c r="D6" s="9"/>
      <c r="E6" s="9">
        <v>5949681.5600000005</v>
      </c>
    </row>
    <row r="7" spans="1:5" x14ac:dyDescent="0.2">
      <c r="A7" s="1" t="s">
        <v>310</v>
      </c>
      <c r="B7" s="9">
        <v>-0.01</v>
      </c>
      <c r="C7" s="9">
        <v>5024208</v>
      </c>
      <c r="D7" s="9"/>
      <c r="E7" s="9">
        <v>5024207.99</v>
      </c>
    </row>
    <row r="8" spans="1:5" x14ac:dyDescent="0.2">
      <c r="A8" s="1" t="s">
        <v>298</v>
      </c>
      <c r="B8" s="9">
        <v>-30096</v>
      </c>
      <c r="C8" s="9">
        <v>3383464</v>
      </c>
      <c r="D8" s="9"/>
      <c r="E8" s="9">
        <v>3353368</v>
      </c>
    </row>
    <row r="9" spans="1:5" x14ac:dyDescent="0.2">
      <c r="A9" s="1" t="s">
        <v>277</v>
      </c>
      <c r="B9" s="9"/>
      <c r="C9" s="9">
        <v>1970591.38</v>
      </c>
      <c r="D9" s="9"/>
      <c r="E9" s="9">
        <v>1970591.38</v>
      </c>
    </row>
    <row r="10" spans="1:5" x14ac:dyDescent="0.2">
      <c r="A10" s="1" t="s">
        <v>324</v>
      </c>
      <c r="B10" s="9">
        <v>-544281</v>
      </c>
      <c r="C10" s="9">
        <v>1370346.4</v>
      </c>
      <c r="D10" s="9"/>
      <c r="E10" s="9">
        <v>826065.39999999991</v>
      </c>
    </row>
    <row r="11" spans="1:5" x14ac:dyDescent="0.2">
      <c r="A11" s="1" t="s">
        <v>48</v>
      </c>
      <c r="B11" s="9">
        <v>-169458.16</v>
      </c>
      <c r="C11" s="9">
        <v>981116.66999999993</v>
      </c>
      <c r="D11" s="9"/>
      <c r="E11" s="9">
        <v>811658.50999999989</v>
      </c>
    </row>
    <row r="12" spans="1:5" x14ac:dyDescent="0.2">
      <c r="A12" s="1" t="s">
        <v>148</v>
      </c>
      <c r="B12" s="9">
        <v>-342272.85</v>
      </c>
      <c r="C12" s="9">
        <v>940525</v>
      </c>
      <c r="D12" s="9"/>
      <c r="E12" s="9">
        <v>598252.15</v>
      </c>
    </row>
    <row r="13" spans="1:5" x14ac:dyDescent="0.2">
      <c r="A13" s="1" t="s">
        <v>180</v>
      </c>
      <c r="B13" s="9"/>
      <c r="C13" s="9">
        <v>85942.5</v>
      </c>
      <c r="D13" s="9"/>
      <c r="E13" s="9">
        <v>85942.5</v>
      </c>
    </row>
    <row r="14" spans="1:5" x14ac:dyDescent="0.2">
      <c r="A14" s="1" t="s">
        <v>271</v>
      </c>
      <c r="B14" s="9"/>
      <c r="C14" s="9">
        <v>0.01</v>
      </c>
      <c r="D14" s="9"/>
      <c r="E14" s="9">
        <v>0.01</v>
      </c>
    </row>
    <row r="15" spans="1:5" x14ac:dyDescent="0.2">
      <c r="A15" s="1" t="s">
        <v>1040</v>
      </c>
      <c r="B15" s="9"/>
      <c r="C15" s="9"/>
      <c r="D15" s="9"/>
      <c r="E15" s="9"/>
    </row>
    <row r="16" spans="1:5" x14ac:dyDescent="0.2">
      <c r="A16" s="1" t="s">
        <v>145</v>
      </c>
      <c r="B16" s="9">
        <v>-53</v>
      </c>
      <c r="C16" s="9"/>
      <c r="D16" s="9"/>
      <c r="E16" s="9">
        <v>-53</v>
      </c>
    </row>
    <row r="17" spans="1:5" x14ac:dyDescent="0.2">
      <c r="A17" s="1" t="s">
        <v>158</v>
      </c>
      <c r="B17" s="9">
        <v>-245.97</v>
      </c>
      <c r="C17" s="9"/>
      <c r="D17" s="9"/>
      <c r="E17" s="9">
        <v>-245.97</v>
      </c>
    </row>
    <row r="18" spans="1:5" x14ac:dyDescent="0.2">
      <c r="A18" s="1" t="s">
        <v>150</v>
      </c>
      <c r="B18" s="9">
        <v>-413.01</v>
      </c>
      <c r="C18" s="9"/>
      <c r="D18" s="9"/>
      <c r="E18" s="9">
        <v>-413.01</v>
      </c>
    </row>
    <row r="19" spans="1:5" x14ac:dyDescent="0.2">
      <c r="A19" s="1" t="s">
        <v>140</v>
      </c>
      <c r="B19" s="9">
        <v>-625.94000000000005</v>
      </c>
      <c r="C19" s="9"/>
      <c r="D19" s="9"/>
      <c r="E19" s="9">
        <v>-625.94000000000005</v>
      </c>
    </row>
    <row r="20" spans="1:5" x14ac:dyDescent="0.2">
      <c r="A20" s="1" t="s">
        <v>44</v>
      </c>
      <c r="B20" s="9">
        <v>-700</v>
      </c>
      <c r="C20" s="9"/>
      <c r="D20" s="9"/>
      <c r="E20" s="9">
        <v>-700</v>
      </c>
    </row>
    <row r="21" spans="1:5" x14ac:dyDescent="0.2">
      <c r="A21" s="1" t="s">
        <v>1596</v>
      </c>
      <c r="B21" s="9">
        <v>-869.5</v>
      </c>
      <c r="C21" s="9"/>
      <c r="D21" s="9"/>
      <c r="E21" s="9">
        <v>-869.5</v>
      </c>
    </row>
    <row r="22" spans="1:5" x14ac:dyDescent="0.2">
      <c r="A22" s="1" t="s">
        <v>117</v>
      </c>
      <c r="B22" s="9">
        <v>-1759.12</v>
      </c>
      <c r="C22" s="9"/>
      <c r="D22" s="9"/>
      <c r="E22" s="9">
        <v>-1759.12</v>
      </c>
    </row>
    <row r="23" spans="1:5" x14ac:dyDescent="0.2">
      <c r="A23" s="1" t="s">
        <v>250</v>
      </c>
      <c r="B23" s="9">
        <v>-3775.8</v>
      </c>
      <c r="C23" s="9"/>
      <c r="D23" s="9"/>
      <c r="E23" s="9">
        <v>-3775.8</v>
      </c>
    </row>
    <row r="24" spans="1:5" x14ac:dyDescent="0.2">
      <c r="A24" s="1" t="s">
        <v>127</v>
      </c>
      <c r="B24" s="9">
        <v>-7199.46</v>
      </c>
      <c r="C24" s="9"/>
      <c r="D24" s="9"/>
      <c r="E24" s="9">
        <v>-7199.46</v>
      </c>
    </row>
    <row r="25" spans="1:5" x14ac:dyDescent="0.2">
      <c r="A25" s="1" t="s">
        <v>94</v>
      </c>
      <c r="B25" s="9">
        <v>-7495</v>
      </c>
      <c r="C25" s="9"/>
      <c r="D25" s="9"/>
      <c r="E25" s="9">
        <v>-7495</v>
      </c>
    </row>
    <row r="26" spans="1:5" x14ac:dyDescent="0.2">
      <c r="A26" s="1" t="s">
        <v>130</v>
      </c>
      <c r="B26" s="9">
        <v>-9548</v>
      </c>
      <c r="C26" s="9"/>
      <c r="D26" s="9"/>
      <c r="E26" s="9">
        <v>-9548</v>
      </c>
    </row>
    <row r="27" spans="1:5" x14ac:dyDescent="0.2">
      <c r="A27" s="1" t="s">
        <v>134</v>
      </c>
      <c r="B27" s="9">
        <v>-10198</v>
      </c>
      <c r="C27" s="9"/>
      <c r="D27" s="9"/>
      <c r="E27" s="9">
        <v>-10198</v>
      </c>
    </row>
    <row r="28" spans="1:5" x14ac:dyDescent="0.2">
      <c r="A28" s="1" t="s">
        <v>109</v>
      </c>
      <c r="B28" s="9">
        <v>-11533.5</v>
      </c>
      <c r="C28" s="9"/>
      <c r="D28" s="9"/>
      <c r="E28" s="9">
        <v>-11533.5</v>
      </c>
    </row>
    <row r="29" spans="1:5" x14ac:dyDescent="0.2">
      <c r="A29" s="1" t="s">
        <v>183</v>
      </c>
      <c r="B29" s="9">
        <v>-18087.14</v>
      </c>
      <c r="C29" s="9"/>
      <c r="D29" s="9"/>
      <c r="E29" s="9">
        <v>-18087.14</v>
      </c>
    </row>
    <row r="30" spans="1:5" x14ac:dyDescent="0.2">
      <c r="A30" s="1" t="s">
        <v>54</v>
      </c>
      <c r="B30" s="9">
        <v>-30012.37</v>
      </c>
      <c r="C30" s="9"/>
      <c r="D30" s="9"/>
      <c r="E30" s="9">
        <v>-30012.37</v>
      </c>
    </row>
    <row r="31" spans="1:5" x14ac:dyDescent="0.2">
      <c r="A31" s="1" t="s">
        <v>33</v>
      </c>
      <c r="B31" s="9">
        <v>-34032</v>
      </c>
      <c r="C31" s="9"/>
      <c r="D31" s="9"/>
      <c r="E31" s="9">
        <v>-34032</v>
      </c>
    </row>
    <row r="32" spans="1:5" x14ac:dyDescent="0.2">
      <c r="A32" s="1" t="s">
        <v>168</v>
      </c>
      <c r="B32" s="9">
        <v>-35353.949999999997</v>
      </c>
      <c r="C32" s="9"/>
      <c r="D32" s="9"/>
      <c r="E32" s="9">
        <v>-35353.949999999997</v>
      </c>
    </row>
    <row r="33" spans="1:5" x14ac:dyDescent="0.2">
      <c r="A33" s="1" t="s">
        <v>1640</v>
      </c>
      <c r="B33" s="9">
        <v>-36451</v>
      </c>
      <c r="C33" s="9"/>
      <c r="D33" s="9"/>
      <c r="E33" s="9">
        <v>-36451</v>
      </c>
    </row>
    <row r="34" spans="1:5" x14ac:dyDescent="0.2">
      <c r="A34" s="1" t="s">
        <v>114</v>
      </c>
      <c r="B34" s="9">
        <v>-36635.9</v>
      </c>
      <c r="C34" s="9"/>
      <c r="D34" s="9"/>
      <c r="E34" s="9">
        <v>-36635.9</v>
      </c>
    </row>
    <row r="35" spans="1:5" x14ac:dyDescent="0.2">
      <c r="A35" s="1" t="s">
        <v>276</v>
      </c>
      <c r="B35" s="9">
        <v>-46500</v>
      </c>
      <c r="C35" s="9"/>
      <c r="D35" s="9"/>
      <c r="E35" s="9">
        <v>-46500</v>
      </c>
    </row>
    <row r="36" spans="1:5" x14ac:dyDescent="0.2">
      <c r="A36" s="1" t="s">
        <v>266</v>
      </c>
      <c r="B36" s="9">
        <v>-47278.38</v>
      </c>
      <c r="C36" s="9"/>
      <c r="D36" s="9"/>
      <c r="E36" s="9">
        <v>-47278.38</v>
      </c>
    </row>
    <row r="37" spans="1:5" x14ac:dyDescent="0.2">
      <c r="A37" s="1" t="s">
        <v>119</v>
      </c>
      <c r="B37" s="9">
        <v>-50473</v>
      </c>
      <c r="C37" s="9"/>
      <c r="D37" s="9"/>
      <c r="E37" s="9">
        <v>-50473</v>
      </c>
    </row>
    <row r="38" spans="1:5" x14ac:dyDescent="0.2">
      <c r="A38" s="1" t="s">
        <v>173</v>
      </c>
      <c r="B38" s="9">
        <v>-57267</v>
      </c>
      <c r="C38" s="9"/>
      <c r="D38" s="9"/>
      <c r="E38" s="9">
        <v>-57267</v>
      </c>
    </row>
    <row r="39" spans="1:5" x14ac:dyDescent="0.2">
      <c r="A39" s="1" t="s">
        <v>121</v>
      </c>
      <c r="B39" s="9">
        <v>-57290.6</v>
      </c>
      <c r="C39" s="9"/>
      <c r="D39" s="9"/>
      <c r="E39" s="9">
        <v>-57290.6</v>
      </c>
    </row>
    <row r="40" spans="1:5" x14ac:dyDescent="0.2">
      <c r="A40" s="1" t="s">
        <v>1390</v>
      </c>
      <c r="B40" s="9">
        <v>-66196.14</v>
      </c>
      <c r="C40" s="9"/>
      <c r="D40" s="9"/>
      <c r="E40" s="9">
        <v>-66196.14</v>
      </c>
    </row>
    <row r="41" spans="1:5" x14ac:dyDescent="0.2">
      <c r="A41" s="1" t="s">
        <v>730</v>
      </c>
      <c r="B41" s="9">
        <v>-69037.63</v>
      </c>
      <c r="C41" s="9"/>
      <c r="D41" s="9"/>
      <c r="E41" s="9">
        <v>-69037.63</v>
      </c>
    </row>
    <row r="42" spans="1:5" x14ac:dyDescent="0.2">
      <c r="A42" s="1" t="s">
        <v>135</v>
      </c>
      <c r="B42" s="9">
        <v>-73000</v>
      </c>
      <c r="C42" s="9"/>
      <c r="D42" s="9"/>
      <c r="E42" s="9">
        <v>-73000</v>
      </c>
    </row>
    <row r="43" spans="1:5" x14ac:dyDescent="0.2">
      <c r="A43" s="1" t="s">
        <v>164</v>
      </c>
      <c r="B43" s="9">
        <v>-79689.259999999995</v>
      </c>
      <c r="C43" s="9"/>
      <c r="D43" s="9"/>
      <c r="E43" s="9">
        <v>-79689.259999999995</v>
      </c>
    </row>
    <row r="44" spans="1:5" x14ac:dyDescent="0.2">
      <c r="A44" s="1" t="s">
        <v>120</v>
      </c>
      <c r="B44" s="9">
        <v>-82254</v>
      </c>
      <c r="C44" s="9"/>
      <c r="D44" s="9"/>
      <c r="E44" s="9">
        <v>-82254</v>
      </c>
    </row>
    <row r="45" spans="1:5" x14ac:dyDescent="0.2">
      <c r="A45" s="1" t="s">
        <v>1485</v>
      </c>
      <c r="B45" s="9">
        <v>-85906.98</v>
      </c>
      <c r="C45" s="9"/>
      <c r="D45" s="9"/>
      <c r="E45" s="9">
        <v>-85906.98</v>
      </c>
    </row>
    <row r="46" spans="1:5" x14ac:dyDescent="0.2">
      <c r="A46" s="1" t="s">
        <v>327</v>
      </c>
      <c r="B46" s="9">
        <v>-85944.35</v>
      </c>
      <c r="C46" s="9"/>
      <c r="D46" s="9"/>
      <c r="E46" s="9">
        <v>-85944.35</v>
      </c>
    </row>
    <row r="47" spans="1:5" x14ac:dyDescent="0.2">
      <c r="A47" s="1" t="s">
        <v>105</v>
      </c>
      <c r="B47" s="9">
        <v>-86513</v>
      </c>
      <c r="C47" s="9"/>
      <c r="D47" s="9"/>
      <c r="E47" s="9">
        <v>-86513</v>
      </c>
    </row>
    <row r="48" spans="1:5" x14ac:dyDescent="0.2">
      <c r="A48" s="1" t="s">
        <v>549</v>
      </c>
      <c r="B48" s="9">
        <v>-95438.37</v>
      </c>
      <c r="C48" s="9"/>
      <c r="D48" s="9"/>
      <c r="E48" s="9">
        <v>-95438.37</v>
      </c>
    </row>
    <row r="49" spans="1:5" x14ac:dyDescent="0.2">
      <c r="A49" s="1" t="s">
        <v>1486</v>
      </c>
      <c r="B49" s="9">
        <v>-95860</v>
      </c>
      <c r="C49" s="9"/>
      <c r="D49" s="9"/>
      <c r="E49" s="9">
        <v>-95860</v>
      </c>
    </row>
    <row r="50" spans="1:5" x14ac:dyDescent="0.2">
      <c r="A50" s="1" t="s">
        <v>732</v>
      </c>
      <c r="B50" s="9">
        <v>-103355.81</v>
      </c>
      <c r="C50" s="9"/>
      <c r="D50" s="9"/>
      <c r="E50" s="9">
        <v>-103355.81</v>
      </c>
    </row>
    <row r="51" spans="1:5" x14ac:dyDescent="0.2">
      <c r="A51" s="1" t="s">
        <v>156</v>
      </c>
      <c r="B51" s="9">
        <v>-110330.7</v>
      </c>
      <c r="C51" s="9"/>
      <c r="D51" s="9"/>
      <c r="E51" s="9">
        <v>-110330.7</v>
      </c>
    </row>
    <row r="52" spans="1:5" x14ac:dyDescent="0.2">
      <c r="A52" s="1" t="s">
        <v>1394</v>
      </c>
      <c r="B52" s="9">
        <v>-117513.43</v>
      </c>
      <c r="C52" s="9"/>
      <c r="D52" s="9"/>
      <c r="E52" s="9">
        <v>-117513.43</v>
      </c>
    </row>
    <row r="53" spans="1:5" x14ac:dyDescent="0.2">
      <c r="A53" s="1" t="s">
        <v>262</v>
      </c>
      <c r="B53" s="9">
        <v>-118621.49</v>
      </c>
      <c r="C53" s="9"/>
      <c r="D53" s="9"/>
      <c r="E53" s="9">
        <v>-118621.49</v>
      </c>
    </row>
    <row r="54" spans="1:5" x14ac:dyDescent="0.2">
      <c r="A54" s="1" t="s">
        <v>137</v>
      </c>
      <c r="B54" s="9">
        <v>-134160.04999999999</v>
      </c>
      <c r="C54" s="9"/>
      <c r="D54" s="9"/>
      <c r="E54" s="9">
        <v>-134160.04999999999</v>
      </c>
    </row>
    <row r="55" spans="1:5" x14ac:dyDescent="0.2">
      <c r="A55" s="1" t="s">
        <v>874</v>
      </c>
      <c r="B55" s="9">
        <v>-139331</v>
      </c>
      <c r="C55" s="9"/>
      <c r="D55" s="9"/>
      <c r="E55" s="9">
        <v>-139331</v>
      </c>
    </row>
    <row r="56" spans="1:5" x14ac:dyDescent="0.2">
      <c r="A56" s="1" t="s">
        <v>256</v>
      </c>
      <c r="B56" s="9">
        <v>-144999.4</v>
      </c>
      <c r="C56" s="9"/>
      <c r="D56" s="9"/>
      <c r="E56" s="9">
        <v>-144999.4</v>
      </c>
    </row>
    <row r="57" spans="1:5" x14ac:dyDescent="0.2">
      <c r="A57" s="1" t="s">
        <v>267</v>
      </c>
      <c r="B57" s="9">
        <v>-149105.75</v>
      </c>
      <c r="C57" s="9"/>
      <c r="D57" s="9"/>
      <c r="E57" s="9">
        <v>-149105.75</v>
      </c>
    </row>
    <row r="58" spans="1:5" x14ac:dyDescent="0.2">
      <c r="A58" s="1" t="s">
        <v>1632</v>
      </c>
      <c r="B58" s="9">
        <v>-151396.46</v>
      </c>
      <c r="C58" s="9"/>
      <c r="D58" s="9"/>
      <c r="E58" s="9">
        <v>-151396.46</v>
      </c>
    </row>
    <row r="59" spans="1:5" x14ac:dyDescent="0.2">
      <c r="A59" s="1" t="s">
        <v>111</v>
      </c>
      <c r="B59" s="9">
        <v>-166755.06</v>
      </c>
      <c r="C59" s="9"/>
      <c r="D59" s="9"/>
      <c r="E59" s="9">
        <v>-166755.06</v>
      </c>
    </row>
    <row r="60" spans="1:5" x14ac:dyDescent="0.2">
      <c r="A60" s="1" t="s">
        <v>1428</v>
      </c>
      <c r="B60" s="9">
        <v>-172960.58</v>
      </c>
      <c r="C60" s="9"/>
      <c r="D60" s="9"/>
      <c r="E60" s="9">
        <v>-172960.58</v>
      </c>
    </row>
    <row r="61" spans="1:5" x14ac:dyDescent="0.2">
      <c r="A61" s="1" t="s">
        <v>154</v>
      </c>
      <c r="B61" s="9">
        <v>-178707.59999999998</v>
      </c>
      <c r="C61" s="9"/>
      <c r="D61" s="9"/>
      <c r="E61" s="9">
        <v>-178707.59999999998</v>
      </c>
    </row>
    <row r="62" spans="1:5" x14ac:dyDescent="0.2">
      <c r="A62" s="1" t="s">
        <v>41</v>
      </c>
      <c r="B62" s="9">
        <v>-198121</v>
      </c>
      <c r="C62" s="9"/>
      <c r="D62" s="9"/>
      <c r="E62" s="9">
        <v>-198121</v>
      </c>
    </row>
    <row r="63" spans="1:5" x14ac:dyDescent="0.2">
      <c r="A63" s="1" t="s">
        <v>142</v>
      </c>
      <c r="B63" s="9">
        <v>-205125.58</v>
      </c>
      <c r="C63" s="9"/>
      <c r="D63" s="9"/>
      <c r="E63" s="9">
        <v>-205125.58</v>
      </c>
    </row>
    <row r="64" spans="1:5" x14ac:dyDescent="0.2">
      <c r="A64" s="1" t="s">
        <v>1198</v>
      </c>
      <c r="B64" s="9">
        <v>-220629.55</v>
      </c>
      <c r="C64" s="9"/>
      <c r="D64" s="9"/>
      <c r="E64" s="9">
        <v>-220629.55</v>
      </c>
    </row>
    <row r="65" spans="1:5" x14ac:dyDescent="0.2">
      <c r="A65" s="1" t="s">
        <v>116</v>
      </c>
      <c r="B65" s="9">
        <v>-229099.86</v>
      </c>
      <c r="C65" s="9"/>
      <c r="D65" s="9"/>
      <c r="E65" s="9">
        <v>-229099.86</v>
      </c>
    </row>
    <row r="66" spans="1:5" x14ac:dyDescent="0.2">
      <c r="A66" s="1" t="s">
        <v>152</v>
      </c>
      <c r="B66" s="9">
        <v>-241562</v>
      </c>
      <c r="C66" s="9"/>
      <c r="D66" s="9"/>
      <c r="E66" s="9">
        <v>-241562</v>
      </c>
    </row>
    <row r="67" spans="1:5" x14ac:dyDescent="0.2">
      <c r="A67" s="1" t="s">
        <v>133</v>
      </c>
      <c r="B67" s="9">
        <v>-255220.18</v>
      </c>
      <c r="C67" s="9"/>
      <c r="D67" s="9"/>
      <c r="E67" s="9">
        <v>-255220.18</v>
      </c>
    </row>
    <row r="68" spans="1:5" x14ac:dyDescent="0.2">
      <c r="A68" s="1" t="s">
        <v>328</v>
      </c>
      <c r="B68" s="9">
        <v>-273140.3</v>
      </c>
      <c r="C68" s="9"/>
      <c r="D68" s="9"/>
      <c r="E68" s="9">
        <v>-273140.3</v>
      </c>
    </row>
    <row r="69" spans="1:5" x14ac:dyDescent="0.2">
      <c r="A69" s="1" t="s">
        <v>734</v>
      </c>
      <c r="B69" s="9">
        <v>-278680.69</v>
      </c>
      <c r="C69" s="9"/>
      <c r="D69" s="9"/>
      <c r="E69" s="9">
        <v>-278680.69</v>
      </c>
    </row>
    <row r="70" spans="1:5" x14ac:dyDescent="0.2">
      <c r="A70" s="1" t="s">
        <v>1469</v>
      </c>
      <c r="B70" s="9">
        <v>-281250</v>
      </c>
      <c r="C70" s="9">
        <v>0.8</v>
      </c>
      <c r="D70" s="9"/>
      <c r="E70" s="9">
        <v>-281249.2</v>
      </c>
    </row>
    <row r="71" spans="1:5" x14ac:dyDescent="0.2">
      <c r="A71" s="1" t="s">
        <v>769</v>
      </c>
      <c r="B71" s="9">
        <v>-301128.5</v>
      </c>
      <c r="C71" s="9"/>
      <c r="D71" s="9"/>
      <c r="E71" s="9">
        <v>-301128.5</v>
      </c>
    </row>
    <row r="72" spans="1:5" x14ac:dyDescent="0.2">
      <c r="A72" s="1" t="s">
        <v>279</v>
      </c>
      <c r="B72" s="9">
        <v>-400029.78</v>
      </c>
      <c r="C72" s="9"/>
      <c r="D72" s="9"/>
      <c r="E72" s="9">
        <v>-400029.78</v>
      </c>
    </row>
    <row r="73" spans="1:5" x14ac:dyDescent="0.2">
      <c r="A73" s="1" t="s">
        <v>292</v>
      </c>
      <c r="B73" s="9">
        <v>-988652.84</v>
      </c>
      <c r="C73" s="9">
        <v>565994.06999999995</v>
      </c>
      <c r="D73" s="9"/>
      <c r="E73" s="9">
        <v>-422658.77</v>
      </c>
    </row>
    <row r="74" spans="1:5" x14ac:dyDescent="0.2">
      <c r="A74" s="1" t="s">
        <v>296</v>
      </c>
      <c r="B74" s="9">
        <v>-538811.61</v>
      </c>
      <c r="C74" s="9"/>
      <c r="D74" s="9"/>
      <c r="E74" s="9">
        <v>-538811.61</v>
      </c>
    </row>
    <row r="75" spans="1:5" x14ac:dyDescent="0.2">
      <c r="A75" s="1" t="s">
        <v>149</v>
      </c>
      <c r="B75" s="9">
        <v>-580403.11</v>
      </c>
      <c r="C75" s="9"/>
      <c r="D75" s="9"/>
      <c r="E75" s="9">
        <v>-580403.11</v>
      </c>
    </row>
    <row r="76" spans="1:5" x14ac:dyDescent="0.2">
      <c r="A76" s="1" t="s">
        <v>258</v>
      </c>
      <c r="B76" s="9">
        <v>-694717.67999999993</v>
      </c>
      <c r="C76" s="9"/>
      <c r="D76" s="9"/>
      <c r="E76" s="9">
        <v>-694717.67999999993</v>
      </c>
    </row>
    <row r="77" spans="1:5" x14ac:dyDescent="0.2">
      <c r="A77" s="1" t="s">
        <v>733</v>
      </c>
      <c r="B77" s="9">
        <v>-721170</v>
      </c>
      <c r="C77" s="9"/>
      <c r="D77" s="9"/>
      <c r="E77" s="9">
        <v>-721170</v>
      </c>
    </row>
    <row r="78" spans="1:5" x14ac:dyDescent="0.2">
      <c r="A78" s="1" t="s">
        <v>106</v>
      </c>
      <c r="B78" s="9">
        <v>-819186</v>
      </c>
      <c r="C78" s="9"/>
      <c r="D78" s="9"/>
      <c r="E78" s="9">
        <v>-819186</v>
      </c>
    </row>
    <row r="79" spans="1:5" x14ac:dyDescent="0.2">
      <c r="A79" s="1" t="s">
        <v>103</v>
      </c>
      <c r="B79" s="9">
        <v>-860926.44</v>
      </c>
      <c r="C79" s="9"/>
      <c r="D79" s="9"/>
      <c r="E79" s="9">
        <v>-860926.44</v>
      </c>
    </row>
    <row r="80" spans="1:5" x14ac:dyDescent="0.2">
      <c r="A80" s="1" t="s">
        <v>265</v>
      </c>
      <c r="B80" s="9">
        <v>-887638.04999999993</v>
      </c>
      <c r="C80" s="9"/>
      <c r="D80" s="9"/>
      <c r="E80" s="9">
        <v>-887638.04999999993</v>
      </c>
    </row>
    <row r="81" spans="1:8" x14ac:dyDescent="0.2">
      <c r="A81" s="1" t="s">
        <v>275</v>
      </c>
      <c r="B81" s="9">
        <v>-944662.40000000014</v>
      </c>
      <c r="C81" s="9"/>
      <c r="D81" s="9"/>
      <c r="E81" s="9">
        <v>-944662.40000000014</v>
      </c>
    </row>
    <row r="82" spans="1:8" ht="12.75" x14ac:dyDescent="0.2">
      <c r="A82" s="1" t="s">
        <v>178</v>
      </c>
      <c r="B82" s="9">
        <v>-1123932.3999999999</v>
      </c>
      <c r="C82" s="9"/>
      <c r="D82" s="9"/>
      <c r="E82" s="9">
        <v>-1123932.3999999999</v>
      </c>
      <c r="F82" t="s">
        <v>1353</v>
      </c>
      <c r="G82" s="210">
        <v>42645983.780000001</v>
      </c>
      <c r="H82" s="255">
        <f>G82-GETPIVOTDATA("Итого",$A$1)</f>
        <v>0</v>
      </c>
    </row>
    <row r="83" spans="1:8" x14ac:dyDescent="0.2">
      <c r="A83" s="1" t="s">
        <v>726</v>
      </c>
      <c r="B83" s="9">
        <v>-1144349</v>
      </c>
      <c r="C83" s="9"/>
      <c r="D83" s="9"/>
      <c r="E83" s="9">
        <v>-1144349</v>
      </c>
      <c r="F83" t="s">
        <v>1352</v>
      </c>
      <c r="G83">
        <f>('Check 1S 62 vs UT'!N1+'Check 1S 62 vs UT'!N5)*0</f>
        <v>0</v>
      </c>
    </row>
    <row r="84" spans="1:8" x14ac:dyDescent="0.2">
      <c r="A84" s="1" t="s">
        <v>315</v>
      </c>
      <c r="B84" s="9">
        <v>-1345382.9100000001</v>
      </c>
      <c r="C84" s="9"/>
      <c r="D84" s="9"/>
      <c r="E84" s="9">
        <v>-1345382.9100000001</v>
      </c>
    </row>
    <row r="85" spans="1:8" x14ac:dyDescent="0.2">
      <c r="A85" s="1" t="s">
        <v>280</v>
      </c>
      <c r="B85" s="9">
        <v>-44239338.730000004</v>
      </c>
      <c r="C85" s="9">
        <v>42790263</v>
      </c>
      <c r="D85" s="9"/>
      <c r="E85" s="9">
        <v>-1449075.7300000042</v>
      </c>
    </row>
    <row r="86" spans="1:8" x14ac:dyDescent="0.2">
      <c r="A86" s="1" t="s">
        <v>125</v>
      </c>
      <c r="B86" s="9">
        <v>-1618908.33</v>
      </c>
      <c r="C86" s="9"/>
      <c r="D86" s="9"/>
      <c r="E86" s="9">
        <v>-1618908.33</v>
      </c>
    </row>
    <row r="87" spans="1:8" x14ac:dyDescent="0.2">
      <c r="A87" s="1" t="s">
        <v>1136</v>
      </c>
      <c r="B87" s="9">
        <v>-1861824.5699999998</v>
      </c>
      <c r="C87" s="9"/>
      <c r="D87" s="9"/>
      <c r="E87" s="9">
        <v>-1861824.5699999998</v>
      </c>
    </row>
    <row r="88" spans="1:8" x14ac:dyDescent="0.2">
      <c r="A88" s="1" t="s">
        <v>60</v>
      </c>
      <c r="B88" s="9">
        <v>-3201565.86</v>
      </c>
      <c r="C88" s="9"/>
      <c r="D88" s="9"/>
      <c r="E88" s="9">
        <v>-3201565.86</v>
      </c>
    </row>
    <row r="89" spans="1:8" x14ac:dyDescent="0.2">
      <c r="A89" s="1" t="s">
        <v>99</v>
      </c>
      <c r="B89" s="9">
        <v>-11721091.359999999</v>
      </c>
      <c r="C89" s="9">
        <v>7537817.5999999996</v>
      </c>
      <c r="D89" s="9"/>
      <c r="E89" s="9">
        <v>-4183273.76</v>
      </c>
      <c r="G89">
        <v>0</v>
      </c>
    </row>
    <row r="90" spans="1:8" x14ac:dyDescent="0.2">
      <c r="A90" s="1" t="s">
        <v>98</v>
      </c>
      <c r="B90" s="9">
        <v>-19615479.080000002</v>
      </c>
      <c r="C90" s="9"/>
      <c r="D90" s="9"/>
      <c r="E90" s="9">
        <v>-19615479.080000002</v>
      </c>
    </row>
    <row r="91" spans="1:8" x14ac:dyDescent="0.2">
      <c r="A91" s="1" t="s">
        <v>1039</v>
      </c>
      <c r="B91" s="9">
        <v>-165441833.06</v>
      </c>
      <c r="C91" s="9">
        <v>208087816.84</v>
      </c>
      <c r="D91" s="9"/>
      <c r="E91" s="9">
        <v>42645983.780000001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 summaryRight="0"/>
    <pageSetUpPr autoPageBreaks="0"/>
  </sheetPr>
  <dimension ref="A1:Y5000"/>
  <sheetViews>
    <sheetView showGridLines="0" zoomScale="90" zoomScaleNormal="90" workbookViewId="0">
      <pane xSplit="11" ySplit="6" topLeftCell="L7" activePane="bottomRight" state="frozen"/>
      <selection pane="topRight" activeCell="L1" sqref="L1"/>
      <selection pane="bottomLeft" activeCell="A7" sqref="A7"/>
      <selection pane="bottomRight" activeCell="H78" sqref="H78"/>
    </sheetView>
  </sheetViews>
  <sheetFormatPr defaultColWidth="10.5" defaultRowHeight="11.45" customHeight="1" outlineLevelRow="1" outlineLevelCol="1" x14ac:dyDescent="0.2"/>
  <cols>
    <col min="1" max="1" width="25.33203125" style="3" customWidth="1"/>
    <col min="2" max="2" width="12.6640625" style="5" customWidth="1"/>
    <col min="3" max="3" width="9.5" style="3" customWidth="1"/>
    <col min="4" max="4" width="14.5" style="3" bestFit="1" customWidth="1"/>
    <col min="5" max="5" width="14.5" style="3" customWidth="1"/>
    <col min="6" max="6" width="11.1640625" style="3" customWidth="1"/>
    <col min="7" max="7" width="15.33203125" style="3" customWidth="1"/>
    <col min="8" max="8" width="16" style="3" bestFit="1" customWidth="1"/>
    <col min="9" max="9" width="16.33203125" style="17" customWidth="1"/>
    <col min="10" max="10" width="12.83203125" style="17" bestFit="1" customWidth="1"/>
    <col min="11" max="11" width="13.6640625" style="3" bestFit="1" customWidth="1"/>
    <col min="12" max="12" width="23.33203125" style="87" customWidth="1"/>
    <col min="13" max="13" width="29.33203125" style="87" customWidth="1"/>
    <col min="14" max="14" width="19.33203125" style="87" bestFit="1" customWidth="1"/>
    <col min="15" max="15" width="17" style="87" customWidth="1"/>
    <col min="16" max="16" width="18.33203125" style="87" customWidth="1"/>
    <col min="17" max="17" width="31" style="87" customWidth="1" collapsed="1"/>
    <col min="18" max="21" width="13.6640625" style="87" hidden="1" customWidth="1" outlineLevel="1"/>
    <col min="22" max="22" width="14.33203125" style="87" hidden="1" customWidth="1" outlineLevel="1"/>
    <col min="23" max="23" width="13.6640625" style="87" customWidth="1"/>
    <col min="24" max="24" width="16.5" style="87" bestFit="1" customWidth="1"/>
    <col min="25" max="16384" width="10.5" style="3"/>
  </cols>
  <sheetData>
    <row r="1" spans="1:25" s="1" customFormat="1" ht="12" collapsed="1" x14ac:dyDescent="0.2">
      <c r="B1" s="155">
        <v>44453</v>
      </c>
      <c r="E1" s="41" t="s">
        <v>392</v>
      </c>
      <c r="I1" s="396" t="str">
        <f>IF(M1&gt;L1,"COPY FORMULAS DOWN !!!","OK")</f>
        <v>OK</v>
      </c>
      <c r="J1" s="396"/>
      <c r="K1" s="396"/>
      <c r="L1" s="43">
        <f t="array" ref="L1">MATCH(TRUE,ISBLANK(A6:A5000),0)</f>
        <v>403</v>
      </c>
      <c r="M1" s="83">
        <f t="array" ref="M1">MATCH(TRUE,ISBLANK(X6:X5000),0)</f>
        <v>403</v>
      </c>
      <c r="N1" s="41" t="s">
        <v>393</v>
      </c>
      <c r="Y1" s="1" t="e">
        <f>SUM(('Отчет по покупателям УТ'!$J$6:$J$5000='Adj Ageing by Brand'!$B117)*('Отчет по покупателям УТ'!$H$6:$H$5000='Adj Ageing by Brand'!H$8)*('Отчет по покупателям УТ'!$M$6:$M$5000='Adj Ageing by Brand'!$A117)*('Отчет по покупателям УТ'!$K$6:$K$5000))</f>
        <v>#VALUE!</v>
      </c>
    </row>
    <row r="2" spans="1:25" ht="13.15" hidden="1" customHeight="1" outlineLevel="1" x14ac:dyDescent="0.2">
      <c r="D2" s="3" t="s">
        <v>1192</v>
      </c>
      <c r="H2" s="3">
        <v>1</v>
      </c>
      <c r="L2" s="2" t="s">
        <v>0</v>
      </c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5" ht="13.15" hidden="1" customHeight="1" outlineLevel="1" x14ac:dyDescent="0.2">
      <c r="D3" s="239" t="s">
        <v>1137</v>
      </c>
      <c r="L3" s="2" t="s">
        <v>1</v>
      </c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5" s="1" customFormat="1" ht="10.15" customHeight="1" x14ac:dyDescent="0.2">
      <c r="A4" s="3"/>
      <c r="B4" s="5"/>
      <c r="C4" s="3"/>
      <c r="D4" s="3"/>
      <c r="E4" s="3"/>
      <c r="F4" s="3"/>
      <c r="G4" s="3"/>
      <c r="H4" s="3"/>
      <c r="I4" s="42"/>
      <c r="J4" s="42"/>
      <c r="K4" s="19">
        <f>SUM(K6:K10000)</f>
        <v>42645983.779999979</v>
      </c>
    </row>
    <row r="5" spans="1:25" s="6" customFormat="1" ht="51.6" customHeight="1" x14ac:dyDescent="0.2">
      <c r="A5" s="14" t="s">
        <v>335</v>
      </c>
      <c r="B5" s="14" t="s">
        <v>342</v>
      </c>
      <c r="C5" s="15" t="s">
        <v>350</v>
      </c>
      <c r="D5" s="15" t="s">
        <v>826</v>
      </c>
      <c r="E5" s="15" t="s">
        <v>343</v>
      </c>
      <c r="F5" s="15" t="s">
        <v>344</v>
      </c>
      <c r="G5" s="15" t="s">
        <v>366</v>
      </c>
      <c r="H5" s="15" t="s">
        <v>367</v>
      </c>
      <c r="I5" s="15" t="s">
        <v>395</v>
      </c>
      <c r="J5" s="15" t="s">
        <v>369</v>
      </c>
      <c r="K5" s="15" t="s">
        <v>384</v>
      </c>
      <c r="L5" s="18" t="s">
        <v>2</v>
      </c>
      <c r="M5" s="18" t="s">
        <v>3</v>
      </c>
      <c r="N5" s="18" t="s">
        <v>4</v>
      </c>
      <c r="O5" s="18" t="s">
        <v>5</v>
      </c>
      <c r="P5" s="18" t="s">
        <v>6</v>
      </c>
      <c r="Q5" s="18" t="s">
        <v>7</v>
      </c>
      <c r="R5" s="74" t="s">
        <v>8</v>
      </c>
      <c r="S5" s="74" t="s">
        <v>9</v>
      </c>
      <c r="T5" s="74" t="s">
        <v>10</v>
      </c>
      <c r="U5" s="74" t="s">
        <v>11</v>
      </c>
      <c r="V5" s="74" t="s">
        <v>12</v>
      </c>
      <c r="W5" s="74" t="s">
        <v>13</v>
      </c>
      <c r="X5" s="74" t="s">
        <v>14</v>
      </c>
    </row>
    <row r="6" spans="1:25" ht="12" x14ac:dyDescent="0.2">
      <c r="A6" s="22" t="str">
        <f>IFERROR(LEFT(L6,FIND("УТ",L6,1)-2),IF(ISERROR(FIND("Платежное",L6,1)),"Deposit","Платежное поручение входящее"))</f>
        <v>Платежное поручение входящее</v>
      </c>
      <c r="B6" s="13">
        <f t="array" ref="B6">IFERROR(INDEX(CreditDAY[Credit Days Nominal],MATCH(M6&amp;Q6&amp;I6,CreditDAY[Customer]&amp;CreditDAY[Договор.Наименование]&amp;CreditDAY[Brand Temp],0)),0)</f>
        <v>0</v>
      </c>
      <c r="C6" s="10"/>
      <c r="D6" s="165">
        <f>DATE(YEAR(N6),MONTH(N6),DAY(N6))</f>
        <v>43227</v>
      </c>
      <c r="E6" s="16">
        <f t="shared" ref="E6:E69" si="0">N6+B6+C6</f>
        <v>43227.999988425923</v>
      </c>
      <c r="F6" s="23">
        <f>IFERROR($B$1-E6,100000)</f>
        <v>1225.0000115740768</v>
      </c>
      <c r="G6" s="27" t="str">
        <f t="array" ref="G6">IF(K6&lt;0,"Advance",INDEX('Days Ranges'!$C$4:$C$12,MATCH(1,($F6&gt;='Days Ranges'!$A$4:$A$12)*($F6&lt;'Days Ranges'!$B$4:$B$12),0)))</f>
        <v>Advance</v>
      </c>
      <c r="H6" s="27" t="str">
        <f t="array" ref="H6">IF(K6&lt;0,"Advance",INDEX('Days Ranges'!$D$4:$D$12,MATCH(1,($F6&gt;'Days Ranges'!$A$4:$A$12)*($F6&lt;'Days Ranges'!$B$4:$B$12),0)))</f>
        <v>Advance</v>
      </c>
      <c r="I6" s="27" t="str">
        <f>IFERROR(IF(IFERROR(REPLACE(O6,FIND("ОПТ ",O6,1),4,""),O6)=0,VLOOKUP(MID(Q6,FIND(" ",Q6,1)+1,3),Brands!$B$2:$C$24,2,0),IFERROR(REPLACE(O6,FIND("ОПТ ",O6,1),4,""),O6)),"Check PLEASE")</f>
        <v>Сток</v>
      </c>
      <c r="J6" s="27" t="str">
        <f>VLOOKUP(I6,Brands!$E$2:$F$21,2,0)</f>
        <v>Multibrand</v>
      </c>
      <c r="K6" s="23">
        <f>X6</f>
        <v>-7495</v>
      </c>
      <c r="L6" s="204" t="s">
        <v>93</v>
      </c>
      <c r="M6" s="205" t="s">
        <v>94</v>
      </c>
      <c r="N6" s="204" t="s">
        <v>95</v>
      </c>
      <c r="O6" s="205" t="s">
        <v>96</v>
      </c>
      <c r="P6" s="205" t="s">
        <v>36</v>
      </c>
      <c r="Q6" s="205" t="s">
        <v>97</v>
      </c>
      <c r="R6" s="87" t="s">
        <v>214</v>
      </c>
      <c r="S6" s="4"/>
      <c r="T6" s="4"/>
      <c r="U6" s="4"/>
      <c r="V6" s="4"/>
      <c r="W6" s="4" t="str">
        <f>IF(X6&lt;0,"Negative","Positive")</f>
        <v>Negative</v>
      </c>
      <c r="X6" s="206">
        <v>-7495</v>
      </c>
    </row>
    <row r="7" spans="1:25" ht="12" x14ac:dyDescent="0.2">
      <c r="A7" s="10" t="str">
        <f t="shared" ref="A7:A70" si="1">IFERROR(LEFT(L7,FIND("УТ",L7,1)-2),IF(ISERROR(FIND("Платежное",L7,1)),"Deposit","Платежное поручение входящее"))</f>
        <v>Платежное поручение входящее</v>
      </c>
      <c r="B7" s="13">
        <f t="array" ref="B7">IFERROR(INDEX(CreditDAY[Credit Days Nominal],MATCH(M7&amp;Q7&amp;I7,CreditDAY[Customer]&amp;CreditDAY[Договор.Наименование]&amp;CreditDAY[Brand Temp],0)),0)</f>
        <v>0</v>
      </c>
      <c r="C7" s="10"/>
      <c r="D7" s="165">
        <f t="shared" ref="D7:D70" si="2">DATE(YEAR(N7),MONTH(N7),DAY(N7))</f>
        <v>43361</v>
      </c>
      <c r="E7" s="16">
        <f t="shared" si="0"/>
        <v>43361.999988425923</v>
      </c>
      <c r="F7" s="23">
        <f t="shared" ref="F7:F70" si="3">IFERROR($B$1-E7,100000)</f>
        <v>1091.0000115740768</v>
      </c>
      <c r="G7" s="27" t="str">
        <f t="array" ref="G7">IF(K7&lt;0,"Advance",INDEX('Days Ranges'!$C$4:$C$12,MATCH(1,($F7&gt;='Days Ranges'!$A$4:$A$12)*($F7&lt;'Days Ranges'!$B$4:$B$12),0)))</f>
        <v>Advance</v>
      </c>
      <c r="H7" s="27" t="str">
        <f t="array" ref="H7">IF(K7&lt;0,"Advance",INDEX('Days Ranges'!$D$4:$D$12,MATCH(1,($F7&gt;'Days Ranges'!$A$4:$A$12)*($F7&lt;'Days Ranges'!$B$4:$B$12),0)))</f>
        <v>Advance</v>
      </c>
      <c r="I7" s="27" t="str">
        <f>IFERROR(IF(IFERROR(REPLACE(O7,FIND("ОПТ ",O7,1),4,""),O7)=0,VLOOKUP(MID(Q7,FIND(" ",Q7,1)+1,3),Brands!$B$2:$C$24,2,0),IFERROR(REPLACE(O7,FIND("ОПТ ",O7,1),4,""),O7)),"Check PLEASE")</f>
        <v>Сток Converse</v>
      </c>
      <c r="J7" s="27" t="str">
        <f>VLOOKUP(I7,Brands!$E$2:$F$21,2,0)</f>
        <v>Converse</v>
      </c>
      <c r="K7" s="23">
        <f t="shared" ref="K7:K70" si="4">X7</f>
        <v>-118621.49</v>
      </c>
      <c r="L7" s="204" t="s">
        <v>261</v>
      </c>
      <c r="M7" s="205" t="s">
        <v>262</v>
      </c>
      <c r="N7" s="204" t="s">
        <v>263</v>
      </c>
      <c r="O7" s="205" t="s">
        <v>52</v>
      </c>
      <c r="P7" s="205" t="s">
        <v>36</v>
      </c>
      <c r="Q7" s="205" t="s">
        <v>264</v>
      </c>
      <c r="R7" s="87" t="s">
        <v>214</v>
      </c>
      <c r="S7" s="84"/>
      <c r="T7" s="84"/>
      <c r="U7" s="84"/>
      <c r="V7" s="85"/>
      <c r="W7" s="4" t="str">
        <f t="shared" ref="W7:W70" si="5">IF(X7&lt;0,"Negative","Positive")</f>
        <v>Negative</v>
      </c>
      <c r="X7" s="206">
        <v>-118621.49</v>
      </c>
    </row>
    <row r="8" spans="1:25" ht="12" x14ac:dyDescent="0.2">
      <c r="A8" s="10" t="str">
        <f t="shared" si="1"/>
        <v>Возврат товаров от покупателя</v>
      </c>
      <c r="B8" s="13">
        <f t="array" ref="B8">IFERROR(INDEX(CreditDAY[Credit Days Nominal],MATCH(M8&amp;Q8&amp;I8,CreditDAY[Customer]&amp;CreditDAY[Договор.Наименование]&amp;CreditDAY[Brand Temp],0)),0)</f>
        <v>0</v>
      </c>
      <c r="C8" s="10"/>
      <c r="D8" s="165">
        <f t="shared" si="2"/>
        <v>43437</v>
      </c>
      <c r="E8" s="16">
        <f t="shared" si="0"/>
        <v>43437.566377314812</v>
      </c>
      <c r="F8" s="23">
        <f t="shared" si="3"/>
        <v>1015.4336226851883</v>
      </c>
      <c r="G8" s="27" t="str">
        <f t="array" ref="G8">IF(K8&lt;0,"Advance",INDEX('Days Ranges'!$C$4:$C$12,MATCH(1,($F8&gt;='Days Ranges'!$A$4:$A$12)*($F8&lt;'Days Ranges'!$B$4:$B$12),0)))</f>
        <v>Advance</v>
      </c>
      <c r="H8" s="27" t="str">
        <f t="array" ref="H8">IF(K8&lt;0,"Advance",INDEX('Days Ranges'!$D$4:$D$12,MATCH(1,($F8&gt;'Days Ranges'!$A$4:$A$12)*($F8&lt;'Days Ranges'!$B$4:$B$12),0)))</f>
        <v>Advance</v>
      </c>
      <c r="I8" s="27" t="str">
        <f>IFERROR(IF(IFERROR(REPLACE(O8,FIND("ОПТ ",O8,1),4,""),O8)=0,VLOOKUP(MID(Q8,FIND(" ",Q8,1)+1,3),Brands!$B$2:$C$24,2,0),IFERROR(REPLACE(O8,FIND("ОПТ ",O8,1),4,""),O8)),"Check PLEASE")</f>
        <v>Сток UGG</v>
      </c>
      <c r="J8" s="27" t="str">
        <f>VLOOKUP(I8,Brands!$E$2:$F$21,2,0)</f>
        <v>UGG</v>
      </c>
      <c r="K8" s="23">
        <f t="shared" si="4"/>
        <v>-9548</v>
      </c>
      <c r="L8" s="204" t="s">
        <v>129</v>
      </c>
      <c r="M8" s="205" t="s">
        <v>130</v>
      </c>
      <c r="N8" s="204" t="s">
        <v>131</v>
      </c>
      <c r="O8" s="205" t="s">
        <v>88</v>
      </c>
      <c r="P8" s="205"/>
      <c r="Q8" s="205" t="s">
        <v>132</v>
      </c>
      <c r="R8" s="87" t="s">
        <v>214</v>
      </c>
      <c r="S8" s="84"/>
      <c r="T8" s="84"/>
      <c r="U8" s="84"/>
      <c r="V8" s="84"/>
      <c r="W8" s="4" t="str">
        <f t="shared" si="5"/>
        <v>Negative</v>
      </c>
      <c r="X8" s="206">
        <v>-9548</v>
      </c>
    </row>
    <row r="9" spans="1:25" ht="12" x14ac:dyDescent="0.2">
      <c r="A9" s="10" t="str">
        <f t="shared" si="1"/>
        <v>Платежное поручение входящее</v>
      </c>
      <c r="B9" s="13">
        <f t="array" ref="B9">IFERROR(INDEX(CreditDAY[Credit Days Nominal],MATCH(M9&amp;Q9&amp;I9,CreditDAY[Customer]&amp;CreditDAY[Договор.Наименование]&amp;CreditDAY[Brand Temp],0)),0)</f>
        <v>0</v>
      </c>
      <c r="C9" s="10"/>
      <c r="D9" s="165">
        <f t="shared" si="2"/>
        <v>43560</v>
      </c>
      <c r="E9" s="16">
        <f t="shared" si="0"/>
        <v>43560.997210648151</v>
      </c>
      <c r="F9" s="23">
        <f t="shared" si="3"/>
        <v>892.00278935184906</v>
      </c>
      <c r="G9" s="27" t="str">
        <f t="array" ref="G9">IF(K9&lt;0,"Advance",INDEX('Days Ranges'!$C$4:$C$12,MATCH(1,($F9&gt;='Days Ranges'!$A$4:$A$12)*($F9&lt;'Days Ranges'!$B$4:$B$12),0)))</f>
        <v>Advance</v>
      </c>
      <c r="H9" s="27" t="str">
        <f t="array" ref="H9">IF(K9&lt;0,"Advance",INDEX('Days Ranges'!$D$4:$D$12,MATCH(1,($F9&gt;'Days Ranges'!$A$4:$A$12)*($F9&lt;'Days Ranges'!$B$4:$B$12),0)))</f>
        <v>Advance</v>
      </c>
      <c r="I9" s="27" t="str">
        <f>IFERROR(IF(IFERROR(REPLACE(O9,FIND("ОПТ ",O9,1),4,""),O9)=0,VLOOKUP(MID(Q9,FIND(" ",Q9,1)+1,3),Brands!$B$2:$C$24,2,0),IFERROR(REPLACE(O9,FIND("ОПТ ",O9,1),4,""),O9)),"Check PLEASE")</f>
        <v>Сток Saucony</v>
      </c>
      <c r="J9" s="27" t="str">
        <f>VLOOKUP(I9,Brands!$E$2:$F$21,2,0)</f>
        <v>Saucony</v>
      </c>
      <c r="K9" s="23">
        <f t="shared" si="4"/>
        <v>-34032</v>
      </c>
      <c r="L9" s="204" t="s">
        <v>32</v>
      </c>
      <c r="M9" s="205" t="s">
        <v>33</v>
      </c>
      <c r="N9" s="204" t="s">
        <v>34</v>
      </c>
      <c r="O9" s="205" t="s">
        <v>35</v>
      </c>
      <c r="P9" s="205" t="s">
        <v>36</v>
      </c>
      <c r="Q9" s="205" t="s">
        <v>37</v>
      </c>
      <c r="R9" s="87" t="s">
        <v>214</v>
      </c>
      <c r="S9" s="84"/>
      <c r="T9" s="84"/>
      <c r="U9" s="84"/>
      <c r="V9" s="84"/>
      <c r="W9" s="4" t="str">
        <f t="shared" si="5"/>
        <v>Negative</v>
      </c>
      <c r="X9" s="206">
        <v>-34032</v>
      </c>
    </row>
    <row r="10" spans="1:25" ht="12" x14ac:dyDescent="0.2">
      <c r="A10" s="10" t="str">
        <f t="shared" si="1"/>
        <v>Платежное поручение входящее</v>
      </c>
      <c r="B10" s="13">
        <f t="array" ref="B10">IFERROR(INDEX(CreditDAY[Credit Days Nominal],MATCH(M10&amp;Q10&amp;I10,CreditDAY[Customer]&amp;CreditDAY[Договор.Наименование]&amp;CreditDAY[Brand Temp],0)),0)</f>
        <v>0</v>
      </c>
      <c r="C10" s="10"/>
      <c r="D10" s="165">
        <f t="shared" si="2"/>
        <v>43766</v>
      </c>
      <c r="E10" s="16">
        <f t="shared" si="0"/>
        <v>43766.999988425923</v>
      </c>
      <c r="F10" s="23">
        <f t="shared" si="3"/>
        <v>686.00001157407678</v>
      </c>
      <c r="G10" s="27" t="str">
        <f t="array" ref="G10">IF(K10&lt;0,"Advance",INDEX('Days Ranges'!$C$4:$C$12,MATCH(1,($F10&gt;='Days Ranges'!$A$4:$A$12)*($F10&lt;'Days Ranges'!$B$4:$B$12),0)))</f>
        <v>Advance</v>
      </c>
      <c r="H10" s="27" t="str">
        <f t="array" ref="H10">IF(K10&lt;0,"Advance",INDEX('Days Ranges'!$D$4:$D$12,MATCH(1,($F10&gt;'Days Ranges'!$A$4:$A$12)*($F10&lt;'Days Ranges'!$B$4:$B$12),0)))</f>
        <v>Advance</v>
      </c>
      <c r="I10" s="27" t="str">
        <f>IFERROR(IF(IFERROR(REPLACE(O10,FIND("ОПТ ",O10,1),4,""),O10)=0,VLOOKUP(MID(Q10,FIND(" ",Q10,1)+1,3),Brands!$B$2:$C$24,2,0),IFERROR(REPLACE(O10,FIND("ОПТ ",O10,1),4,""),O10)),"Check PLEASE")</f>
        <v>Сток Converse</v>
      </c>
      <c r="J10" s="27" t="str">
        <f>VLOOKUP(I10,Brands!$E$2:$F$21,2,0)</f>
        <v>Converse</v>
      </c>
      <c r="K10" s="23">
        <f t="shared" si="4"/>
        <v>-1000</v>
      </c>
      <c r="L10" s="204" t="s">
        <v>122</v>
      </c>
      <c r="M10" s="205" t="s">
        <v>121</v>
      </c>
      <c r="N10" s="204" t="s">
        <v>123</v>
      </c>
      <c r="O10" s="205" t="s">
        <v>52</v>
      </c>
      <c r="P10" s="205" t="s">
        <v>36</v>
      </c>
      <c r="Q10" s="205" t="s">
        <v>124</v>
      </c>
      <c r="R10" s="87" t="s">
        <v>214</v>
      </c>
      <c r="S10" s="84"/>
      <c r="T10" s="84"/>
      <c r="U10" s="84"/>
      <c r="V10" s="84"/>
      <c r="W10" s="4" t="str">
        <f t="shared" si="5"/>
        <v>Negative</v>
      </c>
      <c r="X10" s="207">
        <v>-1000</v>
      </c>
    </row>
    <row r="11" spans="1:25" ht="12" x14ac:dyDescent="0.2">
      <c r="A11" s="10" t="str">
        <f t="shared" si="1"/>
        <v>Платежное поручение входящее</v>
      </c>
      <c r="B11" s="13">
        <f t="array" ref="B11">IFERROR(INDEX(CreditDAY[Credit Days Nominal],MATCH(M11&amp;Q11&amp;I11,CreditDAY[Customer]&amp;CreditDAY[Договор.Наименование]&amp;CreditDAY[Brand Temp],0)),0)</f>
        <v>0</v>
      </c>
      <c r="C11" s="10"/>
      <c r="D11" s="165">
        <f t="shared" si="2"/>
        <v>43787</v>
      </c>
      <c r="E11" s="16">
        <f t="shared" si="0"/>
        <v>43787.999988425923</v>
      </c>
      <c r="F11" s="23">
        <f t="shared" si="3"/>
        <v>665.00001157407678</v>
      </c>
      <c r="G11" s="27" t="str">
        <f t="array" ref="G11">IF(K11&lt;0,"Advance",INDEX('Days Ranges'!$C$4:$C$12,MATCH(1,($F11&gt;='Days Ranges'!$A$4:$A$12)*($F11&lt;'Days Ranges'!$B$4:$B$12),0)))</f>
        <v>Advance</v>
      </c>
      <c r="H11" s="27" t="str">
        <f t="array" ref="H11">IF(K11&lt;0,"Advance",INDEX('Days Ranges'!$D$4:$D$12,MATCH(1,($F11&gt;'Days Ranges'!$A$4:$A$12)*($F11&lt;'Days Ranges'!$B$4:$B$12),0)))</f>
        <v>Advance</v>
      </c>
      <c r="I11" s="27" t="str">
        <f>IFERROR(IF(IFERROR(REPLACE(O11,FIND("ОПТ ",O11,1),4,""),O11)=0,VLOOKUP(MID(Q11,FIND(" ",Q11,1)+1,3),Brands!$B$2:$C$24,2,0),IFERROR(REPLACE(O11,FIND("ОПТ ",O11,1),4,""),O11)),"Check PLEASE")</f>
        <v>Дисконт</v>
      </c>
      <c r="J11" s="27" t="str">
        <f>VLOOKUP(I11,Brands!$E$2:$F$21,2,0)</f>
        <v>Multibrand</v>
      </c>
      <c r="K11" s="23">
        <f t="shared" si="4"/>
        <v>-700</v>
      </c>
      <c r="L11" s="204" t="s">
        <v>43</v>
      </c>
      <c r="M11" s="205" t="s">
        <v>44</v>
      </c>
      <c r="N11" s="204" t="s">
        <v>45</v>
      </c>
      <c r="O11" s="205" t="s">
        <v>46</v>
      </c>
      <c r="P11" s="205" t="s">
        <v>36</v>
      </c>
      <c r="Q11" s="205" t="s">
        <v>47</v>
      </c>
      <c r="R11" s="87" t="s">
        <v>214</v>
      </c>
      <c r="S11" s="84"/>
      <c r="T11" s="84"/>
      <c r="U11" s="84"/>
      <c r="V11" s="84"/>
      <c r="W11" s="4" t="str">
        <f t="shared" si="5"/>
        <v>Negative</v>
      </c>
      <c r="X11" s="207">
        <v>-700</v>
      </c>
    </row>
    <row r="12" spans="1:25" ht="12" x14ac:dyDescent="0.2">
      <c r="A12" s="10" t="str">
        <f t="shared" si="1"/>
        <v>Платежное поручение входящее</v>
      </c>
      <c r="B12" s="13">
        <f t="array" ref="B12">IFERROR(INDEX(CreditDAY[Credit Days Nominal],MATCH(M12&amp;Q12&amp;I12,CreditDAY[Customer]&amp;CreditDAY[Договор.Наименование]&amp;CreditDAY[Brand Temp],0)),0)</f>
        <v>0</v>
      </c>
      <c r="C12" s="10"/>
      <c r="D12" s="165">
        <f t="shared" si="2"/>
        <v>43859</v>
      </c>
      <c r="E12" s="16">
        <f t="shared" si="0"/>
        <v>43859.999988425923</v>
      </c>
      <c r="F12" s="23">
        <f t="shared" si="3"/>
        <v>593.00001157407678</v>
      </c>
      <c r="G12" s="27" t="str">
        <f t="array" ref="G12">IF(K12&lt;0,"Advance",INDEX('Days Ranges'!$C$4:$C$12,MATCH(1,($F12&gt;='Days Ranges'!$A$4:$A$12)*($F12&lt;'Days Ranges'!$B$4:$B$12),0)))</f>
        <v>Advance</v>
      </c>
      <c r="H12" s="27" t="str">
        <f t="array" ref="H12">IF(K12&lt;0,"Advance",INDEX('Days Ranges'!$D$4:$D$12,MATCH(1,($F12&gt;'Days Ranges'!$A$4:$A$12)*($F12&lt;'Days Ranges'!$B$4:$B$12),0)))</f>
        <v>Advance</v>
      </c>
      <c r="I12" s="27" t="str">
        <f>IFERROR(IF(IFERROR(REPLACE(O12,FIND("ОПТ ",O12,1),4,""),O12)=0,VLOOKUP(MID(Q12,FIND(" ",Q12,1)+1,3),Brands!$B$2:$C$24,2,0),IFERROR(REPLACE(O12,FIND("ОПТ ",O12,1),4,""),O12)),"Check PLEASE")</f>
        <v>UGG</v>
      </c>
      <c r="J12" s="27" t="str">
        <f>VLOOKUP(I12,Brands!$E$2:$F$21,2,0)</f>
        <v>UGG</v>
      </c>
      <c r="K12" s="23">
        <f t="shared" si="4"/>
        <v>-30000.3</v>
      </c>
      <c r="L12" s="204" t="s">
        <v>53</v>
      </c>
      <c r="M12" s="205" t="s">
        <v>54</v>
      </c>
      <c r="N12" s="204" t="s">
        <v>55</v>
      </c>
      <c r="O12" s="205" t="s">
        <v>56</v>
      </c>
      <c r="P12" s="205" t="s">
        <v>36</v>
      </c>
      <c r="Q12" s="205" t="s">
        <v>57</v>
      </c>
      <c r="R12" s="87" t="s">
        <v>214</v>
      </c>
      <c r="S12" s="84"/>
      <c r="T12" s="84"/>
      <c r="U12" s="84"/>
      <c r="V12" s="84"/>
      <c r="W12" s="4" t="str">
        <f t="shared" si="5"/>
        <v>Negative</v>
      </c>
      <c r="X12" s="206">
        <v>-30000.3</v>
      </c>
    </row>
    <row r="13" spans="1:25" ht="12" x14ac:dyDescent="0.2">
      <c r="A13" s="10" t="str">
        <f t="shared" si="1"/>
        <v>Платежное поручение входящее</v>
      </c>
      <c r="B13" s="13">
        <f t="array" ref="B13">IFERROR(INDEX(CreditDAY[Credit Days Nominal],MATCH(M13&amp;Q13&amp;I13,CreditDAY[Customer]&amp;CreditDAY[Договор.Наименование]&amp;CreditDAY[Brand Temp],0)),0)</f>
        <v>65</v>
      </c>
      <c r="C13" s="10"/>
      <c r="D13" s="165">
        <f t="shared" si="2"/>
        <v>43872</v>
      </c>
      <c r="E13" s="16">
        <f t="shared" si="0"/>
        <v>43937.10832175926</v>
      </c>
      <c r="F13" s="23">
        <f t="shared" si="3"/>
        <v>515.89167824073957</v>
      </c>
      <c r="G13" s="27" t="str">
        <f t="array" ref="G13">IF(K13&lt;0,"Advance",INDEX('Days Ranges'!$C$4:$C$12,MATCH(1,($F13&gt;='Days Ranges'!$A$4:$A$12)*($F13&lt;'Days Ranges'!$B$4:$B$12),0)))</f>
        <v>Advance</v>
      </c>
      <c r="H13" s="27" t="str">
        <f t="array" ref="H13">IF(K13&lt;0,"Advance",INDEX('Days Ranges'!$D$4:$D$12,MATCH(1,($F13&gt;'Days Ranges'!$A$4:$A$12)*($F13&lt;'Days Ranges'!$B$4:$B$12),0)))</f>
        <v>Advance</v>
      </c>
      <c r="I13" s="27" t="str">
        <f>IFERROR(IF(IFERROR(REPLACE(O13,FIND("ОПТ ",O13,1),4,""),O13)=0,VLOOKUP(MID(Q13,FIND(" ",Q13,1)+1,3),Brands!$B$2:$C$24,2,0),IFERROR(REPLACE(O13,FIND("ОПТ ",O13,1),4,""),O13)),"Check PLEASE")</f>
        <v>Сток UGG</v>
      </c>
      <c r="J13" s="27" t="str">
        <f>VLOOKUP(I13,Brands!$E$2:$F$21,2,0)</f>
        <v>UGG</v>
      </c>
      <c r="K13" s="23">
        <f t="shared" si="4"/>
        <v>-0.01</v>
      </c>
      <c r="L13" s="204" t="s">
        <v>309</v>
      </c>
      <c r="M13" s="205" t="s">
        <v>310</v>
      </c>
      <c r="N13" s="204" t="s">
        <v>311</v>
      </c>
      <c r="O13" s="205" t="s">
        <v>88</v>
      </c>
      <c r="P13" s="205" t="s">
        <v>36</v>
      </c>
      <c r="Q13" s="205" t="s">
        <v>312</v>
      </c>
      <c r="R13" s="87" t="s">
        <v>214</v>
      </c>
      <c r="S13" s="84"/>
      <c r="T13" s="84"/>
      <c r="U13" s="84"/>
      <c r="V13" s="84"/>
      <c r="W13" s="4" t="str">
        <f t="shared" si="5"/>
        <v>Negative</v>
      </c>
      <c r="X13" s="207">
        <v>-0.01</v>
      </c>
    </row>
    <row r="14" spans="1:25" ht="12" x14ac:dyDescent="0.2">
      <c r="A14" s="10" t="str">
        <f t="shared" si="1"/>
        <v>Реализация товаров и услуг</v>
      </c>
      <c r="B14" s="13">
        <f t="array" ref="B14">IFERROR(INDEX(CreditDAY[Credit Days Nominal],MATCH(M14&amp;Q14&amp;I14,CreditDAY[Customer]&amp;CreditDAY[Договор.Наименование]&amp;CreditDAY[Brand Temp],0)),0)</f>
        <v>103</v>
      </c>
      <c r="C14" s="10"/>
      <c r="D14" s="165">
        <f t="shared" si="2"/>
        <v>43878</v>
      </c>
      <c r="E14" s="16">
        <f t="shared" si="0"/>
        <v>43981.485011574077</v>
      </c>
      <c r="F14" s="23">
        <f t="shared" si="3"/>
        <v>471.51498842592264</v>
      </c>
      <c r="G14" s="27" t="str">
        <f t="array" ref="G14">IF(K14&lt;0,"Advance",INDEX('Days Ranges'!$C$4:$C$12,MATCH(1,($F14&gt;='Days Ranges'!$A$4:$A$12)*($F14&lt;'Days Ranges'!$B$4:$B$12),0)))</f>
        <v>180+ days</v>
      </c>
      <c r="H14" s="27" t="str">
        <f t="array" ref="H14">IF(K14&lt;0,"Advance",INDEX('Days Ranges'!$D$4:$D$12,MATCH(1,($F14&gt;'Days Ranges'!$A$4:$A$12)*($F14&lt;'Days Ranges'!$B$4:$B$12),0)))</f>
        <v>&gt;12 months</v>
      </c>
      <c r="I14" s="27" t="str">
        <f>IFERROR(IF(IFERROR(REPLACE(O14,FIND("ОПТ ",O14,1),4,""),O14)=0,VLOOKUP(MID(Q14,FIND(" ",Q14,1)+1,3),Brands!$B$2:$C$24,2,0),IFERROR(REPLACE(O14,FIND("ОПТ ",O14,1),4,""),O14)),"Check PLEASE")</f>
        <v>Сток Converse</v>
      </c>
      <c r="J14" s="27" t="str">
        <f>VLOOKUP(I14,Brands!$E$2:$F$21,2,0)</f>
        <v>Converse</v>
      </c>
      <c r="K14" s="23">
        <f t="shared" si="4"/>
        <v>85942.5</v>
      </c>
      <c r="L14" s="204" t="s">
        <v>179</v>
      </c>
      <c r="M14" s="205" t="s">
        <v>180</v>
      </c>
      <c r="N14" s="204" t="s">
        <v>181</v>
      </c>
      <c r="O14" s="205" t="s">
        <v>52</v>
      </c>
      <c r="P14" s="205" t="s">
        <v>28</v>
      </c>
      <c r="Q14" s="205" t="s">
        <v>182</v>
      </c>
      <c r="R14" s="87" t="s">
        <v>214</v>
      </c>
      <c r="S14" s="84"/>
      <c r="T14" s="84"/>
      <c r="U14" s="84"/>
      <c r="V14" s="84"/>
      <c r="W14" s="4" t="str">
        <f t="shared" si="5"/>
        <v>Positive</v>
      </c>
      <c r="X14" s="206">
        <v>85942.5</v>
      </c>
    </row>
    <row r="15" spans="1:25" ht="12" x14ac:dyDescent="0.2">
      <c r="A15" s="10" t="str">
        <f t="shared" si="1"/>
        <v>Платежное поручение входящее</v>
      </c>
      <c r="B15" s="13">
        <f t="array" ref="B15">IFERROR(INDEX(CreditDAY[Credit Days Nominal],MATCH(M15&amp;Q15&amp;I15,CreditDAY[Customer]&amp;CreditDAY[Договор.Наименование]&amp;CreditDAY[Brand Temp],0)),0)</f>
        <v>0</v>
      </c>
      <c r="C15" s="10"/>
      <c r="D15" s="165">
        <f t="shared" si="2"/>
        <v>44096</v>
      </c>
      <c r="E15" s="16">
        <f t="shared" si="0"/>
        <v>44096.960995370369</v>
      </c>
      <c r="F15" s="23">
        <f t="shared" si="3"/>
        <v>356.03900462963065</v>
      </c>
      <c r="G15" s="27" t="str">
        <f t="array" ref="G15">IF(K15&lt;0,"Advance",INDEX('Days Ranges'!$C$4:$C$12,MATCH(1,($F15&gt;='Days Ranges'!$A$4:$A$12)*($F15&lt;'Days Ranges'!$B$4:$B$12),0)))</f>
        <v>Advance</v>
      </c>
      <c r="H15" s="27" t="str">
        <f t="array" ref="H15">IF(K15&lt;0,"Advance",INDEX('Days Ranges'!$D$4:$D$12,MATCH(1,($F15&gt;'Days Ranges'!$A$4:$A$12)*($F15&lt;'Days Ranges'!$B$4:$B$12),0)))</f>
        <v>Advance</v>
      </c>
      <c r="I15" s="27" t="str">
        <f>IFERROR(IF(IFERROR(REPLACE(O15,FIND("ОПТ ",O15,1),4,""),O15)=0,VLOOKUP(MID(Q15,FIND(" ",Q15,1)+1,3),Brands!$B$2:$C$24,2,0),IFERROR(REPLACE(O15,FIND("ОПТ ",O15,1),4,""),O15)),"Check PLEASE")</f>
        <v>Converse</v>
      </c>
      <c r="J15" s="27" t="str">
        <f>VLOOKUP(I15,Brands!$E$2:$F$21,2,0)</f>
        <v>Converse</v>
      </c>
      <c r="K15" s="23">
        <f t="shared" si="4"/>
        <v>-1199.95</v>
      </c>
      <c r="L15" s="204" t="s">
        <v>167</v>
      </c>
      <c r="M15" s="205" t="s">
        <v>168</v>
      </c>
      <c r="N15" s="204" t="s">
        <v>169</v>
      </c>
      <c r="O15" s="205" t="s">
        <v>20</v>
      </c>
      <c r="P15" s="205" t="s">
        <v>36</v>
      </c>
      <c r="Q15" s="205" t="s">
        <v>170</v>
      </c>
      <c r="R15" s="87" t="s">
        <v>214</v>
      </c>
      <c r="S15" s="84"/>
      <c r="T15" s="84"/>
      <c r="U15" s="84"/>
      <c r="V15" s="84"/>
      <c r="W15" s="4" t="str">
        <f t="shared" si="5"/>
        <v>Negative</v>
      </c>
      <c r="X15" s="207">
        <v>-1199.95</v>
      </c>
    </row>
    <row r="16" spans="1:25" ht="12" x14ac:dyDescent="0.2">
      <c r="A16" s="10" t="str">
        <f t="shared" si="1"/>
        <v>Реализация товаров и услуг</v>
      </c>
      <c r="B16" s="13">
        <f t="array" ref="B16">IFERROR(INDEX(CreditDAY[Credit Days Nominal],MATCH(M16&amp;Q16&amp;I16,CreditDAY[Customer]&amp;CreditDAY[Договор.Наименование]&amp;CreditDAY[Brand Temp],0)),0)</f>
        <v>65</v>
      </c>
      <c r="C16" s="10"/>
      <c r="D16" s="165">
        <f t="shared" si="2"/>
        <v>44131</v>
      </c>
      <c r="E16" s="16">
        <f t="shared" si="0"/>
        <v>44196.779456018521</v>
      </c>
      <c r="F16" s="23">
        <f t="shared" si="3"/>
        <v>256.22054398147884</v>
      </c>
      <c r="G16" s="27" t="str">
        <f t="array" ref="G16">IF(K16&lt;0,"Advance",INDEX('Days Ranges'!$C$4:$C$12,MATCH(1,($F16&gt;='Days Ranges'!$A$4:$A$12)*($F16&lt;'Days Ranges'!$B$4:$B$12),0)))</f>
        <v>180+ days</v>
      </c>
      <c r="H16" s="27" t="str">
        <f t="array" ref="H16">IF(K16&lt;0,"Advance",INDEX('Days Ranges'!$D$4:$D$12,MATCH(1,($F16&gt;'Days Ranges'!$A$4:$A$12)*($F16&lt;'Days Ranges'!$B$4:$B$12),0)))</f>
        <v>6 - 9 months</v>
      </c>
      <c r="I16" s="27" t="str">
        <f>IFERROR(IF(IFERROR(REPLACE(O16,FIND("ОПТ ",O16,1),4,""),O16)=0,VLOOKUP(MID(Q16,FIND(" ",Q16,1)+1,3),Brands!$B$2:$C$24,2,0),IFERROR(REPLACE(O16,FIND("ОПТ ",O16,1),4,""),O16)),"Check PLEASE")</f>
        <v>UGG</v>
      </c>
      <c r="J16" s="27" t="str">
        <f>VLOOKUP(I16,Brands!$E$2:$F$21,2,0)</f>
        <v>UGG</v>
      </c>
      <c r="K16" s="23">
        <f t="shared" si="4"/>
        <v>5358</v>
      </c>
      <c r="L16" s="204" t="s">
        <v>313</v>
      </c>
      <c r="M16" s="205" t="s">
        <v>310</v>
      </c>
      <c r="N16" s="204" t="s">
        <v>314</v>
      </c>
      <c r="O16" s="205" t="s">
        <v>56</v>
      </c>
      <c r="P16" s="205" t="s">
        <v>28</v>
      </c>
      <c r="Q16" s="205" t="s">
        <v>312</v>
      </c>
      <c r="R16" s="87" t="s">
        <v>214</v>
      </c>
      <c r="S16" s="84"/>
      <c r="T16" s="84"/>
      <c r="U16" s="84"/>
      <c r="V16" s="84"/>
      <c r="W16" s="4" t="str">
        <f t="shared" si="5"/>
        <v>Positive</v>
      </c>
      <c r="X16" s="206">
        <v>5358</v>
      </c>
    </row>
    <row r="17" spans="1:24" ht="12" x14ac:dyDescent="0.2">
      <c r="A17" s="10" t="str">
        <f t="shared" si="1"/>
        <v>Платежное поручение входящее</v>
      </c>
      <c r="B17" s="13">
        <f t="array" ref="B17">IFERROR(INDEX(CreditDAY[Credit Days Nominal],MATCH(M17&amp;Q17&amp;I17,CreditDAY[Customer]&amp;CreditDAY[Договор.Наименование]&amp;CreditDAY[Brand Temp],0)),0)</f>
        <v>0</v>
      </c>
      <c r="C17" s="10"/>
      <c r="D17" s="165">
        <f t="shared" si="2"/>
        <v>44134</v>
      </c>
      <c r="E17" s="16">
        <f t="shared" si="0"/>
        <v>44134.708333333336</v>
      </c>
      <c r="F17" s="23">
        <f t="shared" si="3"/>
        <v>318.29166666666424</v>
      </c>
      <c r="G17" s="27" t="str">
        <f t="array" ref="G17">IF(K17&lt;0,"Advance",INDEX('Days Ranges'!$C$4:$C$12,MATCH(1,($F17&gt;='Days Ranges'!$A$4:$A$12)*($F17&lt;'Days Ranges'!$B$4:$B$12),0)))</f>
        <v>Advance</v>
      </c>
      <c r="H17" s="27" t="str">
        <f t="array" ref="H17">IF(K17&lt;0,"Advance",INDEX('Days Ranges'!$D$4:$D$12,MATCH(1,($F17&gt;'Days Ranges'!$A$4:$A$12)*($F17&lt;'Days Ranges'!$B$4:$B$12),0)))</f>
        <v>Advance</v>
      </c>
      <c r="I17" s="27" t="str">
        <f>IFERROR(IF(IFERROR(REPLACE(O17,FIND("ОПТ ",O17,1),4,""),O17)=0,VLOOKUP(MID(Q17,FIND(" ",Q17,1)+1,3),Brands!$B$2:$C$24,2,0),IFERROR(REPLACE(O17,FIND("ОПТ ",O17,1),4,""),O17)),"Check PLEASE")</f>
        <v>Converse</v>
      </c>
      <c r="J17" s="27" t="str">
        <f>VLOOKUP(I17,Brands!$E$2:$F$21,2,0)</f>
        <v>Converse</v>
      </c>
      <c r="K17" s="23">
        <f t="shared" si="4"/>
        <v>-12.07</v>
      </c>
      <c r="L17" s="204" t="s">
        <v>58</v>
      </c>
      <c r="M17" s="205" t="s">
        <v>54</v>
      </c>
      <c r="N17" s="204" t="s">
        <v>59</v>
      </c>
      <c r="O17" s="205" t="s">
        <v>20</v>
      </c>
      <c r="P17" s="205" t="s">
        <v>36</v>
      </c>
      <c r="Q17" s="205" t="s">
        <v>57</v>
      </c>
      <c r="R17" s="87" t="s">
        <v>214</v>
      </c>
      <c r="S17" s="84"/>
      <c r="T17" s="84"/>
      <c r="U17" s="84"/>
      <c r="V17" s="84"/>
      <c r="W17" s="4" t="str">
        <f t="shared" si="5"/>
        <v>Negative</v>
      </c>
      <c r="X17" s="206">
        <v>-12.07</v>
      </c>
    </row>
    <row r="18" spans="1:24" ht="12" x14ac:dyDescent="0.2">
      <c r="A18" s="10" t="str">
        <f t="shared" si="1"/>
        <v>Реализация товаров и услуг</v>
      </c>
      <c r="B18" s="13">
        <f t="array" ref="B18">IFERROR(INDEX(CreditDAY[Credit Days Nominal],MATCH(M18&amp;Q18&amp;I18,CreditDAY[Customer]&amp;CreditDAY[Договор.Наименование]&amp;CreditDAY[Brand Temp],0)),0)</f>
        <v>65</v>
      </c>
      <c r="C18" s="10"/>
      <c r="D18" s="165">
        <f t="shared" si="2"/>
        <v>44165</v>
      </c>
      <c r="E18" s="16">
        <f t="shared" si="0"/>
        <v>44230.703182870369</v>
      </c>
      <c r="F18" s="23">
        <f t="shared" si="3"/>
        <v>222.29681712963065</v>
      </c>
      <c r="G18" s="27" t="str">
        <f t="array" ref="G18">IF(K18&lt;0,"Advance",INDEX('Days Ranges'!$C$4:$C$12,MATCH(1,($F18&gt;='Days Ranges'!$A$4:$A$12)*($F18&lt;'Days Ranges'!$B$4:$B$12),0)))</f>
        <v>Advance</v>
      </c>
      <c r="H18" s="27" t="str">
        <f t="array" ref="H18">IF(K18&lt;0,"Advance",INDEX('Days Ranges'!$D$4:$D$12,MATCH(1,($F18&gt;'Days Ranges'!$A$4:$A$12)*($F18&lt;'Days Ranges'!$B$4:$B$12),0)))</f>
        <v>Advance</v>
      </c>
      <c r="I18" s="27" t="str">
        <f>IFERROR(IF(IFERROR(REPLACE(O18,FIND("ОПТ ",O18,1),4,""),O18)=0,VLOOKUP(MID(Q18,FIND(" ",Q18,1)+1,3),Brands!$B$2:$C$24,2,0),IFERROR(REPLACE(O18,FIND("ОПТ ",O18,1),4,""),O18)),"Check PLEASE")</f>
        <v>Saucony</v>
      </c>
      <c r="J18" s="27" t="str">
        <f>VLOOKUP(I18,Brands!$E$2:$F$21,2,0)</f>
        <v>Saucony</v>
      </c>
      <c r="K18" s="23">
        <f t="shared" si="4"/>
        <v>-17802</v>
      </c>
      <c r="L18" s="204" t="s">
        <v>907</v>
      </c>
      <c r="M18" s="205" t="s">
        <v>240</v>
      </c>
      <c r="N18" s="204" t="s">
        <v>908</v>
      </c>
      <c r="O18" s="205" t="s">
        <v>76</v>
      </c>
      <c r="P18" s="205" t="s">
        <v>28</v>
      </c>
      <c r="Q18" s="205" t="s">
        <v>243</v>
      </c>
      <c r="R18" s="87" t="s">
        <v>97</v>
      </c>
      <c r="S18" s="84"/>
      <c r="T18" s="84"/>
      <c r="U18" s="84"/>
      <c r="V18" s="84"/>
      <c r="W18" s="4" t="str">
        <f t="shared" si="5"/>
        <v>Negative</v>
      </c>
      <c r="X18" s="206">
        <v>-17802</v>
      </c>
    </row>
    <row r="19" spans="1:24" ht="12" x14ac:dyDescent="0.2">
      <c r="A19" s="10" t="str">
        <f t="shared" si="1"/>
        <v>Реализация товаров и услуг</v>
      </c>
      <c r="B19" s="13">
        <f t="array" ref="B19">IFERROR(INDEX(CreditDAY[Credit Days Nominal],MATCH(M19&amp;Q19&amp;I19,CreditDAY[Customer]&amp;CreditDAY[Договор.Наименование]&amp;CreditDAY[Brand Temp],0)),0)</f>
        <v>65</v>
      </c>
      <c r="C19" s="10"/>
      <c r="D19" s="165">
        <f t="shared" si="2"/>
        <v>44165</v>
      </c>
      <c r="E19" s="16">
        <f t="shared" si="0"/>
        <v>44230.704814814817</v>
      </c>
      <c r="F19" s="23">
        <f t="shared" si="3"/>
        <v>222.29518518518307</v>
      </c>
      <c r="G19" s="27" t="str">
        <f t="array" ref="G19">IF(K19&lt;0,"Advance",INDEX('Days Ranges'!$C$4:$C$12,MATCH(1,($F19&gt;='Days Ranges'!$A$4:$A$12)*($F19&lt;'Days Ranges'!$B$4:$B$12),0)))</f>
        <v>Advance</v>
      </c>
      <c r="H19" s="27" t="str">
        <f t="array" ref="H19">IF(K19&lt;0,"Advance",INDEX('Days Ranges'!$D$4:$D$12,MATCH(1,($F19&gt;'Days Ranges'!$A$4:$A$12)*($F19&lt;'Days Ranges'!$B$4:$B$12),0)))</f>
        <v>Advance</v>
      </c>
      <c r="I19" s="27" t="str">
        <f>IFERROR(IF(IFERROR(REPLACE(O19,FIND("ОПТ ",O19,1),4,""),O19)=0,VLOOKUP(MID(Q19,FIND(" ",Q19,1)+1,3),Brands!$B$2:$C$24,2,0),IFERROR(REPLACE(O19,FIND("ОПТ ",O19,1),4,""),O19)),"Check PLEASE")</f>
        <v>Сток Dr.Martens</v>
      </c>
      <c r="J19" s="27" t="str">
        <f>VLOOKUP(I19,Brands!$E$2:$F$21,2,0)</f>
        <v>Dr.Martens</v>
      </c>
      <c r="K19" s="23">
        <f t="shared" si="4"/>
        <v>-0.1</v>
      </c>
      <c r="L19" s="204" t="s">
        <v>1438</v>
      </c>
      <c r="M19" s="205" t="s">
        <v>240</v>
      </c>
      <c r="N19" s="204" t="s">
        <v>1439</v>
      </c>
      <c r="O19" s="205" t="s">
        <v>107</v>
      </c>
      <c r="P19" s="205" t="s">
        <v>28</v>
      </c>
      <c r="Q19" s="205" t="s">
        <v>243</v>
      </c>
      <c r="R19" s="87" t="s">
        <v>177</v>
      </c>
      <c r="S19" s="84"/>
      <c r="T19" s="84"/>
      <c r="U19" s="84"/>
      <c r="V19" s="84"/>
      <c r="W19" s="4" t="str">
        <f t="shared" si="5"/>
        <v>Negative</v>
      </c>
      <c r="X19" s="207">
        <v>-0.1</v>
      </c>
    </row>
    <row r="20" spans="1:24" ht="12" x14ac:dyDescent="0.2">
      <c r="A20" s="10" t="str">
        <f t="shared" si="1"/>
        <v>Реализация товаров и услуг</v>
      </c>
      <c r="B20" s="13">
        <f t="array" ref="B20">IFERROR(INDEX(CreditDAY[Credit Days Nominal],MATCH(M20&amp;Q20&amp;I20,CreditDAY[Customer]&amp;CreditDAY[Договор.Наименование]&amp;CreditDAY[Brand Temp],0)),0)</f>
        <v>65</v>
      </c>
      <c r="C20" s="10"/>
      <c r="D20" s="165">
        <f t="shared" si="2"/>
        <v>44165</v>
      </c>
      <c r="E20" s="16">
        <f t="shared" si="0"/>
        <v>44230.705150462964</v>
      </c>
      <c r="F20" s="23">
        <f t="shared" si="3"/>
        <v>222.2948495370365</v>
      </c>
      <c r="G20" s="27" t="str">
        <f t="array" ref="G20">IF(K20&lt;0,"Advance",INDEX('Days Ranges'!$C$4:$C$12,MATCH(1,($F20&gt;='Days Ranges'!$A$4:$A$12)*($F20&lt;'Days Ranges'!$B$4:$B$12),0)))</f>
        <v>Advance</v>
      </c>
      <c r="H20" s="27" t="str">
        <f t="array" ref="H20">IF(K20&lt;0,"Advance",INDEX('Days Ranges'!$D$4:$D$12,MATCH(1,($F20&gt;'Days Ranges'!$A$4:$A$12)*($F20&lt;'Days Ranges'!$B$4:$B$12),0)))</f>
        <v>Advance</v>
      </c>
      <c r="I20" s="27" t="str">
        <f>IFERROR(IF(IFERROR(REPLACE(O20,FIND("ОПТ ",O20,1),4,""),O20)=0,VLOOKUP(MID(Q20,FIND(" ",Q20,1)+1,3),Brands!$B$2:$C$24,2,0),IFERROR(REPLACE(O20,FIND("ОПТ ",O20,1),4,""),O20)),"Check PLEASE")</f>
        <v>Saucony</v>
      </c>
      <c r="J20" s="27" t="str">
        <f>VLOOKUP(I20,Brands!$E$2:$F$21,2,0)</f>
        <v>Saucony</v>
      </c>
      <c r="K20" s="23">
        <f t="shared" si="4"/>
        <v>-271093</v>
      </c>
      <c r="L20" s="204" t="s">
        <v>244</v>
      </c>
      <c r="M20" s="205" t="s">
        <v>240</v>
      </c>
      <c r="N20" s="204" t="s">
        <v>245</v>
      </c>
      <c r="O20" s="205" t="s">
        <v>76</v>
      </c>
      <c r="P20" s="205" t="s">
        <v>28</v>
      </c>
      <c r="Q20" s="205" t="s">
        <v>243</v>
      </c>
      <c r="R20" s="87" t="s">
        <v>264</v>
      </c>
      <c r="S20" s="84"/>
      <c r="T20" s="84"/>
      <c r="U20" s="84"/>
      <c r="V20" s="84"/>
      <c r="W20" s="4" t="str">
        <f t="shared" si="5"/>
        <v>Negative</v>
      </c>
      <c r="X20" s="206">
        <v>-271093</v>
      </c>
    </row>
    <row r="21" spans="1:24" ht="12" x14ac:dyDescent="0.2">
      <c r="A21" s="10" t="str">
        <f t="shared" si="1"/>
        <v>Платежное поручение входящее</v>
      </c>
      <c r="B21" s="13">
        <f t="array" ref="B21">IFERROR(INDEX(CreditDAY[Credit Days Nominal],MATCH(M21&amp;Q21&amp;I21,CreditDAY[Customer]&amp;CreditDAY[Договор.Наименование]&amp;CreditDAY[Brand Temp],0)),0)</f>
        <v>0</v>
      </c>
      <c r="C21" s="10"/>
      <c r="D21" s="165">
        <f t="shared" si="2"/>
        <v>44173</v>
      </c>
      <c r="E21" s="16">
        <f t="shared" si="0"/>
        <v>44173.708333333336</v>
      </c>
      <c r="F21" s="23">
        <f t="shared" si="3"/>
        <v>279.29166666666424</v>
      </c>
      <c r="G21" s="27" t="str">
        <f t="array" ref="G21">IF(K21&lt;0,"Advance",INDEX('Days Ranges'!$C$4:$C$12,MATCH(1,($F21&gt;='Days Ranges'!$A$4:$A$12)*($F21&lt;'Days Ranges'!$B$4:$B$12),0)))</f>
        <v>Advance</v>
      </c>
      <c r="H21" s="27" t="str">
        <f t="array" ref="H21">IF(K21&lt;0,"Advance",INDEX('Days Ranges'!$D$4:$D$12,MATCH(1,($F21&gt;'Days Ranges'!$A$4:$A$12)*($F21&lt;'Days Ranges'!$B$4:$B$12),0)))</f>
        <v>Advance</v>
      </c>
      <c r="I21" s="27" t="str">
        <f>IFERROR(IF(IFERROR(REPLACE(O21,FIND("ОПТ ",O21,1),4,""),O21)=0,VLOOKUP(MID(Q21,FIND(" ",Q21,1)+1,3),Brands!$B$2:$C$24,2,0),IFERROR(REPLACE(O21,FIND("ОПТ ",O21,1),4,""),O21)),"Check PLEASE")</f>
        <v>Сток Saucony</v>
      </c>
      <c r="J21" s="27" t="str">
        <f>VLOOKUP(I21,Brands!$E$2:$F$21,2,0)</f>
        <v>Saucony</v>
      </c>
      <c r="K21" s="23">
        <f t="shared" si="4"/>
        <v>-3775.8</v>
      </c>
      <c r="L21" s="204" t="s">
        <v>249</v>
      </c>
      <c r="M21" s="205" t="s">
        <v>250</v>
      </c>
      <c r="N21" s="204" t="s">
        <v>251</v>
      </c>
      <c r="O21" s="205" t="s">
        <v>35</v>
      </c>
      <c r="P21" s="205" t="s">
        <v>36</v>
      </c>
      <c r="Q21" s="205" t="s">
        <v>17</v>
      </c>
      <c r="R21" s="87" t="s">
        <v>132</v>
      </c>
      <c r="S21" s="84"/>
      <c r="T21" s="84"/>
      <c r="U21" s="84"/>
      <c r="V21" s="84"/>
      <c r="W21" s="4" t="str">
        <f t="shared" si="5"/>
        <v>Negative</v>
      </c>
      <c r="X21" s="207">
        <v>-3775.8</v>
      </c>
    </row>
    <row r="22" spans="1:24" ht="12" x14ac:dyDescent="0.2">
      <c r="A22" s="10" t="str">
        <f t="shared" si="1"/>
        <v>Реализация товаров и услуг</v>
      </c>
      <c r="B22" s="13">
        <f t="array" ref="B22">IFERROR(INDEX(CreditDAY[Credit Days Nominal],MATCH(M22&amp;Q22&amp;I22,CreditDAY[Customer]&amp;CreditDAY[Договор.Наименование]&amp;CreditDAY[Brand Temp],0)),0)</f>
        <v>35</v>
      </c>
      <c r="C22" s="10"/>
      <c r="D22" s="165">
        <f t="shared" si="2"/>
        <v>44175</v>
      </c>
      <c r="E22" s="16">
        <f t="shared" si="0"/>
        <v>44210.62059027778</v>
      </c>
      <c r="F22" s="23">
        <f t="shared" si="3"/>
        <v>242.37940972221986</v>
      </c>
      <c r="G22" s="27" t="str">
        <f t="array" ref="G22">IF(K22&lt;0,"Advance",INDEX('Days Ranges'!$C$4:$C$12,MATCH(1,($F22&gt;='Days Ranges'!$A$4:$A$12)*($F22&lt;'Days Ranges'!$B$4:$B$12),0)))</f>
        <v>180+ days</v>
      </c>
      <c r="H22" s="27" t="str">
        <f t="array" ref="H22">IF(K22&lt;0,"Advance",INDEX('Days Ranges'!$D$4:$D$12,MATCH(1,($F22&gt;'Days Ranges'!$A$4:$A$12)*($F22&lt;'Days Ranges'!$B$4:$B$12),0)))</f>
        <v>6 - 9 months</v>
      </c>
      <c r="I22" s="27" t="str">
        <f>IFERROR(IF(IFERROR(REPLACE(O22,FIND("ОПТ ",O22,1),4,""),O22)=0,VLOOKUP(MID(Q22,FIND(" ",Q22,1)+1,3),Brands!$B$2:$C$24,2,0),IFERROR(REPLACE(O22,FIND("ОПТ ",O22,1),4,""),O22)),"Check PLEASE")</f>
        <v>Сток UGG</v>
      </c>
      <c r="J22" s="27" t="str">
        <f>VLOOKUP(I22,Brands!$E$2:$F$21,2,0)</f>
        <v>UGG</v>
      </c>
      <c r="K22" s="23">
        <f t="shared" si="4"/>
        <v>0.01</v>
      </c>
      <c r="L22" s="204" t="s">
        <v>270</v>
      </c>
      <c r="M22" s="205" t="s">
        <v>271</v>
      </c>
      <c r="N22" s="204" t="s">
        <v>272</v>
      </c>
      <c r="O22" s="205" t="s">
        <v>88</v>
      </c>
      <c r="P22" s="205" t="s">
        <v>28</v>
      </c>
      <c r="Q22" s="205" t="s">
        <v>1024</v>
      </c>
      <c r="R22" s="87" t="s">
        <v>37</v>
      </c>
      <c r="S22" s="84"/>
      <c r="T22" s="84"/>
      <c r="U22" s="84"/>
      <c r="V22" s="84"/>
      <c r="W22" s="4" t="str">
        <f t="shared" si="5"/>
        <v>Positive</v>
      </c>
      <c r="X22" s="206">
        <v>0.01</v>
      </c>
    </row>
    <row r="23" spans="1:24" ht="12" x14ac:dyDescent="0.2">
      <c r="A23" s="10" t="str">
        <f t="shared" si="1"/>
        <v>Платежное поручение входящее</v>
      </c>
      <c r="B23" s="13">
        <f t="array" ref="B23">IFERROR(INDEX(CreditDAY[Credit Days Nominal],MATCH(M23&amp;Q23&amp;I23,CreditDAY[Customer]&amp;CreditDAY[Договор.Наименование]&amp;CreditDAY[Brand Temp],0)),0)</f>
        <v>65</v>
      </c>
      <c r="C23" s="10"/>
      <c r="D23" s="165">
        <f t="shared" si="2"/>
        <v>44211</v>
      </c>
      <c r="E23" s="16">
        <f t="shared" si="0"/>
        <v>44276.708333333336</v>
      </c>
      <c r="F23" s="23">
        <f t="shared" si="3"/>
        <v>176.29166666666424</v>
      </c>
      <c r="G23" s="27" t="str">
        <f t="array" ref="G23">IF(K23&lt;0,"Advance",INDEX('Days Ranges'!$C$4:$C$12,MATCH(1,($F23&gt;='Days Ranges'!$A$4:$A$12)*($F23&lt;'Days Ranges'!$B$4:$B$12),0)))</f>
        <v>Advance</v>
      </c>
      <c r="H23" s="27" t="str">
        <f t="array" ref="H23">IF(K23&lt;0,"Advance",INDEX('Days Ranges'!$D$4:$D$12,MATCH(1,($F23&gt;'Days Ranges'!$A$4:$A$12)*($F23&lt;'Days Ranges'!$B$4:$B$12),0)))</f>
        <v>Advance</v>
      </c>
      <c r="I23" s="27" t="str">
        <f>IFERROR(IF(IFERROR(REPLACE(O23,FIND("ОПТ ",O23,1),4,""),O23)=0,VLOOKUP(MID(Q23,FIND(" ",Q23,1)+1,3),Brands!$B$2:$C$24,2,0),IFERROR(REPLACE(O23,FIND("ОПТ ",O23,1),4,""),O23)),"Check PLEASE")</f>
        <v>Converse</v>
      </c>
      <c r="J23" s="27" t="str">
        <f>VLOOKUP(I23,Brands!$E$2:$F$21,2,0)</f>
        <v>Converse</v>
      </c>
      <c r="K23" s="23">
        <f t="shared" si="4"/>
        <v>-170975</v>
      </c>
      <c r="L23" s="204" t="s">
        <v>246</v>
      </c>
      <c r="M23" s="205" t="s">
        <v>240</v>
      </c>
      <c r="N23" s="204" t="s">
        <v>146</v>
      </c>
      <c r="O23" s="205" t="s">
        <v>20</v>
      </c>
      <c r="P23" s="205" t="s">
        <v>36</v>
      </c>
      <c r="Q23" s="205" t="s">
        <v>243</v>
      </c>
      <c r="R23" s="87" t="s">
        <v>160</v>
      </c>
      <c r="S23" s="84"/>
      <c r="T23" s="84"/>
      <c r="U23" s="84"/>
      <c r="V23" s="84"/>
      <c r="W23" s="4" t="str">
        <f t="shared" si="5"/>
        <v>Negative</v>
      </c>
      <c r="X23" s="206">
        <v>-170975</v>
      </c>
    </row>
    <row r="24" spans="1:24" ht="12" x14ac:dyDescent="0.2">
      <c r="A24" s="22" t="str">
        <f t="shared" si="1"/>
        <v>Реализация товаров и услуг</v>
      </c>
      <c r="B24" s="13">
        <f t="array" ref="B24">IFERROR(INDEX(CreditDAY[Credit Days Nominal],MATCH(M24&amp;Q24&amp;I24,CreditDAY[Customer]&amp;CreditDAY[Договор.Наименование]&amp;CreditDAY[Brand Temp],0)),0)</f>
        <v>95</v>
      </c>
      <c r="C24" s="10"/>
      <c r="D24" s="165">
        <f t="shared" si="2"/>
        <v>44232</v>
      </c>
      <c r="E24" s="16">
        <f t="shared" si="0"/>
        <v>44327.607002314813</v>
      </c>
      <c r="F24" s="23">
        <f t="shared" si="3"/>
        <v>125.39299768518686</v>
      </c>
      <c r="G24" s="27" t="str">
        <f t="array" ref="G24">IF(K24&lt;0,"Advance",INDEX('Days Ranges'!$C$4:$C$12,MATCH(1,($F24&gt;='Days Ranges'!$A$4:$A$12)*($F24&lt;'Days Ranges'!$B$4:$B$12),0)))</f>
        <v>91-180 days</v>
      </c>
      <c r="H24" s="27" t="str">
        <f t="array" ref="H24">IF(K24&lt;0,"Advance",INDEX('Days Ranges'!$D$4:$D$12,MATCH(1,($F24&gt;'Days Ranges'!$A$4:$A$12)*($F24&lt;'Days Ranges'!$B$4:$B$12),0)))</f>
        <v>3 - 6 months</v>
      </c>
      <c r="I24" s="27" t="str">
        <f>IFERROR(IF(IFERROR(REPLACE(O24,FIND("ОПТ ",O24,1),4,""),O24)=0,VLOOKUP(MID(Q24,FIND(" ",Q24,1)+1,3),Brands!$B$2:$C$24,2,0),IFERROR(REPLACE(O24,FIND("ОПТ ",O24,1),4,""),O24)),"Check PLEASE")</f>
        <v>Converse</v>
      </c>
      <c r="J24" s="27" t="str">
        <f>VLOOKUP(I24,Brands!$E$2:$F$21,2,0)</f>
        <v>Converse</v>
      </c>
      <c r="K24" s="23">
        <f t="shared" si="4"/>
        <v>865831.72</v>
      </c>
      <c r="L24" s="204" t="s">
        <v>432</v>
      </c>
      <c r="M24" s="205" t="s">
        <v>69</v>
      </c>
      <c r="N24" s="204" t="s">
        <v>433</v>
      </c>
      <c r="O24" s="205" t="s">
        <v>20</v>
      </c>
      <c r="P24" s="205" t="s">
        <v>28</v>
      </c>
      <c r="Q24" s="205" t="s">
        <v>74</v>
      </c>
      <c r="R24" s="87" t="s">
        <v>160</v>
      </c>
      <c r="S24" s="84"/>
      <c r="T24" s="84"/>
      <c r="U24" s="84"/>
      <c r="V24" s="84"/>
      <c r="W24" s="4" t="str">
        <f t="shared" si="5"/>
        <v>Positive</v>
      </c>
      <c r="X24" s="207">
        <v>865831.72</v>
      </c>
    </row>
    <row r="25" spans="1:24" ht="12" x14ac:dyDescent="0.2">
      <c r="A25" s="10" t="str">
        <f t="shared" si="1"/>
        <v>Реализация товаров и услуг</v>
      </c>
      <c r="B25" s="13">
        <f t="array" ref="B25">IFERROR(INDEX(CreditDAY[Credit Days Nominal],MATCH(M25&amp;Q25&amp;I25,CreditDAY[Customer]&amp;CreditDAY[Договор.Наименование]&amp;CreditDAY[Brand Temp],0)),0)</f>
        <v>95</v>
      </c>
      <c r="C25" s="10"/>
      <c r="D25" s="165">
        <f t="shared" si="2"/>
        <v>44232</v>
      </c>
      <c r="E25" s="16">
        <f t="shared" si="0"/>
        <v>44327.610115740739</v>
      </c>
      <c r="F25" s="23">
        <f t="shared" si="3"/>
        <v>125.38988425926073</v>
      </c>
      <c r="G25" s="27" t="str">
        <f t="array" ref="G25">IF(K25&lt;0,"Advance",INDEX('Days Ranges'!$C$4:$C$12,MATCH(1,($F25&gt;='Days Ranges'!$A$4:$A$12)*($F25&lt;'Days Ranges'!$B$4:$B$12),0)))</f>
        <v>91-180 days</v>
      </c>
      <c r="H25" s="27" t="str">
        <f t="array" ref="H25">IF(K25&lt;0,"Advance",INDEX('Days Ranges'!$D$4:$D$12,MATCH(1,($F25&gt;'Days Ranges'!$A$4:$A$12)*($F25&lt;'Days Ranges'!$B$4:$B$12),0)))</f>
        <v>3 - 6 months</v>
      </c>
      <c r="I25" s="27" t="str">
        <f>IFERROR(IF(IFERROR(REPLACE(O25,FIND("ОПТ ",O25,1),4,""),O25)=0,VLOOKUP(MID(Q25,FIND(" ",Q25,1)+1,3),Brands!$B$2:$C$24,2,0),IFERROR(REPLACE(O25,FIND("ОПТ ",O25,1),4,""),O25)),"Check PLEASE")</f>
        <v>Converse</v>
      </c>
      <c r="J25" s="27" t="str">
        <f>VLOOKUP(I25,Brands!$E$2:$F$21,2,0)</f>
        <v>Converse</v>
      </c>
      <c r="K25" s="23">
        <f t="shared" si="4"/>
        <v>1549821</v>
      </c>
      <c r="L25" s="204" t="s">
        <v>434</v>
      </c>
      <c r="M25" s="205" t="s">
        <v>69</v>
      </c>
      <c r="N25" s="204" t="s">
        <v>435</v>
      </c>
      <c r="O25" s="205" t="s">
        <v>20</v>
      </c>
      <c r="P25" s="205" t="s">
        <v>28</v>
      </c>
      <c r="Q25" s="205" t="s">
        <v>74</v>
      </c>
      <c r="R25" s="87" t="s">
        <v>255</v>
      </c>
      <c r="S25" s="84"/>
      <c r="T25" s="84"/>
      <c r="U25" s="84"/>
      <c r="V25" s="84"/>
      <c r="W25" s="4" t="str">
        <f t="shared" si="5"/>
        <v>Positive</v>
      </c>
      <c r="X25" s="206">
        <v>1549821</v>
      </c>
    </row>
    <row r="26" spans="1:24" ht="12" x14ac:dyDescent="0.2">
      <c r="A26" s="22" t="str">
        <f t="shared" si="1"/>
        <v>Реализация товаров и услуг</v>
      </c>
      <c r="B26" s="13">
        <f t="array" ref="B26">IFERROR(INDEX(CreditDAY[Credit Days Nominal],MATCH(M26&amp;Q26&amp;I26,CreditDAY[Customer]&amp;CreditDAY[Договор.Наименование]&amp;CreditDAY[Brand Temp],0)),0)</f>
        <v>65</v>
      </c>
      <c r="C26" s="10"/>
      <c r="D26" s="165">
        <f t="shared" si="2"/>
        <v>44239</v>
      </c>
      <c r="E26" s="16">
        <f t="shared" si="0"/>
        <v>44304.482835648145</v>
      </c>
      <c r="F26" s="23">
        <f t="shared" si="3"/>
        <v>148.51716435185517</v>
      </c>
      <c r="G26" s="27" t="str">
        <f t="array" ref="G26">IF(K26&lt;0,"Advance",INDEX('Days Ranges'!$C$4:$C$12,MATCH(1,($F26&gt;='Days Ranges'!$A$4:$A$12)*($F26&lt;'Days Ranges'!$B$4:$B$12),0)))</f>
        <v>Advance</v>
      </c>
      <c r="H26" s="27" t="str">
        <f t="array" ref="H26">IF(K26&lt;0,"Advance",INDEX('Days Ranges'!$D$4:$D$12,MATCH(1,($F26&gt;'Days Ranges'!$A$4:$A$12)*($F26&lt;'Days Ranges'!$B$4:$B$12),0)))</f>
        <v>Advance</v>
      </c>
      <c r="I26" s="27" t="str">
        <f>IFERROR(IF(IFERROR(REPLACE(O26,FIND("ОПТ ",O26,1),4,""),O26)=0,VLOOKUP(MID(Q26,FIND(" ",Q26,1)+1,3),Brands!$B$2:$C$24,2,0),IFERROR(REPLACE(O26,FIND("ОПТ ",O26,1),4,""),O26)),"Check PLEASE")</f>
        <v>Converse</v>
      </c>
      <c r="J26" s="27" t="str">
        <f>VLOOKUP(I26,Brands!$E$2:$F$21,2,0)</f>
        <v>Converse</v>
      </c>
      <c r="K26" s="23">
        <f t="shared" si="4"/>
        <v>-139392.09</v>
      </c>
      <c r="L26" s="204" t="s">
        <v>450</v>
      </c>
      <c r="M26" s="205" t="s">
        <v>240</v>
      </c>
      <c r="N26" s="204" t="s">
        <v>451</v>
      </c>
      <c r="O26" s="205" t="s">
        <v>20</v>
      </c>
      <c r="P26" s="205" t="s">
        <v>28</v>
      </c>
      <c r="Q26" s="205" t="s">
        <v>243</v>
      </c>
      <c r="R26" s="87" t="s">
        <v>124</v>
      </c>
      <c r="S26" s="84"/>
      <c r="T26" s="84"/>
      <c r="U26" s="84"/>
      <c r="V26" s="84"/>
      <c r="W26" s="4" t="str">
        <f t="shared" si="5"/>
        <v>Negative</v>
      </c>
      <c r="X26" s="206">
        <v>-139392.09</v>
      </c>
    </row>
    <row r="27" spans="1:24" ht="12" x14ac:dyDescent="0.2">
      <c r="A27" s="22" t="str">
        <f t="shared" si="1"/>
        <v>Платежное поручение входящее</v>
      </c>
      <c r="B27" s="13">
        <f t="array" ref="B27">IFERROR(INDEX(CreditDAY[Credit Days Nominal],MATCH(M27&amp;Q27&amp;I27,CreditDAY[Customer]&amp;CreditDAY[Договор.Наименование]&amp;CreditDAY[Brand Temp],0)),0)</f>
        <v>65</v>
      </c>
      <c r="C27" s="10"/>
      <c r="D27" s="165">
        <f t="shared" si="2"/>
        <v>44239</v>
      </c>
      <c r="E27" s="16">
        <f t="shared" si="0"/>
        <v>44304.708333333336</v>
      </c>
      <c r="F27" s="23">
        <f t="shared" si="3"/>
        <v>148.29166666666424</v>
      </c>
      <c r="G27" s="27" t="str">
        <f t="array" ref="G27">IF(K27&lt;0,"Advance",INDEX('Days Ranges'!$C$4:$C$12,MATCH(1,($F27&gt;='Days Ranges'!$A$4:$A$12)*($F27&lt;'Days Ranges'!$B$4:$B$12),0)))</f>
        <v>Advance</v>
      </c>
      <c r="H27" s="27" t="str">
        <f t="array" ref="H27">IF(K27&lt;0,"Advance",INDEX('Days Ranges'!$D$4:$D$12,MATCH(1,($F27&gt;'Days Ranges'!$A$4:$A$12)*($F27&lt;'Days Ranges'!$B$4:$B$12),0)))</f>
        <v>Advance</v>
      </c>
      <c r="I27" s="27" t="str">
        <f>IFERROR(IF(IFERROR(REPLACE(O27,FIND("ОПТ ",O27,1),4,""),O27)=0,VLOOKUP(MID(Q27,FIND(" ",Q27,1)+1,3),Brands!$B$2:$C$24,2,0),IFERROR(REPLACE(O27,FIND("ОПТ ",O27,1),4,""),O27)),"Check PLEASE")</f>
        <v>Converse</v>
      </c>
      <c r="J27" s="27" t="str">
        <f>VLOOKUP(I27,Brands!$E$2:$F$21,2,0)</f>
        <v>Converse</v>
      </c>
      <c r="K27" s="23">
        <f t="shared" si="4"/>
        <v>-263025</v>
      </c>
      <c r="L27" s="204" t="s">
        <v>460</v>
      </c>
      <c r="M27" s="205" t="s">
        <v>240</v>
      </c>
      <c r="N27" s="204" t="s">
        <v>461</v>
      </c>
      <c r="O27" s="205" t="s">
        <v>20</v>
      </c>
      <c r="P27" s="205" t="s">
        <v>36</v>
      </c>
      <c r="Q27" s="205" t="s">
        <v>243</v>
      </c>
      <c r="R27" s="87" t="s">
        <v>47</v>
      </c>
      <c r="S27" s="84"/>
      <c r="T27" s="84"/>
      <c r="U27" s="84"/>
      <c r="V27" s="84"/>
      <c r="W27" s="4" t="str">
        <f t="shared" si="5"/>
        <v>Negative</v>
      </c>
      <c r="X27" s="206">
        <v>-263025</v>
      </c>
    </row>
    <row r="28" spans="1:24" ht="12" x14ac:dyDescent="0.2">
      <c r="A28" s="10" t="str">
        <f t="shared" si="1"/>
        <v>Реализация товаров и услуг</v>
      </c>
      <c r="B28" s="13">
        <f t="array" ref="B28">IFERROR(INDEX(CreditDAY[Credit Days Nominal],MATCH(M28&amp;Q28&amp;I28,CreditDAY[Customer]&amp;CreditDAY[Договор.Наименование]&amp;CreditDAY[Brand Temp],0)),0)</f>
        <v>95</v>
      </c>
      <c r="C28" s="10"/>
      <c r="D28" s="165">
        <f t="shared" si="2"/>
        <v>44242</v>
      </c>
      <c r="E28" s="16">
        <f t="shared" si="0"/>
        <v>44337.512511574074</v>
      </c>
      <c r="F28" s="23">
        <f t="shared" si="3"/>
        <v>115.48748842592613</v>
      </c>
      <c r="G28" s="27" t="str">
        <f t="array" ref="G28">IF(K28&lt;0,"Advance",INDEX('Days Ranges'!$C$4:$C$12,MATCH(1,($F28&gt;='Days Ranges'!$A$4:$A$12)*($F28&lt;'Days Ranges'!$B$4:$B$12),0)))</f>
        <v>91-180 days</v>
      </c>
      <c r="H28" s="27" t="str">
        <f t="array" ref="H28">IF(K28&lt;0,"Advance",INDEX('Days Ranges'!$D$4:$D$12,MATCH(1,($F28&gt;'Days Ranges'!$A$4:$A$12)*($F28&lt;'Days Ranges'!$B$4:$B$12),0)))</f>
        <v>3 - 6 months</v>
      </c>
      <c r="I28" s="27" t="str">
        <f>IFERROR(IF(IFERROR(REPLACE(O28,FIND("ОПТ ",O28,1),4,""),O28)=0,VLOOKUP(MID(Q28,FIND(" ",Q28,1)+1,3),Brands!$B$2:$C$24,2,0),IFERROR(REPLACE(O28,FIND("ОПТ ",O28,1),4,""),O28)),"Check PLEASE")</f>
        <v>Converse</v>
      </c>
      <c r="J28" s="27" t="str">
        <f>VLOOKUP(I28,Brands!$E$2:$F$21,2,0)</f>
        <v>Converse</v>
      </c>
      <c r="K28" s="23">
        <f t="shared" si="4"/>
        <v>1005382</v>
      </c>
      <c r="L28" s="204" t="s">
        <v>468</v>
      </c>
      <c r="M28" s="205" t="s">
        <v>69</v>
      </c>
      <c r="N28" s="204" t="s">
        <v>469</v>
      </c>
      <c r="O28" s="205" t="s">
        <v>20</v>
      </c>
      <c r="P28" s="205" t="s">
        <v>28</v>
      </c>
      <c r="Q28" s="205" t="s">
        <v>74</v>
      </c>
      <c r="R28" s="87" t="s">
        <v>57</v>
      </c>
      <c r="S28" s="84"/>
      <c r="T28" s="84"/>
      <c r="U28" s="84"/>
      <c r="V28" s="84"/>
      <c r="W28" s="4" t="str">
        <f t="shared" si="5"/>
        <v>Positive</v>
      </c>
      <c r="X28" s="206">
        <v>1005382</v>
      </c>
    </row>
    <row r="29" spans="1:24" ht="12" x14ac:dyDescent="0.2">
      <c r="A29" s="22" t="str">
        <f t="shared" si="1"/>
        <v>Реализация товаров и услуг</v>
      </c>
      <c r="B29" s="13">
        <f t="array" ref="B29">IFERROR(INDEX(CreditDAY[Credit Days Nominal],MATCH(M29&amp;Q29&amp;I29,CreditDAY[Customer]&amp;CreditDAY[Договор.Наименование]&amp;CreditDAY[Brand Temp],0)),0)</f>
        <v>95</v>
      </c>
      <c r="C29" s="10"/>
      <c r="D29" s="165">
        <f t="shared" si="2"/>
        <v>44245</v>
      </c>
      <c r="E29" s="16">
        <f t="shared" si="0"/>
        <v>44340.449618055558</v>
      </c>
      <c r="F29" s="23">
        <f t="shared" si="3"/>
        <v>112.55038194444205</v>
      </c>
      <c r="G29" s="27" t="str">
        <f t="array" ref="G29">IF(K29&lt;0,"Advance",INDEX('Days Ranges'!$C$4:$C$12,MATCH(1,($F29&gt;='Days Ranges'!$A$4:$A$12)*($F29&lt;'Days Ranges'!$B$4:$B$12),0)))</f>
        <v>91-180 days</v>
      </c>
      <c r="H29" s="27" t="str">
        <f t="array" ref="H29">IF(K29&lt;0,"Advance",INDEX('Days Ranges'!$D$4:$D$12,MATCH(1,($F29&gt;'Days Ranges'!$A$4:$A$12)*($F29&lt;'Days Ranges'!$B$4:$B$12),0)))</f>
        <v>3 - 6 months</v>
      </c>
      <c r="I29" s="27" t="str">
        <f>IFERROR(IF(IFERROR(REPLACE(O29,FIND("ОПТ ",O29,1),4,""),O29)=0,VLOOKUP(MID(Q29,FIND(" ",Q29,1)+1,3),Brands!$B$2:$C$24,2,0),IFERROR(REPLACE(O29,FIND("ОПТ ",O29,1),4,""),O29)),"Check PLEASE")</f>
        <v>Converse</v>
      </c>
      <c r="J29" s="27" t="str">
        <f>VLOOKUP(I29,Brands!$E$2:$F$21,2,0)</f>
        <v>Converse</v>
      </c>
      <c r="K29" s="23">
        <f t="shared" si="4"/>
        <v>643035.6</v>
      </c>
      <c r="L29" s="204" t="s">
        <v>474</v>
      </c>
      <c r="M29" s="205" t="s">
        <v>69</v>
      </c>
      <c r="N29" s="204" t="s">
        <v>475</v>
      </c>
      <c r="O29" s="205" t="s">
        <v>20</v>
      </c>
      <c r="P29" s="205" t="s">
        <v>28</v>
      </c>
      <c r="Q29" s="205" t="s">
        <v>74</v>
      </c>
      <c r="R29" s="87" t="s">
        <v>312</v>
      </c>
      <c r="S29" s="84"/>
      <c r="T29" s="84"/>
      <c r="U29" s="84"/>
      <c r="V29" s="84"/>
      <c r="W29" s="4" t="str">
        <f t="shared" si="5"/>
        <v>Positive</v>
      </c>
      <c r="X29" s="206">
        <v>643035.6</v>
      </c>
    </row>
    <row r="30" spans="1:24" ht="12" x14ac:dyDescent="0.2">
      <c r="A30" s="10" t="str">
        <f t="shared" si="1"/>
        <v>Реализация товаров и услуг</v>
      </c>
      <c r="B30" s="13">
        <f t="array" ref="B30">IFERROR(INDEX(CreditDAY[Credit Days Nominal],MATCH(M30&amp;Q30&amp;I30,CreditDAY[Customer]&amp;CreditDAY[Договор.Наименование]&amp;CreditDAY[Brand Temp],0)),0)</f>
        <v>65</v>
      </c>
      <c r="C30" s="10"/>
      <c r="D30" s="165">
        <f t="shared" si="2"/>
        <v>44245</v>
      </c>
      <c r="E30" s="16">
        <f t="shared" si="0"/>
        <v>44310.519479166665</v>
      </c>
      <c r="F30" s="23">
        <f t="shared" si="3"/>
        <v>142.48052083333459</v>
      </c>
      <c r="G30" s="27" t="str">
        <f t="array" ref="G30">IF(K30&lt;0,"Advance",INDEX('Days Ranges'!$C$4:$C$12,MATCH(1,($F30&gt;='Days Ranges'!$A$4:$A$12)*($F30&lt;'Days Ranges'!$B$4:$B$12),0)))</f>
        <v>Advance</v>
      </c>
      <c r="H30" s="27" t="str">
        <f t="array" ref="H30">IF(K30&lt;0,"Advance",INDEX('Days Ranges'!$D$4:$D$12,MATCH(1,($F30&gt;'Days Ranges'!$A$4:$A$12)*($F30&lt;'Days Ranges'!$B$4:$B$12),0)))</f>
        <v>Advance</v>
      </c>
      <c r="I30" s="27" t="str">
        <f>IFERROR(IF(IFERROR(REPLACE(O30,FIND("ОПТ ",O30,1),4,""),O30)=0,VLOOKUP(MID(Q30,FIND(" ",Q30,1)+1,3),Brands!$B$2:$C$24,2,0),IFERROR(REPLACE(O30,FIND("ОПТ ",O30,1),4,""),O30)),"Check PLEASE")</f>
        <v>Dr.Martens</v>
      </c>
      <c r="J30" s="27" t="str">
        <f>VLOOKUP(I30,Brands!$E$2:$F$21,2,0)</f>
        <v>Dr.Martens</v>
      </c>
      <c r="K30" s="23">
        <f t="shared" si="4"/>
        <v>-7605</v>
      </c>
      <c r="L30" s="204" t="s">
        <v>476</v>
      </c>
      <c r="M30" s="205" t="s">
        <v>240</v>
      </c>
      <c r="N30" s="204" t="s">
        <v>477</v>
      </c>
      <c r="O30" s="205" t="s">
        <v>102</v>
      </c>
      <c r="P30" s="205" t="s">
        <v>28</v>
      </c>
      <c r="Q30" s="205" t="s">
        <v>243</v>
      </c>
      <c r="R30" s="87" t="s">
        <v>182</v>
      </c>
      <c r="S30" s="84"/>
      <c r="T30" s="84"/>
      <c r="U30" s="84"/>
      <c r="V30" s="84"/>
      <c r="W30" s="4" t="str">
        <f t="shared" si="5"/>
        <v>Negative</v>
      </c>
      <c r="X30" s="206">
        <v>-7605</v>
      </c>
    </row>
    <row r="31" spans="1:24" ht="12" x14ac:dyDescent="0.2">
      <c r="A31" s="10" t="str">
        <f t="shared" si="1"/>
        <v>Реализация товаров и услуг</v>
      </c>
      <c r="B31" s="13">
        <f t="array" ref="B31">IFERROR(INDEX(CreditDAY[Credit Days Nominal],MATCH(M31&amp;Q31&amp;I31,CreditDAY[Customer]&amp;CreditDAY[Договор.Наименование]&amp;CreditDAY[Brand Temp],0)),0)</f>
        <v>95</v>
      </c>
      <c r="C31" s="10"/>
      <c r="D31" s="165">
        <f t="shared" si="2"/>
        <v>44253</v>
      </c>
      <c r="E31" s="16">
        <f t="shared" si="0"/>
        <v>44348.597777777781</v>
      </c>
      <c r="F31" s="23">
        <f t="shared" si="3"/>
        <v>104.40222222221928</v>
      </c>
      <c r="G31" s="27" t="str">
        <f t="array" ref="G31">IF(K31&lt;0,"Advance",INDEX('Days Ranges'!$C$4:$C$12,MATCH(1,($F31&gt;='Days Ranges'!$A$4:$A$12)*($F31&lt;'Days Ranges'!$B$4:$B$12),0)))</f>
        <v>91-180 days</v>
      </c>
      <c r="H31" s="27" t="str">
        <f t="array" ref="H31">IF(K31&lt;0,"Advance",INDEX('Days Ranges'!$D$4:$D$12,MATCH(1,($F31&gt;'Days Ranges'!$A$4:$A$12)*($F31&lt;'Days Ranges'!$B$4:$B$12),0)))</f>
        <v>3 - 6 months</v>
      </c>
      <c r="I31" s="27" t="str">
        <f>IFERROR(IF(IFERROR(REPLACE(O31,FIND("ОПТ ",O31,1),4,""),O31)=0,VLOOKUP(MID(Q31,FIND(" ",Q31,1)+1,3),Brands!$B$2:$C$24,2,0),IFERROR(REPLACE(O31,FIND("ОПТ ",O31,1),4,""),O31)),"Check PLEASE")</f>
        <v>Converse</v>
      </c>
      <c r="J31" s="27" t="str">
        <f>VLOOKUP(I31,Brands!$E$2:$F$21,2,0)</f>
        <v>Converse</v>
      </c>
      <c r="K31" s="23">
        <f t="shared" si="4"/>
        <v>163888</v>
      </c>
      <c r="L31" s="204" t="s">
        <v>515</v>
      </c>
      <c r="M31" s="205" t="s">
        <v>69</v>
      </c>
      <c r="N31" s="204" t="s">
        <v>516</v>
      </c>
      <c r="O31" s="205" t="s">
        <v>20</v>
      </c>
      <c r="P31" s="205" t="s">
        <v>28</v>
      </c>
      <c r="Q31" s="205" t="s">
        <v>74</v>
      </c>
      <c r="R31" s="87" t="s">
        <v>71</v>
      </c>
      <c r="S31" s="84"/>
      <c r="T31" s="84"/>
      <c r="U31" s="84"/>
      <c r="V31" s="84"/>
      <c r="W31" s="4" t="str">
        <f t="shared" si="5"/>
        <v>Positive</v>
      </c>
      <c r="X31" s="206">
        <v>163888</v>
      </c>
    </row>
    <row r="32" spans="1:24" ht="12" x14ac:dyDescent="0.2">
      <c r="A32" s="10" t="str">
        <f t="shared" si="1"/>
        <v>Реализация товаров и услуг</v>
      </c>
      <c r="B32" s="13">
        <f t="array" ref="B32">IFERROR(INDEX(CreditDAY[Credit Days Nominal],MATCH(M32&amp;Q32&amp;I32,CreditDAY[Customer]&amp;CreditDAY[Договор.Наименование]&amp;CreditDAY[Brand Temp],0)),0)</f>
        <v>65</v>
      </c>
      <c r="C32" s="10"/>
      <c r="D32" s="165">
        <f t="shared" si="2"/>
        <v>44265</v>
      </c>
      <c r="E32" s="16">
        <f t="shared" si="0"/>
        <v>44330.505486111113</v>
      </c>
      <c r="F32" s="23">
        <f t="shared" si="3"/>
        <v>122.49451388888701</v>
      </c>
      <c r="G32" s="27" t="str">
        <f t="array" ref="G32">IF(K32&lt;0,"Advance",INDEX('Days Ranges'!$C$4:$C$12,MATCH(1,($F32&gt;='Days Ranges'!$A$4:$A$12)*($F32&lt;'Days Ranges'!$B$4:$B$12),0)))</f>
        <v>Advance</v>
      </c>
      <c r="H32" s="27" t="str">
        <f t="array" ref="H32">IF(K32&lt;0,"Advance",INDEX('Days Ranges'!$D$4:$D$12,MATCH(1,($F32&gt;'Days Ranges'!$A$4:$A$12)*($F32&lt;'Days Ranges'!$B$4:$B$12),0)))</f>
        <v>Advance</v>
      </c>
      <c r="I32" s="27" t="str">
        <f>IFERROR(IF(IFERROR(REPLACE(O32,FIND("ОПТ ",O32,1),4,""),O32)=0,VLOOKUP(MID(Q32,FIND(" ",Q32,1)+1,3),Brands!$B$2:$C$24,2,0),IFERROR(REPLACE(O32,FIND("ОПТ ",O32,1),4,""),O32)),"Check PLEASE")</f>
        <v>UGG</v>
      </c>
      <c r="J32" s="27" t="str">
        <f>VLOOKUP(I32,Brands!$E$2:$F$21,2,0)</f>
        <v>UGG</v>
      </c>
      <c r="K32" s="23">
        <f t="shared" si="4"/>
        <v>-767000.13</v>
      </c>
      <c r="L32" s="204" t="s">
        <v>570</v>
      </c>
      <c r="M32" s="205" t="s">
        <v>240</v>
      </c>
      <c r="N32" s="204" t="s">
        <v>571</v>
      </c>
      <c r="O32" s="205" t="s">
        <v>56</v>
      </c>
      <c r="P32" s="205" t="s">
        <v>28</v>
      </c>
      <c r="Q32" s="205" t="s">
        <v>243</v>
      </c>
      <c r="R32" s="87" t="s">
        <v>170</v>
      </c>
      <c r="S32" s="84"/>
      <c r="T32" s="84"/>
      <c r="U32" s="84"/>
      <c r="V32" s="84"/>
      <c r="W32" s="4" t="str">
        <f t="shared" si="5"/>
        <v>Negative</v>
      </c>
      <c r="X32" s="206">
        <v>-767000.13</v>
      </c>
    </row>
    <row r="33" spans="1:24" ht="12" x14ac:dyDescent="0.2">
      <c r="A33" s="22" t="str">
        <f t="shared" si="1"/>
        <v>Реализация товаров и услуг</v>
      </c>
      <c r="B33" s="13">
        <f t="array" ref="B33">IFERROR(INDEX(CreditDAY[Credit Days Nominal],MATCH(M33&amp;Q33&amp;I33,CreditDAY[Customer]&amp;CreditDAY[Договор.Наименование]&amp;CreditDAY[Brand Temp],0)),0)</f>
        <v>95</v>
      </c>
      <c r="C33" s="10"/>
      <c r="D33" s="165">
        <f t="shared" si="2"/>
        <v>44267</v>
      </c>
      <c r="E33" s="16">
        <f t="shared" si="0"/>
        <v>44362.557453703703</v>
      </c>
      <c r="F33" s="23">
        <f>IFERROR($B$1-E33,100000)</f>
        <v>90.442546296297223</v>
      </c>
      <c r="G33" s="27" t="str">
        <f t="array" ref="G33">IF(K33&lt;0,"Advance",INDEX('Days Ranges'!$C$4:$C$12,MATCH(1,($F33&gt;='Days Ranges'!$A$4:$A$12)*($F33&lt;'Days Ranges'!$B$4:$B$12),0)))</f>
        <v>91-180 days</v>
      </c>
      <c r="H33" s="27" t="str">
        <f t="array" ref="H33">IF(K33&lt;0,"Advance",INDEX('Days Ranges'!$D$4:$D$12,MATCH(1,($F33&gt;'Days Ranges'!$A$4:$A$12)*($F33&lt;'Days Ranges'!$B$4:$B$12),0)))</f>
        <v>3 - 6 months</v>
      </c>
      <c r="I33" s="27" t="str">
        <f>IFERROR(IF(IFERROR(REPLACE(O33,FIND("ОПТ ",O33,1),4,""),O33)=0,VLOOKUP(MID(Q33,FIND(" ",Q33,1)+1,3),Brands!$B$2:$C$24,2,0),IFERROR(REPLACE(O33,FIND("ОПТ ",O33,1),4,""),O33)),"Check PLEASE")</f>
        <v>Converse</v>
      </c>
      <c r="J33" s="27" t="str">
        <f>VLOOKUP(I33,Brands!$E$2:$F$21,2,0)</f>
        <v>Converse</v>
      </c>
      <c r="K33" s="23">
        <f t="shared" si="4"/>
        <v>19433</v>
      </c>
      <c r="L33" s="204" t="s">
        <v>586</v>
      </c>
      <c r="M33" s="205" t="s">
        <v>69</v>
      </c>
      <c r="N33" s="204" t="s">
        <v>587</v>
      </c>
      <c r="O33" s="205" t="s">
        <v>20</v>
      </c>
      <c r="P33" s="205" t="s">
        <v>28</v>
      </c>
      <c r="Q33" s="205" t="s">
        <v>74</v>
      </c>
      <c r="R33" s="87" t="s">
        <v>312</v>
      </c>
      <c r="S33" s="84"/>
      <c r="T33" s="84"/>
      <c r="U33" s="84"/>
      <c r="V33" s="84"/>
      <c r="W33" s="4" t="str">
        <f t="shared" si="5"/>
        <v>Positive</v>
      </c>
      <c r="X33" s="206">
        <v>19433</v>
      </c>
    </row>
    <row r="34" spans="1:24" ht="12" x14ac:dyDescent="0.2">
      <c r="A34" s="10" t="str">
        <f t="shared" si="1"/>
        <v>Реализация товаров и услуг</v>
      </c>
      <c r="B34" s="13">
        <f t="array" ref="B34">IFERROR(INDEX(CreditDAY[Credit Days Nominal],MATCH(M34&amp;Q34&amp;I34,CreditDAY[Customer]&amp;CreditDAY[Договор.Наименование]&amp;CreditDAY[Brand Temp],0)),0)</f>
        <v>95</v>
      </c>
      <c r="C34" s="10"/>
      <c r="D34" s="165">
        <f t="shared" si="2"/>
        <v>44273</v>
      </c>
      <c r="E34" s="16">
        <f t="shared" si="0"/>
        <v>44368.460300925923</v>
      </c>
      <c r="F34" s="23">
        <f t="shared" si="3"/>
        <v>84.539699074077362</v>
      </c>
      <c r="G34" s="27" t="str">
        <f t="array" ref="G34">IF(K34&lt;0,"Advance",INDEX('Days Ranges'!$C$4:$C$12,MATCH(1,($F34&gt;='Days Ranges'!$A$4:$A$12)*($F34&lt;'Days Ranges'!$B$4:$B$12),0)))</f>
        <v>46-90 days</v>
      </c>
      <c r="H34" s="27" t="str">
        <f t="array" ref="H34">IF(K34&lt;0,"Advance",INDEX('Days Ranges'!$D$4:$D$12,MATCH(1,($F34&gt;'Days Ranges'!$A$4:$A$12)*($F34&lt;'Days Ranges'!$B$4:$B$12),0)))</f>
        <v>Current</v>
      </c>
      <c r="I34" s="27" t="str">
        <f>IFERROR(IF(IFERROR(REPLACE(O34,FIND("ОПТ ",O34,1),4,""),O34)=0,VLOOKUP(MID(Q34,FIND(" ",Q34,1)+1,3),Brands!$B$2:$C$24,2,0),IFERROR(REPLACE(O34,FIND("ОПТ ",O34,1),4,""),O34)),"Check PLEASE")</f>
        <v>Converse</v>
      </c>
      <c r="J34" s="27" t="str">
        <f>VLOOKUP(I34,Brands!$E$2:$F$21,2,0)</f>
        <v>Converse</v>
      </c>
      <c r="K34" s="23">
        <f t="shared" si="4"/>
        <v>4185</v>
      </c>
      <c r="L34" s="204" t="s">
        <v>595</v>
      </c>
      <c r="M34" s="205" t="s">
        <v>69</v>
      </c>
      <c r="N34" s="204" t="s">
        <v>596</v>
      </c>
      <c r="O34" s="205" t="s">
        <v>20</v>
      </c>
      <c r="P34" s="205" t="s">
        <v>28</v>
      </c>
      <c r="Q34" s="205" t="s">
        <v>74</v>
      </c>
      <c r="R34" s="87" t="s">
        <v>57</v>
      </c>
      <c r="S34" s="84"/>
      <c r="T34" s="84"/>
      <c r="U34" s="84"/>
      <c r="V34" s="84"/>
      <c r="W34" s="4" t="str">
        <f t="shared" si="5"/>
        <v>Positive</v>
      </c>
      <c r="X34" s="206">
        <v>4185</v>
      </c>
    </row>
    <row r="35" spans="1:24" ht="12" x14ac:dyDescent="0.2">
      <c r="A35" s="10" t="str">
        <f t="shared" si="1"/>
        <v>Реализация товаров и услуг</v>
      </c>
      <c r="B35" s="13">
        <f t="array" ref="B35">IFERROR(INDEX(CreditDAY[Credit Days Nominal],MATCH(M35&amp;Q35&amp;I35,CreditDAY[Customer]&amp;CreditDAY[Договор.Наименование]&amp;CreditDAY[Brand Temp],0)),0)</f>
        <v>95</v>
      </c>
      <c r="C35" s="10"/>
      <c r="D35" s="165">
        <f t="shared" si="2"/>
        <v>44274</v>
      </c>
      <c r="E35" s="16">
        <f t="shared" si="0"/>
        <v>44369.460069444445</v>
      </c>
      <c r="F35" s="23">
        <f t="shared" si="3"/>
        <v>83.539930555554747</v>
      </c>
      <c r="G35" s="27" t="str">
        <f t="array" ref="G35">IF(K35&lt;0,"Advance",INDEX('Days Ranges'!$C$4:$C$12,MATCH(1,($F35&gt;='Days Ranges'!$A$4:$A$12)*($F35&lt;'Days Ranges'!$B$4:$B$12),0)))</f>
        <v>46-90 days</v>
      </c>
      <c r="H35" s="27" t="str">
        <f t="array" ref="H35">IF(K35&lt;0,"Advance",INDEX('Days Ranges'!$D$4:$D$12,MATCH(1,($F35&gt;'Days Ranges'!$A$4:$A$12)*($F35&lt;'Days Ranges'!$B$4:$B$12),0)))</f>
        <v>Current</v>
      </c>
      <c r="I35" s="27" t="str">
        <f>IFERROR(IF(IFERROR(REPLACE(O35,FIND("ОПТ ",O35,1),4,""),O35)=0,VLOOKUP(MID(Q35,FIND(" ",Q35,1)+1,3),Brands!$B$2:$C$24,2,0),IFERROR(REPLACE(O35,FIND("ОПТ ",O35,1),4,""),O35)),"Check PLEASE")</f>
        <v>Converse</v>
      </c>
      <c r="J35" s="27" t="str">
        <f>VLOOKUP(I35,Brands!$E$2:$F$21,2,0)</f>
        <v>Converse</v>
      </c>
      <c r="K35" s="23">
        <f t="shared" si="4"/>
        <v>8281</v>
      </c>
      <c r="L35" s="204" t="s">
        <v>603</v>
      </c>
      <c r="M35" s="205" t="s">
        <v>69</v>
      </c>
      <c r="N35" s="204" t="s">
        <v>604</v>
      </c>
      <c r="O35" s="205" t="s">
        <v>20</v>
      </c>
      <c r="P35" s="205" t="s">
        <v>28</v>
      </c>
      <c r="Q35" s="205" t="s">
        <v>74</v>
      </c>
      <c r="R35" s="87" t="s">
        <v>71</v>
      </c>
      <c r="S35" s="84"/>
      <c r="T35" s="84"/>
      <c r="U35" s="84"/>
      <c r="V35" s="84"/>
      <c r="W35" s="4" t="str">
        <f t="shared" si="5"/>
        <v>Positive</v>
      </c>
      <c r="X35" s="206">
        <v>8281</v>
      </c>
    </row>
    <row r="36" spans="1:24" ht="12" x14ac:dyDescent="0.2">
      <c r="A36" s="10" t="str">
        <f t="shared" si="1"/>
        <v>Платежное поручение входящее</v>
      </c>
      <c r="B36" s="13">
        <f t="array" ref="B36">IFERROR(INDEX(CreditDAY[Credit Days Nominal],MATCH(M36&amp;Q36&amp;I36,CreditDAY[Customer]&amp;CreditDAY[Договор.Наименование]&amp;CreditDAY[Brand Temp],0)),0)</f>
        <v>0</v>
      </c>
      <c r="C36" s="10"/>
      <c r="D36" s="165">
        <f t="shared" si="2"/>
        <v>44278</v>
      </c>
      <c r="E36" s="16">
        <f t="shared" si="0"/>
        <v>44278.708333333336</v>
      </c>
      <c r="F36" s="23">
        <f t="shared" si="3"/>
        <v>174.29166666666424</v>
      </c>
      <c r="G36" s="27" t="str">
        <f t="array" ref="G36">IF(K36&lt;0,"Advance",INDEX('Days Ranges'!$C$4:$C$12,MATCH(1,($F36&gt;='Days Ranges'!$A$4:$A$12)*($F36&lt;'Days Ranges'!$B$4:$B$12),0)))</f>
        <v>Advance</v>
      </c>
      <c r="H36" s="27" t="str">
        <f t="array" ref="H36">IF(K36&lt;0,"Advance",INDEX('Days Ranges'!$D$4:$D$12,MATCH(1,($F36&gt;'Days Ranges'!$A$4:$A$12)*($F36&lt;'Days Ranges'!$B$4:$B$12),0)))</f>
        <v>Advance</v>
      </c>
      <c r="I36" s="27" t="str">
        <f>IFERROR(IF(IFERROR(REPLACE(O36,FIND("ОПТ ",O36,1),4,""),O36)=0,VLOOKUP(MID(Q36,FIND(" ",Q36,1)+1,3),Brands!$B$2:$C$24,2,0),IFERROR(REPLACE(O36,FIND("ОПТ ",O36,1),4,""),O36)),"Check PLEASE")</f>
        <v>Converse</v>
      </c>
      <c r="J36" s="27" t="str">
        <f>VLOOKUP(I36,Brands!$E$2:$F$21,2,0)</f>
        <v>Converse</v>
      </c>
      <c r="K36" s="23">
        <f t="shared" si="4"/>
        <v>-10200</v>
      </c>
      <c r="L36" s="204" t="s">
        <v>631</v>
      </c>
      <c r="M36" s="205" t="s">
        <v>116</v>
      </c>
      <c r="N36" s="204" t="s">
        <v>630</v>
      </c>
      <c r="O36" s="205" t="s">
        <v>20</v>
      </c>
      <c r="P36" s="205" t="s">
        <v>36</v>
      </c>
      <c r="Q36" s="205" t="s">
        <v>632</v>
      </c>
      <c r="R36" s="87" t="s">
        <v>243</v>
      </c>
      <c r="S36" s="84"/>
      <c r="T36" s="84"/>
      <c r="U36" s="84"/>
      <c r="V36" s="84"/>
      <c r="W36" s="4" t="str">
        <f t="shared" si="5"/>
        <v>Negative</v>
      </c>
      <c r="X36" s="206">
        <v>-10200</v>
      </c>
    </row>
    <row r="37" spans="1:24" ht="12" x14ac:dyDescent="0.2">
      <c r="A37" s="22" t="str">
        <f t="shared" si="1"/>
        <v>Реализация товаров и услуг</v>
      </c>
      <c r="B37" s="13">
        <f t="array" ref="B37">IFERROR(INDEX(CreditDAY[Credit Days Nominal],MATCH(M37&amp;Q37&amp;I37,CreditDAY[Customer]&amp;CreditDAY[Договор.Наименование]&amp;CreditDAY[Brand Temp],0)),0)</f>
        <v>65</v>
      </c>
      <c r="C37" s="10"/>
      <c r="D37" s="165">
        <f t="shared" si="2"/>
        <v>44279</v>
      </c>
      <c r="E37" s="16">
        <f>N37+B37+C37</f>
        <v>44344.710532407407</v>
      </c>
      <c r="F37" s="23">
        <f t="shared" si="3"/>
        <v>108.2894675925927</v>
      </c>
      <c r="G37" s="27" t="str">
        <f t="array" ref="G37">IF(K37&lt;0,"Advance",INDEX('Days Ranges'!$C$4:$C$12,MATCH(1,($F37&gt;='Days Ranges'!$A$4:$A$12)*($F37&lt;'Days Ranges'!$B$4:$B$12),0)))</f>
        <v>Advance</v>
      </c>
      <c r="H37" s="27" t="str">
        <f t="array" ref="H37">IF(K37&lt;0,"Advance",INDEX('Days Ranges'!$D$4:$D$12,MATCH(1,($F37&gt;'Days Ranges'!$A$4:$A$12)*($F37&lt;'Days Ranges'!$B$4:$B$12),0)))</f>
        <v>Advance</v>
      </c>
      <c r="I37" s="27" t="str">
        <f>IFERROR(IF(IFERROR(REPLACE(O37,FIND("ОПТ ",O37,1),4,""),O37)=0,VLOOKUP(MID(Q37,FIND(" ",Q37,1)+1,3),Brands!$B$2:$C$24,2,0),IFERROR(REPLACE(O37,FIND("ОПТ ",O37,1),4,""),O37)),"Check PLEASE")</f>
        <v>Converse</v>
      </c>
      <c r="J37" s="27" t="str">
        <f>VLOOKUP(I37,Brands!$E$2:$F$21,2,0)</f>
        <v>Converse</v>
      </c>
      <c r="K37" s="23">
        <f t="shared" si="4"/>
        <v>-3128</v>
      </c>
      <c r="L37" s="204" t="s">
        <v>633</v>
      </c>
      <c r="M37" s="205" t="s">
        <v>99</v>
      </c>
      <c r="N37" s="204" t="s">
        <v>634</v>
      </c>
      <c r="O37" s="205" t="s">
        <v>20</v>
      </c>
      <c r="P37" s="205" t="s">
        <v>28</v>
      </c>
      <c r="Q37" s="205" t="s">
        <v>101</v>
      </c>
      <c r="R37" s="87" t="s">
        <v>243</v>
      </c>
      <c r="S37" s="84"/>
      <c r="T37" s="84"/>
      <c r="U37" s="84"/>
      <c r="V37" s="84"/>
      <c r="W37" s="4" t="str">
        <f t="shared" si="5"/>
        <v>Negative</v>
      </c>
      <c r="X37" s="206">
        <v>-3128</v>
      </c>
    </row>
    <row r="38" spans="1:24" ht="12" x14ac:dyDescent="0.2">
      <c r="A38" s="22" t="str">
        <f t="shared" si="1"/>
        <v>Реализация товаров и услуг</v>
      </c>
      <c r="B38" s="13">
        <f t="array" ref="B38">IFERROR(INDEX(CreditDAY[Credit Days Nominal],MATCH(M38&amp;Q38&amp;I38,CreditDAY[Customer]&amp;CreditDAY[Договор.Наименование]&amp;CreditDAY[Brand Temp],0)),0)</f>
        <v>65</v>
      </c>
      <c r="C38" s="10"/>
      <c r="D38" s="165">
        <f t="shared" si="2"/>
        <v>44281</v>
      </c>
      <c r="E38" s="16">
        <f t="shared" si="0"/>
        <v>44346.682233796295</v>
      </c>
      <c r="F38" s="23">
        <f>IFERROR($B$1-E38,100000)</f>
        <v>106.3177662037051</v>
      </c>
      <c r="G38" s="27" t="str">
        <f t="array" ref="G38">IF(K38&lt;0,"Advance",INDEX('Days Ranges'!$C$4:$C$12,MATCH(1,($F38&gt;='Days Ranges'!$A$4:$A$12)*($F38&lt;'Days Ranges'!$B$4:$B$12),0)))</f>
        <v>Advance</v>
      </c>
      <c r="H38" s="27" t="str">
        <f t="array" ref="H38">IF(K38&lt;0,"Advance",INDEX('Days Ranges'!$D$4:$D$12,MATCH(1,($F38&gt;'Days Ranges'!$A$4:$A$12)*($F38&lt;'Days Ranges'!$B$4:$B$12),0)))</f>
        <v>Advance</v>
      </c>
      <c r="I38" s="27" t="str">
        <f>IFERROR(IF(IFERROR(REPLACE(O38,FIND("ОПТ ",O38,1),4,""),O38)=0,VLOOKUP(MID(Q38,FIND(" ",Q38,1)+1,3),Brands!$B$2:$C$24,2,0),IFERROR(REPLACE(O38,FIND("ОПТ ",O38,1),4,""),O38)),"Check PLEASE")</f>
        <v>Converse</v>
      </c>
      <c r="J38" s="27" t="str">
        <f>VLOOKUP(I38,Brands!$E$2:$F$21,2,0)</f>
        <v>Converse</v>
      </c>
      <c r="K38" s="23">
        <f t="shared" si="4"/>
        <v>-18400</v>
      </c>
      <c r="L38" s="204" t="s">
        <v>651</v>
      </c>
      <c r="M38" s="205" t="s">
        <v>99</v>
      </c>
      <c r="N38" s="204" t="s">
        <v>652</v>
      </c>
      <c r="O38" s="205" t="s">
        <v>20</v>
      </c>
      <c r="P38" s="205" t="s">
        <v>28</v>
      </c>
      <c r="Q38" s="205" t="s">
        <v>101</v>
      </c>
      <c r="R38" s="87" t="s">
        <v>17</v>
      </c>
      <c r="S38" s="84"/>
      <c r="T38" s="84"/>
      <c r="U38" s="84"/>
      <c r="V38" s="84"/>
      <c r="W38" s="4" t="str">
        <f t="shared" si="5"/>
        <v>Negative</v>
      </c>
      <c r="X38" s="206">
        <v>-18400</v>
      </c>
    </row>
    <row r="39" spans="1:24" ht="12" x14ac:dyDescent="0.2">
      <c r="A39" s="10" t="str">
        <f t="shared" si="1"/>
        <v>Реализация товаров и услуг</v>
      </c>
      <c r="B39" s="13">
        <f t="array" ref="B39">IFERROR(INDEX(CreditDAY[Credit Days Nominal],MATCH(M39&amp;Q39&amp;I39,CreditDAY[Customer]&amp;CreditDAY[Договор.Наименование]&amp;CreditDAY[Brand Temp],0)),0)</f>
        <v>65</v>
      </c>
      <c r="C39" s="10"/>
      <c r="D39" s="165">
        <f t="shared" si="2"/>
        <v>44281</v>
      </c>
      <c r="E39" s="16">
        <f t="shared" si="0"/>
        <v>44346.684340277781</v>
      </c>
      <c r="F39" s="23">
        <f t="shared" si="3"/>
        <v>106.3156597222187</v>
      </c>
      <c r="G39" s="27" t="str">
        <f t="array" ref="G39">IF(K39&lt;0,"Advance",INDEX('Days Ranges'!$C$4:$C$12,MATCH(1,($F39&gt;='Days Ranges'!$A$4:$A$12)*($F39&lt;'Days Ranges'!$B$4:$B$12),0)))</f>
        <v>91-180 days</v>
      </c>
      <c r="H39" s="27" t="str">
        <f t="array" ref="H39">IF(K39&lt;0,"Advance",INDEX('Days Ranges'!$D$4:$D$12,MATCH(1,($F39&gt;'Days Ranges'!$A$4:$A$12)*($F39&lt;'Days Ranges'!$B$4:$B$12),0)))</f>
        <v>3 - 6 months</v>
      </c>
      <c r="I39" s="27" t="str">
        <f>IFERROR(IF(IFERROR(REPLACE(O39,FIND("ОПТ ",O39,1),4,""),O39)=0,VLOOKUP(MID(Q39,FIND(" ",Q39,1)+1,3),Brands!$B$2:$C$24,2,0),IFERROR(REPLACE(O39,FIND("ОПТ ",O39,1),4,""),O39)),"Check PLEASE")</f>
        <v>Converse</v>
      </c>
      <c r="J39" s="27" t="str">
        <f>VLOOKUP(I39,Brands!$E$2:$F$21,2,0)</f>
        <v>Converse</v>
      </c>
      <c r="K39" s="23">
        <f t="shared" si="4"/>
        <v>170200</v>
      </c>
      <c r="L39" s="204" t="s">
        <v>655</v>
      </c>
      <c r="M39" s="205" t="s">
        <v>99</v>
      </c>
      <c r="N39" s="204" t="s">
        <v>656</v>
      </c>
      <c r="O39" s="205" t="s">
        <v>20</v>
      </c>
      <c r="P39" s="205" t="s">
        <v>28</v>
      </c>
      <c r="Q39" s="205" t="s">
        <v>101</v>
      </c>
      <c r="R39" s="87" t="s">
        <v>1024</v>
      </c>
      <c r="S39" s="84"/>
      <c r="T39" s="84"/>
      <c r="U39" s="84"/>
      <c r="V39" s="84"/>
      <c r="W39" s="4" t="str">
        <f t="shared" si="5"/>
        <v>Positive</v>
      </c>
      <c r="X39" s="206">
        <v>170200</v>
      </c>
    </row>
    <row r="40" spans="1:24" ht="12" x14ac:dyDescent="0.2">
      <c r="A40" s="22" t="str">
        <f t="shared" si="1"/>
        <v>Платежное поручение входящее</v>
      </c>
      <c r="B40" s="13">
        <f t="array" ref="B40">IFERROR(INDEX(CreditDAY[Credit Days Nominal],MATCH(M40&amp;Q40&amp;I40,CreditDAY[Customer]&amp;CreditDAY[Договор.Наименование]&amp;CreditDAY[Brand Temp],0)),0)</f>
        <v>0</v>
      </c>
      <c r="C40" s="10"/>
      <c r="D40" s="165">
        <f t="shared" si="2"/>
        <v>44298</v>
      </c>
      <c r="E40" s="16">
        <f t="shared" si="0"/>
        <v>44298.708333333336</v>
      </c>
      <c r="F40" s="23">
        <f t="shared" si="3"/>
        <v>154.29166666666424</v>
      </c>
      <c r="G40" s="27" t="str">
        <f t="array" ref="G40">IF(K40&lt;0,"Advance",INDEX('Days Ranges'!$C$4:$C$12,MATCH(1,($F40&gt;='Days Ranges'!$A$4:$A$12)*($F40&lt;'Days Ranges'!$B$4:$B$12),0)))</f>
        <v>Advance</v>
      </c>
      <c r="H40" s="27" t="str">
        <f t="array" ref="H40">IF(K40&lt;0,"Advance",INDEX('Days Ranges'!$D$4:$D$12,MATCH(1,($F40&gt;'Days Ranges'!$A$4:$A$12)*($F40&lt;'Days Ranges'!$B$4:$B$12),0)))</f>
        <v>Advance</v>
      </c>
      <c r="I40" s="27" t="str">
        <f>IFERROR(IF(IFERROR(REPLACE(O40,FIND("ОПТ ",O40,1),4,""),O40)=0,VLOOKUP(MID(Q40,FIND(" ",Q40,1)+1,3),Brands!$B$2:$C$24,2,0),IFERROR(REPLACE(O40,FIND("ОПТ ",O40,1),4,""),O40)),"Check PLEASE")</f>
        <v>Converse</v>
      </c>
      <c r="J40" s="27" t="str">
        <f>VLOOKUP(I40,Brands!$E$2:$F$21,2,0)</f>
        <v>Converse</v>
      </c>
      <c r="K40" s="23">
        <f t="shared" si="4"/>
        <v>-4628</v>
      </c>
      <c r="L40" s="204" t="s">
        <v>871</v>
      </c>
      <c r="M40" s="205" t="s">
        <v>265</v>
      </c>
      <c r="N40" s="204" t="s">
        <v>872</v>
      </c>
      <c r="O40" s="205" t="s">
        <v>20</v>
      </c>
      <c r="P40" s="205" t="s">
        <v>36</v>
      </c>
      <c r="Q40" s="205" t="s">
        <v>1386</v>
      </c>
      <c r="R40" s="87" t="s">
        <v>243</v>
      </c>
      <c r="S40" s="84"/>
      <c r="T40" s="84"/>
      <c r="U40" s="84"/>
      <c r="V40" s="84"/>
      <c r="W40" s="4" t="str">
        <f t="shared" si="5"/>
        <v>Negative</v>
      </c>
      <c r="X40" s="206">
        <v>-4628</v>
      </c>
    </row>
    <row r="41" spans="1:24" ht="12" x14ac:dyDescent="0.2">
      <c r="A41" s="10" t="str">
        <f t="shared" si="1"/>
        <v>Платежное поручение входящее</v>
      </c>
      <c r="B41" s="13">
        <f t="array" ref="B41">IFERROR(INDEX(CreditDAY[Credit Days Nominal],MATCH(M41&amp;Q41&amp;I41,CreditDAY[Customer]&amp;CreditDAY[Договор.Наименование]&amp;CreditDAY[Brand Temp],0)),0)</f>
        <v>0</v>
      </c>
      <c r="C41" s="10"/>
      <c r="D41" s="165">
        <f t="shared" si="2"/>
        <v>44299</v>
      </c>
      <c r="E41" s="16">
        <f t="shared" si="0"/>
        <v>44299.986898148149</v>
      </c>
      <c r="F41" s="23">
        <f t="shared" si="3"/>
        <v>153.01310185185139</v>
      </c>
      <c r="G41" s="27" t="str">
        <f t="array" ref="G41">IF(K41&lt;0,"Advance",INDEX('Days Ranges'!$C$4:$C$12,MATCH(1,($F41&gt;='Days Ranges'!$A$4:$A$12)*($F41&lt;'Days Ranges'!$B$4:$B$12),0)))</f>
        <v>Advance</v>
      </c>
      <c r="H41" s="27" t="str">
        <f t="array" ref="H41">IF(K41&lt;0,"Advance",INDEX('Days Ranges'!$D$4:$D$12,MATCH(1,($F41&gt;'Days Ranges'!$A$4:$A$12)*($F41&lt;'Days Ranges'!$B$4:$B$12),0)))</f>
        <v>Advance</v>
      </c>
      <c r="I41" s="27" t="str">
        <f>IFERROR(IF(IFERROR(REPLACE(O41,FIND("ОПТ ",O41,1),4,""),O41)=0,VLOOKUP(MID(Q41,FIND(" ",Q41,1)+1,3),Brands!$B$2:$C$24,2,0),IFERROR(REPLACE(O41,FIND("ОПТ ",O41,1),4,""),O41)),"Check PLEASE")</f>
        <v>Сток Converse</v>
      </c>
      <c r="J41" s="27" t="str">
        <f>VLOOKUP(I41,Brands!$E$2:$F$21,2,0)</f>
        <v>Converse</v>
      </c>
      <c r="K41" s="23">
        <f t="shared" si="4"/>
        <v>-1194</v>
      </c>
      <c r="L41" s="204" t="s">
        <v>875</v>
      </c>
      <c r="M41" s="205" t="s">
        <v>105</v>
      </c>
      <c r="N41" s="204" t="s">
        <v>876</v>
      </c>
      <c r="O41" s="205" t="s">
        <v>52</v>
      </c>
      <c r="P41" s="205" t="s">
        <v>36</v>
      </c>
      <c r="Q41" s="205" t="s">
        <v>877</v>
      </c>
      <c r="R41" s="87" t="s">
        <v>74</v>
      </c>
      <c r="S41" s="84"/>
      <c r="T41" s="84"/>
      <c r="U41" s="84"/>
      <c r="V41" s="84"/>
      <c r="W41" s="4" t="str">
        <f t="shared" si="5"/>
        <v>Negative</v>
      </c>
      <c r="X41" s="206">
        <v>-1194</v>
      </c>
    </row>
    <row r="42" spans="1:24" ht="12" x14ac:dyDescent="0.2">
      <c r="A42" s="10" t="str">
        <f t="shared" si="1"/>
        <v>Реализация товаров и услуг</v>
      </c>
      <c r="B42" s="13">
        <f t="array" ref="B42">IFERROR(INDEX(CreditDAY[Credit Days Nominal],MATCH(M42&amp;Q42&amp;I42,CreditDAY[Customer]&amp;CreditDAY[Договор.Наименование]&amp;CreditDAY[Brand Temp],0)),0)</f>
        <v>95</v>
      </c>
      <c r="C42" s="10"/>
      <c r="D42" s="165">
        <f t="shared" si="2"/>
        <v>44301</v>
      </c>
      <c r="E42" s="16">
        <f t="shared" si="0"/>
        <v>44396.475335648145</v>
      </c>
      <c r="F42" s="23">
        <f t="shared" si="3"/>
        <v>56.524664351854881</v>
      </c>
      <c r="G42" s="27" t="str">
        <f t="array" ref="G42">IF(K42&lt;0,"Advance",INDEX('Days Ranges'!$C$4:$C$12,MATCH(1,($F42&gt;='Days Ranges'!$A$4:$A$12)*($F42&lt;'Days Ranges'!$B$4:$B$12),0)))</f>
        <v>Advance</v>
      </c>
      <c r="H42" s="27" t="str">
        <f t="array" ref="H42">IF(K42&lt;0,"Advance",INDEX('Days Ranges'!$D$4:$D$12,MATCH(1,($F42&gt;'Days Ranges'!$A$4:$A$12)*($F42&lt;'Days Ranges'!$B$4:$B$12),0)))</f>
        <v>Advance</v>
      </c>
      <c r="I42" s="27" t="str">
        <f>IFERROR(IF(IFERROR(REPLACE(O42,FIND("ОПТ ",O42,1),4,""),O42)=0,VLOOKUP(MID(Q42,FIND(" ",Q42,1)+1,3),Brands!$B$2:$C$24,2,0),IFERROR(REPLACE(O42,FIND("ОПТ ",O42,1),4,""),O42)),"Check PLEASE")</f>
        <v>Converse</v>
      </c>
      <c r="J42" s="27" t="str">
        <f>VLOOKUP(I42,Brands!$E$2:$F$21,2,0)</f>
        <v>Converse</v>
      </c>
      <c r="K42" s="378">
        <f t="shared" si="4"/>
        <v>-5087340</v>
      </c>
      <c r="L42" s="204" t="s">
        <v>1443</v>
      </c>
      <c r="M42" s="205" t="s">
        <v>285</v>
      </c>
      <c r="N42" s="204" t="s">
        <v>1444</v>
      </c>
      <c r="O42" s="205" t="s">
        <v>20</v>
      </c>
      <c r="P42" s="205" t="s">
        <v>28</v>
      </c>
      <c r="Q42" s="205" t="s">
        <v>288</v>
      </c>
      <c r="R42" s="87" t="s">
        <v>74</v>
      </c>
      <c r="S42" s="84"/>
      <c r="T42" s="84"/>
      <c r="U42" s="84"/>
      <c r="V42" s="84"/>
      <c r="W42" s="4" t="str">
        <f t="shared" si="5"/>
        <v>Negative</v>
      </c>
      <c r="X42" s="206">
        <v>-5087340</v>
      </c>
    </row>
    <row r="43" spans="1:24" ht="12" x14ac:dyDescent="0.2">
      <c r="A43" s="10" t="str">
        <f t="shared" si="1"/>
        <v>Реализация товаров и услуг</v>
      </c>
      <c r="B43" s="13">
        <f t="array" ref="B43">IFERROR(INDEX(CreditDAY[Credit Days Nominal],MATCH(M43&amp;Q43&amp;I43,CreditDAY[Customer]&amp;CreditDAY[Договор.Наименование]&amp;CreditDAY[Brand Temp],0)),0)</f>
        <v>65</v>
      </c>
      <c r="C43" s="10"/>
      <c r="D43" s="165">
        <f t="shared" si="2"/>
        <v>44301</v>
      </c>
      <c r="E43" s="16">
        <f t="shared" si="0"/>
        <v>44366.779687499999</v>
      </c>
      <c r="F43" s="23">
        <f t="shared" si="3"/>
        <v>86.220312500001455</v>
      </c>
      <c r="G43" s="27" t="str">
        <f t="array" ref="G43">IF(K43&lt;0,"Advance",INDEX('Days Ranges'!$C$4:$C$12,MATCH(1,($F43&gt;='Days Ranges'!$A$4:$A$12)*($F43&lt;'Days Ranges'!$B$4:$B$12),0)))</f>
        <v>Advance</v>
      </c>
      <c r="H43" s="27" t="str">
        <f t="array" ref="H43">IF(K43&lt;0,"Advance",INDEX('Days Ranges'!$D$4:$D$12,MATCH(1,($F43&gt;'Days Ranges'!$A$4:$A$12)*($F43&lt;'Days Ranges'!$B$4:$B$12),0)))</f>
        <v>Advance</v>
      </c>
      <c r="I43" s="27" t="str">
        <f>IFERROR(IF(IFERROR(REPLACE(O43,FIND("ОПТ ",O43,1),4,""),O43)=0,VLOOKUP(MID(Q43,FIND(" ",Q43,1)+1,3),Brands!$B$2:$C$24,2,0),IFERROR(REPLACE(O43,FIND("ОПТ ",O43,1),4,""),O43)),"Check PLEASE")</f>
        <v>Converse</v>
      </c>
      <c r="J43" s="27" t="str">
        <f>VLOOKUP(I43,Brands!$E$2:$F$21,2,0)</f>
        <v>Converse</v>
      </c>
      <c r="K43" s="378">
        <f t="shared" si="4"/>
        <v>-18400</v>
      </c>
      <c r="L43" s="204" t="s">
        <v>886</v>
      </c>
      <c r="M43" s="205" t="s">
        <v>99</v>
      </c>
      <c r="N43" s="204" t="s">
        <v>887</v>
      </c>
      <c r="O43" s="205" t="s">
        <v>20</v>
      </c>
      <c r="P43" s="205" t="s">
        <v>28</v>
      </c>
      <c r="Q43" s="205" t="s">
        <v>101</v>
      </c>
      <c r="R43" s="87" t="s">
        <v>243</v>
      </c>
      <c r="S43" s="84"/>
      <c r="T43" s="84"/>
      <c r="U43" s="84"/>
      <c r="V43" s="84"/>
      <c r="W43" s="4" t="str">
        <f t="shared" si="5"/>
        <v>Negative</v>
      </c>
      <c r="X43" s="206">
        <v>-18400</v>
      </c>
    </row>
    <row r="44" spans="1:24" ht="12" x14ac:dyDescent="0.2">
      <c r="A44" s="10" t="str">
        <f t="shared" si="1"/>
        <v>Реализация товаров и услуг</v>
      </c>
      <c r="B44" s="13">
        <f t="array" ref="B44">IFERROR(INDEX(CreditDAY[Credit Days Nominal],MATCH(M44&amp;Q44&amp;I44,CreditDAY[Customer]&amp;CreditDAY[Договор.Наименование]&amp;CreditDAY[Brand Temp],0)),0)</f>
        <v>95</v>
      </c>
      <c r="C44" s="10"/>
      <c r="D44" s="165">
        <f t="shared" si="2"/>
        <v>44307</v>
      </c>
      <c r="E44" s="16">
        <f t="shared" si="0"/>
        <v>44402.773310185185</v>
      </c>
      <c r="F44" s="23">
        <f t="shared" si="3"/>
        <v>50.226689814815472</v>
      </c>
      <c r="G44" s="27" t="str">
        <f t="array" ref="G44">IF(K44&lt;0,"Advance",INDEX('Days Ranges'!$C$4:$C$12,MATCH(1,($F44&gt;='Days Ranges'!$A$4:$A$12)*($F44&lt;'Days Ranges'!$B$4:$B$12),0)))</f>
        <v>Advance</v>
      </c>
      <c r="H44" s="27" t="str">
        <f t="array" ref="H44">IF(K44&lt;0,"Advance",INDEX('Days Ranges'!$D$4:$D$12,MATCH(1,($F44&gt;'Days Ranges'!$A$4:$A$12)*($F44&lt;'Days Ranges'!$B$4:$B$12),0)))</f>
        <v>Advance</v>
      </c>
      <c r="I44" s="27" t="str">
        <f>IFERROR(IF(IFERROR(REPLACE(O44,FIND("ОПТ ",O44,1),4,""),O44)=0,VLOOKUP(MID(Q44,FIND(" ",Q44,1)+1,3),Brands!$B$2:$C$24,2,0),IFERROR(REPLACE(O44,FIND("ОПТ ",O44,1),4,""),O44)),"Check PLEASE")</f>
        <v>Converse</v>
      </c>
      <c r="J44" s="27" t="str">
        <f>VLOOKUP(I44,Brands!$E$2:$F$21,2,0)</f>
        <v>Converse</v>
      </c>
      <c r="K44" s="23">
        <f t="shared" si="4"/>
        <v>-689792.59</v>
      </c>
      <c r="L44" s="204" t="s">
        <v>925</v>
      </c>
      <c r="M44" s="205" t="s">
        <v>285</v>
      </c>
      <c r="N44" s="204" t="s">
        <v>926</v>
      </c>
      <c r="O44" s="205" t="s">
        <v>20</v>
      </c>
      <c r="P44" s="205" t="s">
        <v>28</v>
      </c>
      <c r="Q44" s="205" t="s">
        <v>288</v>
      </c>
      <c r="R44" s="87" t="s">
        <v>243</v>
      </c>
      <c r="S44" s="84"/>
      <c r="T44" s="84"/>
      <c r="U44" s="84"/>
      <c r="V44" s="84"/>
      <c r="W44" s="4" t="str">
        <f t="shared" si="5"/>
        <v>Negative</v>
      </c>
      <c r="X44" s="206">
        <v>-689792.59</v>
      </c>
    </row>
    <row r="45" spans="1:24" ht="12" x14ac:dyDescent="0.2">
      <c r="A45" s="22" t="str">
        <f t="shared" si="1"/>
        <v>Платежное поручение входящее</v>
      </c>
      <c r="B45" s="13">
        <f t="array" ref="B45">IFERROR(INDEX(CreditDAY[Credit Days Nominal],MATCH(M45&amp;Q45&amp;I45,CreditDAY[Customer]&amp;CreditDAY[Договор.Наименование]&amp;CreditDAY[Brand Temp],0)),0)</f>
        <v>0</v>
      </c>
      <c r="C45" s="10"/>
      <c r="D45" s="165">
        <f t="shared" si="2"/>
        <v>44308</v>
      </c>
      <c r="E45" s="16">
        <f t="shared" si="0"/>
        <v>44308.708333333336</v>
      </c>
      <c r="F45" s="23">
        <f t="shared" si="3"/>
        <v>144.29166666666424</v>
      </c>
      <c r="G45" s="27" t="str">
        <f t="array" ref="G45">IF(K45&lt;0,"Advance",INDEX('Days Ranges'!$C$4:$C$12,MATCH(1,($F45&gt;='Days Ranges'!$A$4:$A$12)*($F45&lt;'Days Ranges'!$B$4:$B$12),0)))</f>
        <v>Advance</v>
      </c>
      <c r="H45" s="27" t="str">
        <f t="array" ref="H45">IF(K45&lt;0,"Advance",INDEX('Days Ranges'!$D$4:$D$12,MATCH(1,($F45&gt;'Days Ranges'!$A$4:$A$12)*($F45&lt;'Days Ranges'!$B$4:$B$12),0)))</f>
        <v>Advance</v>
      </c>
      <c r="I45" s="27" t="str">
        <f>IFERROR(IF(IFERROR(REPLACE(O45,FIND("ОПТ ",O45,1),4,""),O45)=0,VLOOKUP(MID(Q45,FIND(" ",Q45,1)+1,3),Brands!$B$2:$C$24,2,0),IFERROR(REPLACE(O45,FIND("ОПТ ",O45,1),4,""),O45)),"Check PLEASE")</f>
        <v>Сток Converse</v>
      </c>
      <c r="J45" s="27" t="str">
        <f>VLOOKUP(I45,Brands!$E$2:$F$21,2,0)</f>
        <v>Converse</v>
      </c>
      <c r="K45" s="381">
        <f t="shared" si="4"/>
        <v>-10</v>
      </c>
      <c r="L45" s="204" t="s">
        <v>933</v>
      </c>
      <c r="M45" s="205" t="s">
        <v>134</v>
      </c>
      <c r="N45" s="204" t="s">
        <v>934</v>
      </c>
      <c r="O45" s="205" t="s">
        <v>52</v>
      </c>
      <c r="P45" s="205" t="s">
        <v>36</v>
      </c>
      <c r="Q45" s="205" t="s">
        <v>592</v>
      </c>
      <c r="R45" s="87" t="s">
        <v>74</v>
      </c>
      <c r="S45" s="84"/>
      <c r="T45" s="84"/>
      <c r="U45" s="84"/>
      <c r="V45" s="84"/>
      <c r="W45" s="4" t="str">
        <f t="shared" si="5"/>
        <v>Negative</v>
      </c>
      <c r="X45" s="206">
        <v>-10</v>
      </c>
    </row>
    <row r="46" spans="1:24" ht="12" x14ac:dyDescent="0.2">
      <c r="A46" s="10" t="str">
        <f t="shared" si="1"/>
        <v>Платежное поручение входящее</v>
      </c>
      <c r="B46" s="13">
        <f t="array" ref="B46">IFERROR(INDEX(CreditDAY[Credit Days Nominal],MATCH(M46&amp;Q46&amp;I46,CreditDAY[Customer]&amp;CreditDAY[Договор.Наименование]&amp;CreditDAY[Brand Temp],0)),0)</f>
        <v>65</v>
      </c>
      <c r="C46" s="10"/>
      <c r="D46" s="165">
        <f t="shared" si="2"/>
        <v>44309</v>
      </c>
      <c r="E46" s="16">
        <f t="shared" si="0"/>
        <v>44374.993136574078</v>
      </c>
      <c r="F46" s="23">
        <f t="shared" si="3"/>
        <v>78.006863425922347</v>
      </c>
      <c r="G46" s="27" t="str">
        <f t="array" ref="G46">IF(K46&lt;0,"Advance",INDEX('Days Ranges'!$C$4:$C$12,MATCH(1,($F46&gt;='Days Ranges'!$A$4:$A$12)*($F46&lt;'Days Ranges'!$B$4:$B$12),0)))</f>
        <v>Advance</v>
      </c>
      <c r="H46" s="27" t="str">
        <f t="array" ref="H46">IF(K46&lt;0,"Advance",INDEX('Days Ranges'!$D$4:$D$12,MATCH(1,($F46&gt;'Days Ranges'!$A$4:$A$12)*($F46&lt;'Days Ranges'!$B$4:$B$12),0)))</f>
        <v>Advance</v>
      </c>
      <c r="I46" s="27" t="str">
        <f>IFERROR(IF(IFERROR(REPLACE(O46,FIND("ОПТ ",O46,1),4,""),O46)=0,VLOOKUP(MID(Q46,FIND(" ",Q46,1)+1,3),Brands!$B$2:$C$24,2,0),IFERROR(REPLACE(O46,FIND("ОПТ ",O46,1),4,""),O46)),"Check PLEASE")</f>
        <v>Сток Dr.Martens</v>
      </c>
      <c r="J46" s="27" t="str">
        <f>VLOOKUP(I46,Brands!$E$2:$F$21,2,0)</f>
        <v>Dr.Martens</v>
      </c>
      <c r="K46" s="23">
        <f t="shared" si="4"/>
        <v>-1006499.9</v>
      </c>
      <c r="L46" s="204" t="s">
        <v>946</v>
      </c>
      <c r="M46" s="205" t="s">
        <v>240</v>
      </c>
      <c r="N46" s="204" t="s">
        <v>947</v>
      </c>
      <c r="O46" s="205" t="s">
        <v>107</v>
      </c>
      <c r="P46" s="205" t="s">
        <v>36</v>
      </c>
      <c r="Q46" s="205" t="s">
        <v>243</v>
      </c>
      <c r="R46" s="87" t="s">
        <v>74</v>
      </c>
      <c r="S46" s="84"/>
      <c r="T46" s="84"/>
      <c r="U46" s="84"/>
      <c r="V46" s="84"/>
      <c r="W46" s="4" t="str">
        <f t="shared" si="5"/>
        <v>Negative</v>
      </c>
      <c r="X46" s="206">
        <v>-1006499.9</v>
      </c>
    </row>
    <row r="47" spans="1:24" ht="12" x14ac:dyDescent="0.2">
      <c r="A47" s="22" t="str">
        <f t="shared" si="1"/>
        <v>Реализация товаров и услуг</v>
      </c>
      <c r="B47" s="13">
        <f t="array" ref="B47">IFERROR(INDEX(CreditDAY[Credit Days Nominal],MATCH(M47&amp;Q47&amp;I47,CreditDAY[Customer]&amp;CreditDAY[Договор.Наименование]&amp;CreditDAY[Brand Temp],0)),0)</f>
        <v>95</v>
      </c>
      <c r="C47" s="10"/>
      <c r="D47" s="165">
        <f t="shared" si="2"/>
        <v>44313</v>
      </c>
      <c r="E47" s="16">
        <f t="shared" si="0"/>
        <v>44408.445439814815</v>
      </c>
      <c r="F47" s="23">
        <f t="shared" si="3"/>
        <v>44.554560185184528</v>
      </c>
      <c r="G47" s="27" t="str">
        <f t="array" ref="G47">IF(K47&lt;0,"Advance",INDEX('Days Ranges'!$C$4:$C$12,MATCH(1,($F47&gt;='Days Ranges'!$A$4:$A$12)*($F47&lt;'Days Ranges'!$B$4:$B$12),0)))</f>
        <v>31-45 days</v>
      </c>
      <c r="H47" s="27" t="str">
        <f t="array" ref="H47">IF(K47&lt;0,"Advance",INDEX('Days Ranges'!$D$4:$D$12,MATCH(1,($F47&gt;'Days Ranges'!$A$4:$A$12)*($F47&lt;'Days Ranges'!$B$4:$B$12),0)))</f>
        <v>Current</v>
      </c>
      <c r="I47" s="27" t="str">
        <f>IFERROR(IF(IFERROR(REPLACE(O47,FIND("ОПТ ",O47,1),4,""),O47)=0,VLOOKUP(MID(Q47,FIND(" ",Q47,1)+1,3),Brands!$B$2:$C$24,2,0),IFERROR(REPLACE(O47,FIND("ОПТ ",O47,1),4,""),O47)),"Check PLEASE")</f>
        <v>Converse</v>
      </c>
      <c r="J47" s="27" t="str">
        <f>VLOOKUP(I47,Brands!$E$2:$F$21,2,0)</f>
        <v>Converse</v>
      </c>
      <c r="K47" s="387">
        <f t="shared" si="4"/>
        <v>323466.67</v>
      </c>
      <c r="L47" s="204" t="s">
        <v>956</v>
      </c>
      <c r="M47" s="205" t="s">
        <v>48</v>
      </c>
      <c r="N47" s="204" t="s">
        <v>957</v>
      </c>
      <c r="O47" s="205" t="s">
        <v>20</v>
      </c>
      <c r="P47" s="205" t="s">
        <v>28</v>
      </c>
      <c r="Q47" s="205" t="s">
        <v>49</v>
      </c>
      <c r="R47" s="87" t="s">
        <v>243</v>
      </c>
      <c r="S47" s="84"/>
      <c r="T47" s="84"/>
      <c r="U47" s="84"/>
      <c r="V47" s="84"/>
      <c r="W47" s="4" t="str">
        <f t="shared" si="5"/>
        <v>Positive</v>
      </c>
      <c r="X47" s="206">
        <v>323466.67</v>
      </c>
    </row>
    <row r="48" spans="1:24" ht="12" x14ac:dyDescent="0.2">
      <c r="A48" s="22" t="str">
        <f t="shared" si="1"/>
        <v>Реализация товаров и услуг</v>
      </c>
      <c r="B48" s="13">
        <f t="array" ref="B48">IFERROR(INDEX(CreditDAY[Credit Days Nominal],MATCH(M48&amp;Q48&amp;I48,CreditDAY[Customer]&amp;CreditDAY[Договор.Наименование]&amp;CreditDAY[Brand Temp],0)),0)</f>
        <v>95</v>
      </c>
      <c r="C48" s="10"/>
      <c r="D48" s="165">
        <f t="shared" si="2"/>
        <v>44313</v>
      </c>
      <c r="E48" s="16">
        <f>N48+B48+C48</f>
        <v>44408.445555555554</v>
      </c>
      <c r="F48" s="23">
        <f>IFERROR($B$1-E48,100000)</f>
        <v>44.554444444445835</v>
      </c>
      <c r="G48" s="27" t="str">
        <f t="array" ref="G48">IF(K48&lt;0,"Advance",INDEX('Days Ranges'!$C$4:$C$12,MATCH(1,($F48&gt;='Days Ranges'!$A$4:$A$12)*($F48&lt;'Days Ranges'!$B$4:$B$12),0)))</f>
        <v>31-45 days</v>
      </c>
      <c r="H48" s="27" t="str">
        <f t="array" ref="H48">IF(K48&lt;0,"Advance",INDEX('Days Ranges'!$D$4:$D$12,MATCH(1,($F48&gt;'Days Ranges'!$A$4:$A$12)*($F48&lt;'Days Ranges'!$B$4:$B$12),0)))</f>
        <v>Current</v>
      </c>
      <c r="I48" s="27" t="str">
        <f>IFERROR(IF(IFERROR(REPLACE(O48,FIND("ОПТ ",O48,1),4,""),O48)=0,VLOOKUP(MID(Q48,FIND(" ",Q48,1)+1,3),Brands!$B$2:$C$24,2,0),IFERROR(REPLACE(O48,FIND("ОПТ ",O48,1),4,""),O48)),"Check PLEASE")</f>
        <v>Converse</v>
      </c>
      <c r="J48" s="27" t="str">
        <f>VLOOKUP(I48,Brands!$E$2:$F$21,2,0)</f>
        <v>Converse</v>
      </c>
      <c r="K48" s="23">
        <f t="shared" si="4"/>
        <v>97500</v>
      </c>
      <c r="L48" s="204" t="s">
        <v>958</v>
      </c>
      <c r="M48" s="205" t="s">
        <v>48</v>
      </c>
      <c r="N48" s="204" t="s">
        <v>959</v>
      </c>
      <c r="O48" s="205" t="s">
        <v>20</v>
      </c>
      <c r="P48" s="205" t="s">
        <v>28</v>
      </c>
      <c r="Q48" s="205" t="s">
        <v>49</v>
      </c>
      <c r="R48" s="87" t="s">
        <v>74</v>
      </c>
      <c r="S48" s="84"/>
      <c r="T48" s="84"/>
      <c r="U48" s="84"/>
      <c r="V48" s="84"/>
      <c r="W48" s="4" t="str">
        <f t="shared" si="5"/>
        <v>Positive</v>
      </c>
      <c r="X48" s="206">
        <v>97500</v>
      </c>
    </row>
    <row r="49" spans="1:24" ht="12" x14ac:dyDescent="0.2">
      <c r="A49" s="10" t="str">
        <f t="shared" si="1"/>
        <v>Реализация товаров и услуг</v>
      </c>
      <c r="B49" s="13">
        <f t="array" ref="B49">IFERROR(INDEX(CreditDAY[Credit Days Nominal],MATCH(M49&amp;Q49&amp;I49,CreditDAY[Customer]&amp;CreditDAY[Договор.Наименование]&amp;CreditDAY[Brand Temp],0)),0)</f>
        <v>65</v>
      </c>
      <c r="C49" s="10"/>
      <c r="D49" s="165">
        <f t="shared" si="2"/>
        <v>44314</v>
      </c>
      <c r="E49" s="16">
        <f t="shared" si="0"/>
        <v>44379.671863425923</v>
      </c>
      <c r="F49" s="23">
        <f t="shared" si="3"/>
        <v>73.32813657407678</v>
      </c>
      <c r="G49" s="27" t="str">
        <f t="array" ref="G49">IF(K49&lt;0,"Advance",INDEX('Days Ranges'!$C$4:$C$12,MATCH(1,($F49&gt;='Days Ranges'!$A$4:$A$12)*($F49&lt;'Days Ranges'!$B$4:$B$12),0)))</f>
        <v>Advance</v>
      </c>
      <c r="H49" s="27" t="str">
        <f t="array" ref="H49">IF(K49&lt;0,"Advance",INDEX('Days Ranges'!$D$4:$D$12,MATCH(1,($F49&gt;'Days Ranges'!$A$4:$A$12)*($F49&lt;'Days Ranges'!$B$4:$B$12),0)))</f>
        <v>Advance</v>
      </c>
      <c r="I49" s="27" t="str">
        <f>IFERROR(IF(IFERROR(REPLACE(O49,FIND("ОПТ ",O49,1),4,""),O49)=0,VLOOKUP(MID(Q49,FIND(" ",Q49,1)+1,3),Brands!$B$2:$C$24,2,0),IFERROR(REPLACE(O49,FIND("ОПТ ",O49,1),4,""),O49)),"Check PLEASE")</f>
        <v>Converse</v>
      </c>
      <c r="J49" s="27" t="str">
        <f>VLOOKUP(I49,Brands!$E$2:$F$21,2,0)</f>
        <v>Converse</v>
      </c>
      <c r="K49" s="23">
        <f t="shared" si="4"/>
        <v>-3358</v>
      </c>
      <c r="L49" s="204" t="s">
        <v>968</v>
      </c>
      <c r="M49" s="205" t="s">
        <v>99</v>
      </c>
      <c r="N49" s="204" t="s">
        <v>969</v>
      </c>
      <c r="O49" s="205" t="s">
        <v>20</v>
      </c>
      <c r="P49" s="205" t="s">
        <v>28</v>
      </c>
      <c r="Q49" s="205" t="s">
        <v>101</v>
      </c>
      <c r="R49" s="87" t="s">
        <v>243</v>
      </c>
      <c r="S49" s="84"/>
      <c r="T49" s="84"/>
      <c r="U49" s="84"/>
      <c r="V49" s="84"/>
      <c r="W49" s="4" t="str">
        <f t="shared" si="5"/>
        <v>Negative</v>
      </c>
      <c r="X49" s="207">
        <v>-3358</v>
      </c>
    </row>
    <row r="50" spans="1:24" ht="12" x14ac:dyDescent="0.2">
      <c r="A50" s="22" t="str">
        <f t="shared" si="1"/>
        <v>Реализация товаров и услуг</v>
      </c>
      <c r="B50" s="13">
        <f t="array" ref="B50">IFERROR(INDEX(CreditDAY[Credit Days Nominal],MATCH(M50&amp;Q50&amp;I50,CreditDAY[Customer]&amp;CreditDAY[Договор.Наименование]&amp;CreditDAY[Brand Temp],0)),0)</f>
        <v>95</v>
      </c>
      <c r="C50" s="10">
        <v>43</v>
      </c>
      <c r="D50" s="165">
        <f t="shared" si="2"/>
        <v>44315</v>
      </c>
      <c r="E50" s="16">
        <f t="shared" si="0"/>
        <v>44453.4140625</v>
      </c>
      <c r="F50" s="23">
        <f t="shared" si="3"/>
        <v>-0.4140625</v>
      </c>
      <c r="G50" s="27" t="str">
        <f t="array" ref="G50">IF(K50&lt;0,"Advance",INDEX('Days Ranges'!$C$4:$C$12,MATCH(1,($F50&gt;='Days Ranges'!$A$4:$A$12)*($F50&lt;'Days Ranges'!$B$4:$B$12),0)))</f>
        <v>Current</v>
      </c>
      <c r="H50" s="27" t="str">
        <f t="array" ref="H50">IF(K50&lt;0,"Advance",INDEX('Days Ranges'!$D$4:$D$12,MATCH(1,($F50&gt;'Days Ranges'!$A$4:$A$12)*($F50&lt;'Days Ranges'!$B$4:$B$12),0)))</f>
        <v>Current</v>
      </c>
      <c r="I50" s="27" t="str">
        <f>IFERROR(IF(IFERROR(REPLACE(O50,FIND("ОПТ ",O50,1),4,""),O50)=0,VLOOKUP(MID(Q50,FIND(" ",Q50,1)+1,3),Brands!$B$2:$C$24,2,0),IFERROR(REPLACE(O50,FIND("ОПТ ",O50,1),4,""),O50)),"Check PLEASE")</f>
        <v>Dr.Martens</v>
      </c>
      <c r="J50" s="27" t="str">
        <f>VLOOKUP(I50,Brands!$E$2:$F$21,2,0)</f>
        <v>Dr.Martens</v>
      </c>
      <c r="K50" s="381">
        <f t="shared" si="4"/>
        <v>15703.5</v>
      </c>
      <c r="L50" s="204" t="s">
        <v>986</v>
      </c>
      <c r="M50" s="205" t="s">
        <v>185</v>
      </c>
      <c r="N50" s="204" t="s">
        <v>987</v>
      </c>
      <c r="O50" s="205" t="s">
        <v>102</v>
      </c>
      <c r="P50" s="205" t="s">
        <v>28</v>
      </c>
      <c r="Q50" s="205" t="s">
        <v>186</v>
      </c>
      <c r="R50" s="87" t="s">
        <v>243</v>
      </c>
      <c r="S50" s="84"/>
      <c r="T50" s="84"/>
      <c r="U50" s="84"/>
      <c r="V50" s="84"/>
      <c r="W50" s="4" t="str">
        <f t="shared" si="5"/>
        <v>Positive</v>
      </c>
      <c r="X50" s="206">
        <v>15703.5</v>
      </c>
    </row>
    <row r="51" spans="1:24" ht="12" x14ac:dyDescent="0.2">
      <c r="A51" s="22" t="str">
        <f t="shared" si="1"/>
        <v>Реализация товаров и услуг</v>
      </c>
      <c r="B51" s="13">
        <f t="array" ref="B51">IFERROR(INDEX(CreditDAY[Credit Days Nominal],MATCH(M51&amp;Q51&amp;I51,CreditDAY[Customer]&amp;CreditDAY[Договор.Наименование]&amp;CreditDAY[Brand Temp],0)),0)</f>
        <v>95</v>
      </c>
      <c r="C51" s="10">
        <v>43</v>
      </c>
      <c r="D51" s="165">
        <f t="shared" si="2"/>
        <v>44315</v>
      </c>
      <c r="E51" s="16">
        <f t="shared" si="0"/>
        <v>44453.414710648147</v>
      </c>
      <c r="F51" s="23">
        <f t="shared" si="3"/>
        <v>-0.41471064814686542</v>
      </c>
      <c r="G51" s="27" t="str">
        <f t="array" ref="G51">IF(K51&lt;0,"Advance",INDEX('Days Ranges'!$C$4:$C$12,MATCH(1,($F51&gt;='Days Ranges'!$A$4:$A$12)*($F51&lt;'Days Ranges'!$B$4:$B$12),0)))</f>
        <v>Current</v>
      </c>
      <c r="H51" s="27" t="str">
        <f t="array" ref="H51">IF(K51&lt;0,"Advance",INDEX('Days Ranges'!$D$4:$D$12,MATCH(1,($F51&gt;'Days Ranges'!$A$4:$A$12)*($F51&lt;'Days Ranges'!$B$4:$B$12),0)))</f>
        <v>Current</v>
      </c>
      <c r="I51" s="27" t="str">
        <f>IFERROR(IF(IFERROR(REPLACE(O51,FIND("ОПТ ",O51,1),4,""),O51)=0,VLOOKUP(MID(Q51,FIND(" ",Q51,1)+1,3),Brands!$B$2:$C$24,2,0),IFERROR(REPLACE(O51,FIND("ОПТ ",O51,1),4,""),O51)),"Check PLEASE")</f>
        <v>Сток Converse</v>
      </c>
      <c r="J51" s="27" t="str">
        <f>VLOOKUP(I51,Brands!$E$2:$F$21,2,0)</f>
        <v>Converse</v>
      </c>
      <c r="K51" s="23">
        <f t="shared" si="4"/>
        <v>111870</v>
      </c>
      <c r="L51" s="204" t="s">
        <v>988</v>
      </c>
      <c r="M51" s="205" t="s">
        <v>185</v>
      </c>
      <c r="N51" s="204" t="s">
        <v>989</v>
      </c>
      <c r="O51" s="205" t="s">
        <v>52</v>
      </c>
      <c r="P51" s="205" t="s">
        <v>28</v>
      </c>
      <c r="Q51" s="205" t="s">
        <v>186</v>
      </c>
      <c r="R51" s="87" t="s">
        <v>243</v>
      </c>
      <c r="S51" s="84"/>
      <c r="T51" s="84"/>
      <c r="U51" s="84"/>
      <c r="V51" s="84"/>
      <c r="W51" s="4" t="str">
        <f t="shared" si="5"/>
        <v>Positive</v>
      </c>
      <c r="X51" s="206">
        <v>111870</v>
      </c>
    </row>
    <row r="52" spans="1:24" ht="12" x14ac:dyDescent="0.2">
      <c r="A52" s="22" t="str">
        <f t="shared" si="1"/>
        <v>Реализация товаров и услуг</v>
      </c>
      <c r="B52" s="13">
        <f t="array" ref="B52">IFERROR(INDEX(CreditDAY[Credit Days Nominal],MATCH(M52&amp;Q52&amp;I52,CreditDAY[Customer]&amp;CreditDAY[Договор.Наименование]&amp;CreditDAY[Brand Temp],0)),0)</f>
        <v>95</v>
      </c>
      <c r="C52" s="10">
        <v>43</v>
      </c>
      <c r="D52" s="165">
        <f t="shared" si="2"/>
        <v>44315</v>
      </c>
      <c r="E52" s="16">
        <f t="shared" si="0"/>
        <v>44453.415370370371</v>
      </c>
      <c r="F52" s="23">
        <f t="shared" si="3"/>
        <v>-0.4153703703705105</v>
      </c>
      <c r="G52" s="27" t="str">
        <f t="array" ref="G52">IF(K52&lt;0,"Advance",INDEX('Days Ranges'!$C$4:$C$12,MATCH(1,($F52&gt;='Days Ranges'!$A$4:$A$12)*($F52&lt;'Days Ranges'!$B$4:$B$12),0)))</f>
        <v>Current</v>
      </c>
      <c r="H52" s="27" t="str">
        <f t="array" ref="H52">IF(K52&lt;0,"Advance",INDEX('Days Ranges'!$D$4:$D$12,MATCH(1,($F52&gt;'Days Ranges'!$A$4:$A$12)*($F52&lt;'Days Ranges'!$B$4:$B$12),0)))</f>
        <v>Current</v>
      </c>
      <c r="I52" s="27" t="str">
        <f>IFERROR(IF(IFERROR(REPLACE(O52,FIND("ОПТ ",O52,1),4,""),O52)=0,VLOOKUP(MID(Q52,FIND(" ",Q52,1)+1,3),Brands!$B$2:$C$24,2,0),IFERROR(REPLACE(O52,FIND("ОПТ ",O52,1),4,""),O52)),"Check PLEASE")</f>
        <v>Сток Converse</v>
      </c>
      <c r="J52" s="27" t="str">
        <f>VLOOKUP(I52,Brands!$E$2:$F$21,2,0)</f>
        <v>Converse</v>
      </c>
      <c r="K52" s="23">
        <f t="shared" si="4"/>
        <v>9847.4</v>
      </c>
      <c r="L52" s="204" t="s">
        <v>990</v>
      </c>
      <c r="M52" s="205" t="s">
        <v>185</v>
      </c>
      <c r="N52" s="204" t="s">
        <v>991</v>
      </c>
      <c r="O52" s="205" t="s">
        <v>52</v>
      </c>
      <c r="P52" s="205" t="s">
        <v>28</v>
      </c>
      <c r="Q52" s="205" t="s">
        <v>186</v>
      </c>
      <c r="R52" s="87" t="s">
        <v>74</v>
      </c>
      <c r="S52" s="84"/>
      <c r="T52" s="84"/>
      <c r="U52" s="84"/>
      <c r="V52" s="84"/>
      <c r="W52" s="4" t="str">
        <f t="shared" si="5"/>
        <v>Positive</v>
      </c>
      <c r="X52" s="206">
        <v>9847.4</v>
      </c>
    </row>
    <row r="53" spans="1:24" ht="12" x14ac:dyDescent="0.2">
      <c r="A53" s="10" t="str">
        <f t="shared" si="1"/>
        <v>Реализация товаров и услуг</v>
      </c>
      <c r="B53" s="13">
        <f t="array" ref="B53">IFERROR(INDEX(CreditDAY[Credit Days Nominal],MATCH(M53&amp;Q53&amp;I53,CreditDAY[Customer]&amp;CreditDAY[Договор.Наименование]&amp;CreditDAY[Brand Temp],0)),0)</f>
        <v>95</v>
      </c>
      <c r="C53" s="10">
        <v>43</v>
      </c>
      <c r="D53" s="165">
        <f t="shared" si="2"/>
        <v>44315</v>
      </c>
      <c r="E53" s="16">
        <f t="shared" si="0"/>
        <v>44453.41615740741</v>
      </c>
      <c r="F53" s="23">
        <f t="shared" si="3"/>
        <v>-0.41615740740962792</v>
      </c>
      <c r="G53" s="27" t="str">
        <f t="array" ref="G53">IF(K53&lt;0,"Advance",INDEX('Days Ranges'!$C$4:$C$12,MATCH(1,($F53&gt;='Days Ranges'!$A$4:$A$12)*($F53&lt;'Days Ranges'!$B$4:$B$12),0)))</f>
        <v>Current</v>
      </c>
      <c r="H53" s="27" t="str">
        <f t="array" ref="H53">IF(K53&lt;0,"Advance",INDEX('Days Ranges'!$D$4:$D$12,MATCH(1,($F53&gt;'Days Ranges'!$A$4:$A$12)*($F53&lt;'Days Ranges'!$B$4:$B$12),0)))</f>
        <v>Current</v>
      </c>
      <c r="I53" s="27" t="str">
        <f>IFERROR(IF(IFERROR(REPLACE(O53,FIND("ОПТ ",O53,1),4,""),O53)=0,VLOOKUP(MID(Q53,FIND(" ",Q53,1)+1,3),Brands!$B$2:$C$24,2,0),IFERROR(REPLACE(O53,FIND("ОПТ ",O53,1),4,""),O53)),"Check PLEASE")</f>
        <v>Сток Converse</v>
      </c>
      <c r="J53" s="27" t="str">
        <f>VLOOKUP(I53,Brands!$E$2:$F$21,2,0)</f>
        <v>Converse</v>
      </c>
      <c r="K53" s="23">
        <f t="shared" si="4"/>
        <v>255870</v>
      </c>
      <c r="L53" s="204" t="s">
        <v>992</v>
      </c>
      <c r="M53" s="205" t="s">
        <v>185</v>
      </c>
      <c r="N53" s="204" t="s">
        <v>993</v>
      </c>
      <c r="O53" s="205" t="s">
        <v>52</v>
      </c>
      <c r="P53" s="205" t="s">
        <v>28</v>
      </c>
      <c r="Q53" s="205" t="s">
        <v>186</v>
      </c>
      <c r="R53" s="87" t="s">
        <v>74</v>
      </c>
      <c r="S53" s="84"/>
      <c r="T53" s="84"/>
      <c r="U53" s="84"/>
      <c r="V53" s="84"/>
      <c r="W53" s="4" t="str">
        <f t="shared" si="5"/>
        <v>Positive</v>
      </c>
      <c r="X53" s="206">
        <v>255870</v>
      </c>
    </row>
    <row r="54" spans="1:24" ht="12" x14ac:dyDescent="0.2">
      <c r="A54" s="22" t="str">
        <f t="shared" si="1"/>
        <v>Реализация товаров и услуг</v>
      </c>
      <c r="B54" s="13">
        <f t="array" ref="B54">IFERROR(INDEX(CreditDAY[Credit Days Nominal],MATCH(M54&amp;Q54&amp;I54,CreditDAY[Customer]&amp;CreditDAY[Договор.Наименование]&amp;CreditDAY[Brand Temp],0)),0)</f>
        <v>95</v>
      </c>
      <c r="C54" s="10"/>
      <c r="D54" s="165">
        <f t="shared" si="2"/>
        <v>44315</v>
      </c>
      <c r="E54" s="16">
        <f t="shared" si="0"/>
        <v>44410.973067129627</v>
      </c>
      <c r="F54" s="23">
        <f t="shared" si="3"/>
        <v>42.026932870372548</v>
      </c>
      <c r="G54" s="27" t="str">
        <f t="array" ref="G54">IF(K54&lt;0,"Advance",INDEX('Days Ranges'!$C$4:$C$12,MATCH(1,($F54&gt;='Days Ranges'!$A$4:$A$12)*($F54&lt;'Days Ranges'!$B$4:$B$12),0)))</f>
        <v>31-45 days</v>
      </c>
      <c r="H54" s="27" t="str">
        <f t="array" ref="H54">IF(K54&lt;0,"Advance",INDEX('Days Ranges'!$D$4:$D$12,MATCH(1,($F54&gt;'Days Ranges'!$A$4:$A$12)*($F54&lt;'Days Ranges'!$B$4:$B$12),0)))</f>
        <v>Current</v>
      </c>
      <c r="I54" s="27" t="str">
        <f>IFERROR(IF(IFERROR(REPLACE(O54,FIND("ОПТ ",O54,1),4,""),O54)=0,VLOOKUP(MID(Q54,FIND(" ",Q54,1)+1,3),Brands!$B$2:$C$24,2,0),IFERROR(REPLACE(O54,FIND("ОПТ ",O54,1),4,""),O54)),"Check PLEASE")</f>
        <v>Converse</v>
      </c>
      <c r="J54" s="27" t="str">
        <f>VLOOKUP(I54,Brands!$E$2:$F$21,2,0)</f>
        <v>Converse</v>
      </c>
      <c r="K54" s="23">
        <f t="shared" si="4"/>
        <v>47675.5</v>
      </c>
      <c r="L54" s="204" t="s">
        <v>996</v>
      </c>
      <c r="M54" s="205" t="s">
        <v>69</v>
      </c>
      <c r="N54" s="204" t="s">
        <v>997</v>
      </c>
      <c r="O54" s="205" t="s">
        <v>20</v>
      </c>
      <c r="P54" s="205" t="s">
        <v>28</v>
      </c>
      <c r="Q54" s="205" t="s">
        <v>74</v>
      </c>
      <c r="R54" s="87" t="s">
        <v>74</v>
      </c>
      <c r="S54" s="84"/>
      <c r="T54" s="84"/>
      <c r="U54" s="84"/>
      <c r="V54" s="84"/>
      <c r="W54" s="4" t="str">
        <f t="shared" si="5"/>
        <v>Positive</v>
      </c>
      <c r="X54" s="206">
        <v>47675.5</v>
      </c>
    </row>
    <row r="55" spans="1:24" ht="12" x14ac:dyDescent="0.2">
      <c r="A55" s="10" t="str">
        <f t="shared" si="1"/>
        <v>Отчет комиссионера о продажах</v>
      </c>
      <c r="B55" s="13">
        <f t="array" ref="B55">IFERROR(INDEX(CreditDAY[Credit Days Nominal],MATCH(M55&amp;Q55&amp;I55,CreditDAY[Customer]&amp;CreditDAY[Договор.Наименование]&amp;CreditDAY[Brand Temp],0)),0)</f>
        <v>45</v>
      </c>
      <c r="C55" s="10"/>
      <c r="D55" s="165">
        <f t="shared" si="2"/>
        <v>44316</v>
      </c>
      <c r="E55" s="16">
        <f t="shared" si="0"/>
        <v>44361.724456018521</v>
      </c>
      <c r="F55" s="23">
        <f t="shared" si="3"/>
        <v>91.275543981479132</v>
      </c>
      <c r="G55" s="27" t="str">
        <f t="array" ref="G55">IF(K55&lt;0,"Advance",INDEX('Days Ranges'!$C$4:$C$12,MATCH(1,($F55&gt;='Days Ranges'!$A$4:$A$12)*($F55&lt;'Days Ranges'!$B$4:$B$12),0)))</f>
        <v>91-180 days</v>
      </c>
      <c r="H55" s="27" t="str">
        <f t="array" ref="H55">IF(K55&lt;0,"Advance",INDEX('Days Ranges'!$D$4:$D$12,MATCH(1,($F55&gt;'Days Ranges'!$A$4:$A$12)*($F55&lt;'Days Ranges'!$B$4:$B$12),0)))</f>
        <v>3 - 6 months</v>
      </c>
      <c r="I55" s="27" t="str">
        <f>IFERROR(IF(IFERROR(REPLACE(O55,FIND("ОПТ ",O55,1),4,""),O55)=0,VLOOKUP(MID(Q55,FIND(" ",Q55,1)+1,3),Brands!$B$2:$C$24,2,0),IFERROR(REPLACE(O55,FIND("ОПТ ",O55,1),4,""),O55)),"Check PLEASE")</f>
        <v>Сток Dr.Martens</v>
      </c>
      <c r="J55" s="27" t="str">
        <f>VLOOKUP(I55,Brands!$E$2:$F$21,2,0)</f>
        <v>Dr.Martens</v>
      </c>
      <c r="K55" s="23">
        <f t="shared" si="4"/>
        <v>2819.91</v>
      </c>
      <c r="L55" s="204" t="s">
        <v>1004</v>
      </c>
      <c r="M55" s="205" t="s">
        <v>277</v>
      </c>
      <c r="N55" s="204" t="s">
        <v>1005</v>
      </c>
      <c r="O55" s="205" t="s">
        <v>107</v>
      </c>
      <c r="P55" s="205"/>
      <c r="Q55" s="205" t="s">
        <v>278</v>
      </c>
      <c r="R55" s="87" t="s">
        <v>144</v>
      </c>
      <c r="S55" s="84"/>
      <c r="T55" s="84"/>
      <c r="U55" s="84"/>
      <c r="V55" s="84"/>
      <c r="W55" s="4" t="str">
        <f t="shared" si="5"/>
        <v>Positive</v>
      </c>
      <c r="X55" s="206">
        <v>2819.91</v>
      </c>
    </row>
    <row r="56" spans="1:24" ht="12" x14ac:dyDescent="0.2">
      <c r="A56" s="22" t="str">
        <f t="shared" si="1"/>
        <v>Реализация товаров и услуг</v>
      </c>
      <c r="B56" s="13">
        <f t="array" ref="B56">IFERROR(INDEX(CreditDAY[Credit Days Nominal],MATCH(M56&amp;Q56&amp;I56,CreditDAY[Customer]&amp;CreditDAY[Договор.Наименование]&amp;CreditDAY[Brand Temp],0)),0)</f>
        <v>95</v>
      </c>
      <c r="C56" s="10"/>
      <c r="D56" s="165">
        <f t="shared" si="2"/>
        <v>44327</v>
      </c>
      <c r="E56" s="16">
        <f t="shared" si="0"/>
        <v>44422.610358796293</v>
      </c>
      <c r="F56" s="23">
        <f t="shared" si="3"/>
        <v>30.38964120370656</v>
      </c>
      <c r="G56" s="27" t="str">
        <f t="array" ref="G56">IF(K56&lt;0,"Advance",INDEX('Days Ranges'!$C$4:$C$12,MATCH(1,($F56&gt;='Days Ranges'!$A$4:$A$12)*($F56&lt;'Days Ranges'!$B$4:$B$12),0)))</f>
        <v>31-45 days</v>
      </c>
      <c r="H56" s="27" t="str">
        <f t="array" ref="H56">IF(K56&lt;0,"Advance",INDEX('Days Ranges'!$D$4:$D$12,MATCH(1,($F56&gt;'Days Ranges'!$A$4:$A$12)*($F56&lt;'Days Ranges'!$B$4:$B$12),0)))</f>
        <v>Current</v>
      </c>
      <c r="I56" s="27" t="str">
        <f>IFERROR(IF(IFERROR(REPLACE(O56,FIND("ОПТ ",O56,1),4,""),O56)=0,VLOOKUP(MID(Q56,FIND(" ",Q56,1)+1,3),Brands!$B$2:$C$24,2,0),IFERROR(REPLACE(O56,FIND("ОПТ ",O56,1),4,""),O56)),"Check PLEASE")</f>
        <v>Converse</v>
      </c>
      <c r="J56" s="27" t="str">
        <f>VLOOKUP(I56,Brands!$E$2:$F$21,2,0)</f>
        <v>Converse</v>
      </c>
      <c r="K56" s="23">
        <f t="shared" si="4"/>
        <v>3255</v>
      </c>
      <c r="L56" s="204" t="s">
        <v>1067</v>
      </c>
      <c r="M56" s="205" t="s">
        <v>69</v>
      </c>
      <c r="N56" s="204" t="s">
        <v>1068</v>
      </c>
      <c r="O56" s="205" t="s">
        <v>20</v>
      </c>
      <c r="P56" s="205" t="s">
        <v>28</v>
      </c>
      <c r="Q56" s="205" t="s">
        <v>74</v>
      </c>
      <c r="R56" s="87" t="s">
        <v>632</v>
      </c>
      <c r="S56" s="84"/>
      <c r="T56" s="84"/>
      <c r="U56" s="84"/>
      <c r="V56" s="84"/>
      <c r="W56" s="4" t="str">
        <f t="shared" si="5"/>
        <v>Positive</v>
      </c>
      <c r="X56" s="206">
        <v>3255</v>
      </c>
    </row>
    <row r="57" spans="1:24" ht="12" x14ac:dyDescent="0.2">
      <c r="A57" s="22" t="str">
        <f t="shared" si="1"/>
        <v>Реализация товаров и услуг</v>
      </c>
      <c r="B57" s="13">
        <f t="array" ref="B57">IFERROR(INDEX(CreditDAY[Credit Days Nominal],MATCH(M57&amp;Q57&amp;I57,CreditDAY[Customer]&amp;CreditDAY[Договор.Наименование]&amp;CreditDAY[Brand Temp],0)),0)</f>
        <v>95</v>
      </c>
      <c r="C57" s="10"/>
      <c r="D57" s="165">
        <f t="shared" si="2"/>
        <v>44333</v>
      </c>
      <c r="E57" s="16">
        <f t="shared" si="0"/>
        <v>44428.736712962964</v>
      </c>
      <c r="F57" s="23">
        <f t="shared" si="3"/>
        <v>24.263287037036207</v>
      </c>
      <c r="G57" s="27" t="str">
        <f t="array" ref="G57">IF(K57&lt;0,"Advance",INDEX('Days Ranges'!$C$4:$C$12,MATCH(1,($F57&gt;='Days Ranges'!$A$4:$A$12)*($F57&lt;'Days Ranges'!$B$4:$B$12),0)))</f>
        <v>Advance</v>
      </c>
      <c r="H57" s="27" t="str">
        <f t="array" ref="H57">IF(K57&lt;0,"Advance",INDEX('Days Ranges'!$D$4:$D$12,MATCH(1,($F57&gt;'Days Ranges'!$A$4:$A$12)*($F57&lt;'Days Ranges'!$B$4:$B$12),0)))</f>
        <v>Advance</v>
      </c>
      <c r="I57" s="27" t="str">
        <f>IFERROR(IF(IFERROR(REPLACE(O57,FIND("ОПТ ",O57,1),4,""),O57)=0,VLOOKUP(MID(Q57,FIND(" ",Q57,1)+1,3),Brands!$B$2:$C$24,2,0),IFERROR(REPLACE(O57,FIND("ОПТ ",O57,1),4,""),O57)),"Check PLEASE")</f>
        <v>Сток Converse</v>
      </c>
      <c r="J57" s="27" t="str">
        <f>VLOOKUP(I57,Brands!$E$2:$F$21,2,0)</f>
        <v>Converse</v>
      </c>
      <c r="K57" s="23">
        <f t="shared" si="4"/>
        <v>-613559</v>
      </c>
      <c r="L57" s="204" t="s">
        <v>1108</v>
      </c>
      <c r="M57" s="205" t="s">
        <v>285</v>
      </c>
      <c r="N57" s="204" t="s">
        <v>1109</v>
      </c>
      <c r="O57" s="205" t="s">
        <v>52</v>
      </c>
      <c r="P57" s="205" t="s">
        <v>28</v>
      </c>
      <c r="Q57" s="205" t="s">
        <v>288</v>
      </c>
      <c r="R57" s="87" t="s">
        <v>186</v>
      </c>
      <c r="S57" s="84"/>
      <c r="T57" s="84"/>
      <c r="U57" s="84"/>
      <c r="V57" s="84"/>
      <c r="W57" s="4" t="str">
        <f t="shared" si="5"/>
        <v>Negative</v>
      </c>
      <c r="X57" s="206">
        <v>-613559</v>
      </c>
    </row>
    <row r="58" spans="1:24" ht="12" x14ac:dyDescent="0.2">
      <c r="A58" s="22" t="str">
        <f t="shared" si="1"/>
        <v>Реализация товаров и услуг</v>
      </c>
      <c r="B58" s="13">
        <f t="array" ref="B58">IFERROR(INDEX(CreditDAY[Credit Days Nominal],MATCH(M58&amp;Q58&amp;I58,CreditDAY[Customer]&amp;CreditDAY[Договор.Наименование]&amp;CreditDAY[Brand Temp],0)),0)</f>
        <v>95</v>
      </c>
      <c r="C58" s="10"/>
      <c r="D58" s="165">
        <f t="shared" si="2"/>
        <v>44335</v>
      </c>
      <c r="E58" s="16">
        <f t="shared" si="0"/>
        <v>44430.565694444442</v>
      </c>
      <c r="F58" s="23">
        <f t="shared" si="3"/>
        <v>22.43430555555824</v>
      </c>
      <c r="G58" s="27" t="str">
        <f t="array" ref="G58">IF(K58&lt;0,"Advance",INDEX('Days Ranges'!$C$4:$C$12,MATCH(1,($F58&gt;='Days Ranges'!$A$4:$A$12)*($F58&lt;'Days Ranges'!$B$4:$B$12),0)))</f>
        <v>15-30 days</v>
      </c>
      <c r="H58" s="27" t="str">
        <f t="array" ref="H58">IF(K58&lt;0,"Advance",INDEX('Days Ranges'!$D$4:$D$12,MATCH(1,($F58&gt;'Days Ranges'!$A$4:$A$12)*($F58&lt;'Days Ranges'!$B$4:$B$12),0)))</f>
        <v>Current</v>
      </c>
      <c r="I58" s="27" t="str">
        <f>IFERROR(IF(IFERROR(REPLACE(O58,FIND("ОПТ ",O58,1),4,""),O58)=0,VLOOKUP(MID(Q58,FIND(" ",Q58,1)+1,3),Brands!$B$2:$C$24,2,0),IFERROR(REPLACE(O58,FIND("ОПТ ",O58,1),4,""),O58)),"Check PLEASE")</f>
        <v>Converse</v>
      </c>
      <c r="J58" s="27" t="str">
        <f>VLOOKUP(I58,Brands!$E$2:$F$21,2,0)</f>
        <v>Converse</v>
      </c>
      <c r="K58" s="23">
        <f t="shared" si="4"/>
        <v>560150</v>
      </c>
      <c r="L58" s="204" t="s">
        <v>1114</v>
      </c>
      <c r="M58" s="205" t="s">
        <v>48</v>
      </c>
      <c r="N58" s="204" t="s">
        <v>1115</v>
      </c>
      <c r="O58" s="205" t="s">
        <v>20</v>
      </c>
      <c r="P58" s="205" t="s">
        <v>28</v>
      </c>
      <c r="Q58" s="205" t="s">
        <v>49</v>
      </c>
      <c r="R58" s="87" t="s">
        <v>186</v>
      </c>
      <c r="S58" s="84"/>
      <c r="T58" s="84"/>
      <c r="U58" s="84"/>
      <c r="V58" s="84"/>
      <c r="W58" s="4" t="str">
        <f t="shared" si="5"/>
        <v>Positive</v>
      </c>
      <c r="X58" s="206">
        <v>560150</v>
      </c>
    </row>
    <row r="59" spans="1:24" ht="12" x14ac:dyDescent="0.2">
      <c r="A59" s="22" t="str">
        <f t="shared" si="1"/>
        <v>Реализация товаров и услуг</v>
      </c>
      <c r="B59" s="13">
        <f t="array" ref="B59">IFERROR(INDEX(CreditDAY[Credit Days Nominal],MATCH(M59&amp;Q59&amp;I59,CreditDAY[Customer]&amp;CreditDAY[Договор.Наименование]&amp;CreditDAY[Brand Temp],0)),0)</f>
        <v>95</v>
      </c>
      <c r="C59" s="10"/>
      <c r="D59" s="165">
        <f t="shared" si="2"/>
        <v>44336</v>
      </c>
      <c r="E59" s="16">
        <f t="shared" si="0"/>
        <v>44431.507523148146</v>
      </c>
      <c r="F59" s="23">
        <f t="shared" si="3"/>
        <v>21.492476851854008</v>
      </c>
      <c r="G59" s="27" t="str">
        <f t="array" ref="G59">IF(K59&lt;0,"Advance",INDEX('Days Ranges'!$C$4:$C$12,MATCH(1,($F59&gt;='Days Ranges'!$A$4:$A$12)*($F59&lt;'Days Ranges'!$B$4:$B$12),0)))</f>
        <v>15-30 days</v>
      </c>
      <c r="H59" s="27" t="str">
        <f t="array" ref="H59">IF(K59&lt;0,"Advance",INDEX('Days Ranges'!$D$4:$D$12,MATCH(1,($F59&gt;'Days Ranges'!$A$4:$A$12)*($F59&lt;'Days Ranges'!$B$4:$B$12),0)))</f>
        <v>Current</v>
      </c>
      <c r="I59" s="27" t="str">
        <f>IFERROR(IF(IFERROR(REPLACE(O59,FIND("ОПТ ",O59,1),4,""),O59)=0,VLOOKUP(MID(Q59,FIND(" ",Q59,1)+1,3),Brands!$B$2:$C$24,2,0),IFERROR(REPLACE(O59,FIND("ОПТ ",O59,1),4,""),O59)),"Check PLEASE")</f>
        <v>Converse</v>
      </c>
      <c r="J59" s="27" t="str">
        <f>VLOOKUP(I59,Brands!$E$2:$F$21,2,0)</f>
        <v>Converse</v>
      </c>
      <c r="K59" s="23">
        <f t="shared" si="4"/>
        <v>6860</v>
      </c>
      <c r="L59" s="204" t="s">
        <v>1116</v>
      </c>
      <c r="M59" s="205" t="s">
        <v>69</v>
      </c>
      <c r="N59" s="204" t="s">
        <v>1117</v>
      </c>
      <c r="O59" s="205" t="s">
        <v>20</v>
      </c>
      <c r="P59" s="205" t="s">
        <v>28</v>
      </c>
      <c r="Q59" s="205" t="s">
        <v>74</v>
      </c>
      <c r="R59" s="87" t="s">
        <v>186</v>
      </c>
      <c r="S59" s="84"/>
      <c r="T59" s="84"/>
      <c r="U59" s="84"/>
      <c r="V59" s="84"/>
      <c r="W59" s="4" t="str">
        <f t="shared" si="5"/>
        <v>Positive</v>
      </c>
      <c r="X59" s="206">
        <v>6860</v>
      </c>
    </row>
    <row r="60" spans="1:24" ht="12" x14ac:dyDescent="0.2">
      <c r="A60" s="22" t="str">
        <f t="shared" si="1"/>
        <v>Реализация товаров и услуг</v>
      </c>
      <c r="B60" s="13">
        <f t="array" ref="B60">IFERROR(INDEX(CreditDAY[Credit Days Nominal],MATCH(M60&amp;Q60&amp;I60,CreditDAY[Customer]&amp;CreditDAY[Договор.Наименование]&amp;CreditDAY[Brand Temp],0)),0)</f>
        <v>65</v>
      </c>
      <c r="C60" s="10"/>
      <c r="D60" s="165">
        <f t="shared" si="2"/>
        <v>44336</v>
      </c>
      <c r="E60" s="16">
        <f t="shared" si="0"/>
        <v>44401.681006944447</v>
      </c>
      <c r="F60" s="23">
        <f t="shared" si="3"/>
        <v>51.31899305555271</v>
      </c>
      <c r="G60" s="27" t="str">
        <f t="array" ref="G60">IF(K60&lt;0,"Advance",INDEX('Days Ranges'!$C$4:$C$12,MATCH(1,($F60&gt;='Days Ranges'!$A$4:$A$12)*($F60&lt;'Days Ranges'!$B$4:$B$12),0)))</f>
        <v>Advance</v>
      </c>
      <c r="H60" s="27" t="str">
        <f t="array" ref="H60">IF(K60&lt;0,"Advance",INDEX('Days Ranges'!$D$4:$D$12,MATCH(1,($F60&gt;'Days Ranges'!$A$4:$A$12)*($F60&lt;'Days Ranges'!$B$4:$B$12),0)))</f>
        <v>Advance</v>
      </c>
      <c r="I60" s="27" t="str">
        <f>IFERROR(IF(IFERROR(REPLACE(O60,FIND("ОПТ ",O60,1),4,""),O60)=0,VLOOKUP(MID(Q60,FIND(" ",Q60,1)+1,3),Brands!$B$2:$C$24,2,0),IFERROR(REPLACE(O60,FIND("ОПТ ",O60,1),4,""),O60)),"Check PLEASE")</f>
        <v>Converse</v>
      </c>
      <c r="J60" s="27" t="str">
        <f>VLOOKUP(I60,Brands!$E$2:$F$21,2,0)</f>
        <v>Converse</v>
      </c>
      <c r="K60" s="23">
        <f t="shared" si="4"/>
        <v>-622500</v>
      </c>
      <c r="L60" s="204" t="s">
        <v>1122</v>
      </c>
      <c r="M60" s="205" t="s">
        <v>240</v>
      </c>
      <c r="N60" s="204" t="s">
        <v>1123</v>
      </c>
      <c r="O60" s="205" t="s">
        <v>20</v>
      </c>
      <c r="P60" s="205" t="s">
        <v>28</v>
      </c>
      <c r="Q60" s="205" t="s">
        <v>243</v>
      </c>
      <c r="R60" s="87" t="s">
        <v>75</v>
      </c>
      <c r="S60" s="84"/>
      <c r="T60" s="84"/>
      <c r="U60" s="84"/>
      <c r="V60" s="84"/>
      <c r="W60" s="4" t="str">
        <f t="shared" si="5"/>
        <v>Negative</v>
      </c>
      <c r="X60" s="206">
        <v>-622500</v>
      </c>
    </row>
    <row r="61" spans="1:24" ht="12" x14ac:dyDescent="0.2">
      <c r="A61" s="10" t="str">
        <f t="shared" si="1"/>
        <v>Реализация товаров и услуг</v>
      </c>
      <c r="B61" s="13">
        <f t="array" ref="B61">IFERROR(INDEX(CreditDAY[Credit Days Nominal],MATCH(M61&amp;Q61&amp;I61,CreditDAY[Customer]&amp;CreditDAY[Договор.Наименование]&amp;CreditDAY[Brand Temp],0)),0)</f>
        <v>95</v>
      </c>
      <c r="C61" s="10">
        <v>16</v>
      </c>
      <c r="D61" s="165">
        <f t="shared" si="2"/>
        <v>44342</v>
      </c>
      <c r="E61" s="16">
        <f t="shared" si="0"/>
        <v>44453.534074074072</v>
      </c>
      <c r="F61" s="23">
        <f t="shared" si="3"/>
        <v>-0.53407407407212304</v>
      </c>
      <c r="G61" s="27" t="str">
        <f t="array" ref="G61">IF(K61&lt;0,"Advance",INDEX('Days Ranges'!$C$4:$C$12,MATCH(1,($F61&gt;='Days Ranges'!$A$4:$A$12)*($F61&lt;'Days Ranges'!$B$4:$B$12),0)))</f>
        <v>Current</v>
      </c>
      <c r="H61" s="27" t="str">
        <f t="array" ref="H61">IF(K61&lt;0,"Advance",INDEX('Days Ranges'!$D$4:$D$12,MATCH(1,($F61&gt;'Days Ranges'!$A$4:$A$12)*($F61&lt;'Days Ranges'!$B$4:$B$12),0)))</f>
        <v>Current</v>
      </c>
      <c r="I61" s="27" t="str">
        <f>IFERROR(IF(IFERROR(REPLACE(O61,FIND("ОПТ ",O61,1),4,""),O61)=0,VLOOKUP(MID(Q61,FIND(" ",Q61,1)+1,3),Brands!$B$2:$C$24,2,0),IFERROR(REPLACE(O61,FIND("ОПТ ",O61,1),4,""),O61)),"Check PLEASE")</f>
        <v>UGG</v>
      </c>
      <c r="J61" s="27" t="str">
        <f>VLOOKUP(I61,Brands!$E$2:$F$21,2,0)</f>
        <v>UGG</v>
      </c>
      <c r="K61" s="23">
        <f t="shared" si="4"/>
        <v>21525</v>
      </c>
      <c r="L61" s="204" t="s">
        <v>1145</v>
      </c>
      <c r="M61" s="205" t="s">
        <v>185</v>
      </c>
      <c r="N61" s="204" t="s">
        <v>1146</v>
      </c>
      <c r="O61" s="205" t="s">
        <v>56</v>
      </c>
      <c r="P61" s="205" t="s">
        <v>28</v>
      </c>
      <c r="Q61" s="205" t="s">
        <v>186</v>
      </c>
      <c r="R61" s="87" t="s">
        <v>75</v>
      </c>
      <c r="S61" s="84"/>
      <c r="T61" s="84"/>
      <c r="U61" s="84"/>
      <c r="V61" s="84"/>
      <c r="W61" s="4" t="str">
        <f t="shared" si="5"/>
        <v>Positive</v>
      </c>
      <c r="X61" s="206">
        <v>21525</v>
      </c>
    </row>
    <row r="62" spans="1:24" ht="12" x14ac:dyDescent="0.2">
      <c r="A62" s="22" t="str">
        <f t="shared" si="1"/>
        <v>Реализация товаров и услуг</v>
      </c>
      <c r="B62" s="13">
        <f t="array" ref="B62">IFERROR(INDEX(CreditDAY[Credit Days Nominal],MATCH(M62&amp;Q62&amp;I62,CreditDAY[Customer]&amp;CreditDAY[Договор.Наименование]&amp;CreditDAY[Brand Temp],0)),0)</f>
        <v>95</v>
      </c>
      <c r="C62" s="10">
        <v>16</v>
      </c>
      <c r="D62" s="165">
        <f t="shared" si="2"/>
        <v>44342</v>
      </c>
      <c r="E62" s="16">
        <f t="shared" si="0"/>
        <v>44453.536064814813</v>
      </c>
      <c r="F62" s="23">
        <f t="shared" si="3"/>
        <v>-0.53606481481256196</v>
      </c>
      <c r="G62" s="27" t="str">
        <f t="array" ref="G62">IF(K62&lt;0,"Advance",INDEX('Days Ranges'!$C$4:$C$12,MATCH(1,($F62&gt;='Days Ranges'!$A$4:$A$12)*($F62&lt;'Days Ranges'!$B$4:$B$12),0)))</f>
        <v>Current</v>
      </c>
      <c r="H62" s="27" t="str">
        <f t="array" ref="H62">IF(K62&lt;0,"Advance",INDEX('Days Ranges'!$D$4:$D$12,MATCH(1,($F62&gt;'Days Ranges'!$A$4:$A$12)*($F62&lt;'Days Ranges'!$B$4:$B$12),0)))</f>
        <v>Current</v>
      </c>
      <c r="I62" s="27" t="str">
        <f>IFERROR(IF(IFERROR(REPLACE(O62,FIND("ОПТ ",O62,1),4,""),O62)=0,VLOOKUP(MID(Q62,FIND(" ",Q62,1)+1,3),Brands!$B$2:$C$24,2,0),IFERROR(REPLACE(O62,FIND("ОПТ ",O62,1),4,""),O62)),"Check PLEASE")</f>
        <v>UGG</v>
      </c>
      <c r="J62" s="27" t="str">
        <f>VLOOKUP(I62,Brands!$E$2:$F$21,2,0)</f>
        <v>UGG</v>
      </c>
      <c r="K62" s="23">
        <f t="shared" si="4"/>
        <v>35850</v>
      </c>
      <c r="L62" s="204" t="s">
        <v>1147</v>
      </c>
      <c r="M62" s="205" t="s">
        <v>185</v>
      </c>
      <c r="N62" s="204" t="s">
        <v>1148</v>
      </c>
      <c r="O62" s="205" t="s">
        <v>56</v>
      </c>
      <c r="P62" s="205" t="s">
        <v>28</v>
      </c>
      <c r="Q62" s="205" t="s">
        <v>186</v>
      </c>
      <c r="R62" s="87" t="s">
        <v>75</v>
      </c>
      <c r="S62" s="84"/>
      <c r="T62" s="84"/>
      <c r="U62" s="84"/>
      <c r="V62" s="84"/>
      <c r="W62" s="4" t="str">
        <f t="shared" si="5"/>
        <v>Positive</v>
      </c>
      <c r="X62" s="206">
        <v>35850</v>
      </c>
    </row>
    <row r="63" spans="1:24" ht="12" x14ac:dyDescent="0.2">
      <c r="A63" s="22" t="str">
        <f t="shared" si="1"/>
        <v>Реализация товаров и услуг</v>
      </c>
      <c r="B63" s="13">
        <f t="array" ref="B63">IFERROR(INDEX(CreditDAY[Credit Days Nominal],MATCH(M63&amp;Q63&amp;I63,CreditDAY[Customer]&amp;CreditDAY[Договор.Наименование]&amp;CreditDAY[Brand Temp],0)),0)</f>
        <v>95</v>
      </c>
      <c r="C63" s="10">
        <v>16</v>
      </c>
      <c r="D63" s="165">
        <f t="shared" si="2"/>
        <v>44342</v>
      </c>
      <c r="E63" s="16">
        <f t="shared" si="0"/>
        <v>44453.538171296299</v>
      </c>
      <c r="F63" s="23">
        <f t="shared" si="3"/>
        <v>-0.53817129629896954</v>
      </c>
      <c r="G63" s="27" t="str">
        <f t="array" ref="G63">IF(K63&lt;0,"Advance",INDEX('Days Ranges'!$C$4:$C$12,MATCH(1,($F63&gt;='Days Ranges'!$A$4:$A$12)*($F63&lt;'Days Ranges'!$B$4:$B$12),0)))</f>
        <v>Current</v>
      </c>
      <c r="H63" s="27" t="str">
        <f t="array" ref="H63">IF(K63&lt;0,"Advance",INDEX('Days Ranges'!$D$4:$D$12,MATCH(1,($F63&gt;'Days Ranges'!$A$4:$A$12)*($F63&lt;'Days Ranges'!$B$4:$B$12),0)))</f>
        <v>Current</v>
      </c>
      <c r="I63" s="27" t="str">
        <f>IFERROR(IF(IFERROR(REPLACE(O63,FIND("ОПТ ",O63,1),4,""),O63)=0,VLOOKUP(MID(Q63,FIND(" ",Q63,1)+1,3),Brands!$B$2:$C$24,2,0),IFERROR(REPLACE(O63,FIND("ОПТ ",O63,1),4,""),O63)),"Check PLEASE")</f>
        <v>Saucony</v>
      </c>
      <c r="J63" s="27" t="str">
        <f>VLOOKUP(I63,Brands!$E$2:$F$21,2,0)</f>
        <v>Saucony</v>
      </c>
      <c r="K63" s="23">
        <f t="shared" si="4"/>
        <v>66120</v>
      </c>
      <c r="L63" s="204" t="s">
        <v>1149</v>
      </c>
      <c r="M63" s="205" t="s">
        <v>185</v>
      </c>
      <c r="N63" s="204" t="s">
        <v>1150</v>
      </c>
      <c r="O63" s="205" t="s">
        <v>76</v>
      </c>
      <c r="P63" s="205" t="s">
        <v>28</v>
      </c>
      <c r="Q63" s="205" t="s">
        <v>186</v>
      </c>
      <c r="R63" s="87" t="s">
        <v>186</v>
      </c>
      <c r="S63" s="84"/>
      <c r="T63" s="84"/>
      <c r="U63" s="84"/>
      <c r="V63" s="84"/>
      <c r="W63" s="4" t="str">
        <f t="shared" si="5"/>
        <v>Positive</v>
      </c>
      <c r="X63" s="206">
        <v>66120</v>
      </c>
    </row>
    <row r="64" spans="1:24" ht="12" x14ac:dyDescent="0.2">
      <c r="A64" s="22" t="str">
        <f t="shared" si="1"/>
        <v>Реализация товаров и услуг</v>
      </c>
      <c r="B64" s="13">
        <f t="array" ref="B64">IFERROR(INDEX(CreditDAY[Credit Days Nominal],MATCH(M64&amp;Q64&amp;I64,CreditDAY[Customer]&amp;CreditDAY[Договор.Наименование]&amp;CreditDAY[Brand Temp],0)),0)</f>
        <v>95</v>
      </c>
      <c r="C64" s="10">
        <v>16</v>
      </c>
      <c r="D64" s="165">
        <f t="shared" si="2"/>
        <v>44342</v>
      </c>
      <c r="E64" s="16">
        <f t="shared" si="0"/>
        <v>44453.547083333331</v>
      </c>
      <c r="F64" s="23">
        <f t="shared" si="3"/>
        <v>-0.54708333333110204</v>
      </c>
      <c r="G64" s="27" t="str">
        <f t="array" ref="G64">IF(K64&lt;0,"Advance",INDEX('Days Ranges'!$C$4:$C$12,MATCH(1,($F64&gt;='Days Ranges'!$A$4:$A$12)*($F64&lt;'Days Ranges'!$B$4:$B$12),0)))</f>
        <v>Current</v>
      </c>
      <c r="H64" s="27" t="str">
        <f t="array" ref="H64">IF(K64&lt;0,"Advance",INDEX('Days Ranges'!$D$4:$D$12,MATCH(1,($F64&gt;'Days Ranges'!$A$4:$A$12)*($F64&lt;'Days Ranges'!$B$4:$B$12),0)))</f>
        <v>Current</v>
      </c>
      <c r="I64" s="27" t="str">
        <f>IFERROR(IF(IFERROR(REPLACE(O64,FIND("ОПТ ",O64,1),4,""),O64)=0,VLOOKUP(MID(Q64,FIND(" ",Q64,1)+1,3),Brands!$B$2:$C$24,2,0),IFERROR(REPLACE(O64,FIND("ОПТ ",O64,1),4,""),O64)),"Check PLEASE")</f>
        <v>Saucony</v>
      </c>
      <c r="J64" s="27" t="str">
        <f>VLOOKUP(I64,Brands!$E$2:$F$21,2,0)</f>
        <v>Saucony</v>
      </c>
      <c r="K64" s="23">
        <f t="shared" si="4"/>
        <v>61800</v>
      </c>
      <c r="L64" s="204" t="s">
        <v>1151</v>
      </c>
      <c r="M64" s="205" t="s">
        <v>185</v>
      </c>
      <c r="N64" s="204" t="s">
        <v>1152</v>
      </c>
      <c r="O64" s="205" t="s">
        <v>76</v>
      </c>
      <c r="P64" s="205" t="s">
        <v>28</v>
      </c>
      <c r="Q64" s="205" t="s">
        <v>186</v>
      </c>
      <c r="R64" s="87" t="s">
        <v>186</v>
      </c>
      <c r="S64" s="84"/>
      <c r="T64" s="84"/>
      <c r="U64" s="84"/>
      <c r="V64" s="84"/>
      <c r="W64" s="4" t="str">
        <f t="shared" si="5"/>
        <v>Positive</v>
      </c>
      <c r="X64" s="206">
        <v>61800</v>
      </c>
    </row>
    <row r="65" spans="1:24" ht="12" x14ac:dyDescent="0.2">
      <c r="A65" s="22" t="str">
        <f t="shared" si="1"/>
        <v>Реализация товаров и услуг</v>
      </c>
      <c r="B65" s="13">
        <f t="array" ref="B65">IFERROR(INDEX(CreditDAY[Credit Days Nominal],MATCH(M65&amp;Q65&amp;I65,CreditDAY[Customer]&amp;CreditDAY[Договор.Наименование]&amp;CreditDAY[Brand Temp],0)),0)</f>
        <v>95</v>
      </c>
      <c r="C65" s="10">
        <v>16</v>
      </c>
      <c r="D65" s="165">
        <f t="shared" si="2"/>
        <v>44342</v>
      </c>
      <c r="E65" s="16">
        <f t="shared" si="0"/>
        <v>44453.547233796293</v>
      </c>
      <c r="F65" s="23">
        <f t="shared" si="3"/>
        <v>-0.54723379629285773</v>
      </c>
      <c r="G65" s="27" t="str">
        <f t="array" ref="G65">IF(K65&lt;0,"Advance",INDEX('Days Ranges'!$C$4:$C$12,MATCH(1,($F65&gt;='Days Ranges'!$A$4:$A$12)*($F65&lt;'Days Ranges'!$B$4:$B$12),0)))</f>
        <v>Current</v>
      </c>
      <c r="H65" s="27" t="str">
        <f t="array" ref="H65">IF(K65&lt;0,"Advance",INDEX('Days Ranges'!$D$4:$D$12,MATCH(1,($F65&gt;'Days Ranges'!$A$4:$A$12)*($F65&lt;'Days Ranges'!$B$4:$B$12),0)))</f>
        <v>Current</v>
      </c>
      <c r="I65" s="27" t="str">
        <f>IFERROR(IF(IFERROR(REPLACE(O65,FIND("ОПТ ",O65,1),4,""),O65)=0,VLOOKUP(MID(Q65,FIND(" ",Q65,1)+1,3),Brands!$B$2:$C$24,2,0),IFERROR(REPLACE(O65,FIND("ОПТ ",O65,1),4,""),O65)),"Check PLEASE")</f>
        <v>Dr.Martens</v>
      </c>
      <c r="J65" s="27" t="str">
        <f>VLOOKUP(I65,Brands!$E$2:$F$21,2,0)</f>
        <v>Dr.Martens</v>
      </c>
      <c r="K65" s="23">
        <f t="shared" si="4"/>
        <v>30960</v>
      </c>
      <c r="L65" s="204" t="s">
        <v>1153</v>
      </c>
      <c r="M65" s="205" t="s">
        <v>185</v>
      </c>
      <c r="N65" s="204" t="s">
        <v>1154</v>
      </c>
      <c r="O65" s="205" t="s">
        <v>102</v>
      </c>
      <c r="P65" s="205" t="s">
        <v>28</v>
      </c>
      <c r="Q65" s="205" t="s">
        <v>186</v>
      </c>
      <c r="R65" s="87" t="s">
        <v>186</v>
      </c>
      <c r="S65" s="84"/>
      <c r="T65" s="84"/>
      <c r="U65" s="84"/>
      <c r="V65" s="84"/>
      <c r="W65" s="4" t="str">
        <f t="shared" si="5"/>
        <v>Positive</v>
      </c>
      <c r="X65" s="206">
        <v>30960</v>
      </c>
    </row>
    <row r="66" spans="1:24" ht="12" x14ac:dyDescent="0.2">
      <c r="A66" s="22" t="str">
        <f t="shared" si="1"/>
        <v>Реализация товаров и услуг</v>
      </c>
      <c r="B66" s="13">
        <f t="array" ref="B66">IFERROR(INDEX(CreditDAY[Credit Days Nominal],MATCH(M66&amp;Q66&amp;I66,CreditDAY[Customer]&amp;CreditDAY[Договор.Наименование]&amp;CreditDAY[Brand Temp],0)),0)</f>
        <v>95</v>
      </c>
      <c r="C66" s="10">
        <v>16</v>
      </c>
      <c r="D66" s="165">
        <f t="shared" si="2"/>
        <v>44342</v>
      </c>
      <c r="E66" s="16">
        <f t="shared" si="0"/>
        <v>44453.550266203703</v>
      </c>
      <c r="F66" s="23">
        <f t="shared" si="3"/>
        <v>-0.55026620370335877</v>
      </c>
      <c r="G66" s="27" t="str">
        <f t="array" ref="G66">IF(K66&lt;0,"Advance",INDEX('Days Ranges'!$C$4:$C$12,MATCH(1,($F66&gt;='Days Ranges'!$A$4:$A$12)*($F66&lt;'Days Ranges'!$B$4:$B$12),0)))</f>
        <v>Current</v>
      </c>
      <c r="H66" s="27" t="str">
        <f t="array" ref="H66">IF(K66&lt;0,"Advance",INDEX('Days Ranges'!$D$4:$D$12,MATCH(1,($F66&gt;'Days Ranges'!$A$4:$A$12)*($F66&lt;'Days Ranges'!$B$4:$B$12),0)))</f>
        <v>Current</v>
      </c>
      <c r="I66" s="27" t="str">
        <f>IFERROR(IF(IFERROR(REPLACE(O66,FIND("ОПТ ",O66,1),4,""),O66)=0,VLOOKUP(MID(Q66,FIND(" ",Q66,1)+1,3),Brands!$B$2:$C$24,2,0),IFERROR(REPLACE(O66,FIND("ОПТ ",O66,1),4,""),O66)),"Check PLEASE")</f>
        <v>Сток Converse</v>
      </c>
      <c r="J66" s="27" t="str">
        <f>VLOOKUP(I66,Brands!$E$2:$F$21,2,0)</f>
        <v>Converse</v>
      </c>
      <c r="K66" s="23">
        <f t="shared" si="4"/>
        <v>203895</v>
      </c>
      <c r="L66" s="204" t="s">
        <v>1155</v>
      </c>
      <c r="M66" s="205" t="s">
        <v>185</v>
      </c>
      <c r="N66" s="204" t="s">
        <v>1156</v>
      </c>
      <c r="O66" s="205" t="s">
        <v>52</v>
      </c>
      <c r="P66" s="205" t="s">
        <v>28</v>
      </c>
      <c r="Q66" s="205" t="s">
        <v>186</v>
      </c>
      <c r="R66" s="87" t="s">
        <v>186</v>
      </c>
      <c r="S66" s="84"/>
      <c r="T66" s="84"/>
      <c r="U66" s="84"/>
      <c r="V66" s="84"/>
      <c r="W66" s="4" t="str">
        <f t="shared" si="5"/>
        <v>Positive</v>
      </c>
      <c r="X66" s="206">
        <v>203895</v>
      </c>
    </row>
    <row r="67" spans="1:24" ht="12" x14ac:dyDescent="0.2">
      <c r="A67" s="22" t="str">
        <f t="shared" si="1"/>
        <v>Реализация товаров и услуг</v>
      </c>
      <c r="B67" s="13">
        <f t="array" ref="B67">IFERROR(INDEX(CreditDAY[Credit Days Nominal],MATCH(M67&amp;Q67&amp;I67,CreditDAY[Customer]&amp;CreditDAY[Договор.Наименование]&amp;CreditDAY[Brand Temp],0)),0)</f>
        <v>95</v>
      </c>
      <c r="C67" s="10">
        <v>16</v>
      </c>
      <c r="D67" s="165">
        <f t="shared" si="2"/>
        <v>44342</v>
      </c>
      <c r="E67" s="16">
        <f t="shared" si="0"/>
        <v>44453.624571759261</v>
      </c>
      <c r="F67" s="23">
        <f t="shared" si="3"/>
        <v>-0.62457175926101627</v>
      </c>
      <c r="G67" s="27" t="str">
        <f t="array" ref="G67">IF(K67&lt;0,"Advance",INDEX('Days Ranges'!$C$4:$C$12,MATCH(1,($F67&gt;='Days Ranges'!$A$4:$A$12)*($F67&lt;'Days Ranges'!$B$4:$B$12),0)))</f>
        <v>Current</v>
      </c>
      <c r="H67" s="27" t="str">
        <f t="array" ref="H67">IF(K67&lt;0,"Advance",INDEX('Days Ranges'!$D$4:$D$12,MATCH(1,($F67&gt;'Days Ranges'!$A$4:$A$12)*($F67&lt;'Days Ranges'!$B$4:$B$12),0)))</f>
        <v>Current</v>
      </c>
      <c r="I67" s="27" t="str">
        <f>IFERROR(IF(IFERROR(REPLACE(O67,FIND("ОПТ ",O67,1),4,""),O67)=0,VLOOKUP(MID(Q67,FIND(" ",Q67,1)+1,3),Brands!$B$2:$C$24,2,0),IFERROR(REPLACE(O67,FIND("ОПТ ",O67,1),4,""),O67)),"Check PLEASE")</f>
        <v>Сток Converse</v>
      </c>
      <c r="J67" s="27" t="str">
        <f>VLOOKUP(I67,Brands!$E$2:$F$21,2,0)</f>
        <v>Converse</v>
      </c>
      <c r="K67" s="23">
        <f t="shared" si="4"/>
        <v>394875</v>
      </c>
      <c r="L67" s="204" t="s">
        <v>1157</v>
      </c>
      <c r="M67" s="205" t="s">
        <v>185</v>
      </c>
      <c r="N67" s="204" t="s">
        <v>1158</v>
      </c>
      <c r="O67" s="205" t="s">
        <v>52</v>
      </c>
      <c r="P67" s="205" t="s">
        <v>28</v>
      </c>
      <c r="Q67" s="205" t="s">
        <v>186</v>
      </c>
      <c r="R67" s="87" t="s">
        <v>243</v>
      </c>
      <c r="S67" s="84"/>
      <c r="T67" s="84"/>
      <c r="U67" s="84"/>
      <c r="V67" s="84"/>
      <c r="W67" s="4" t="str">
        <f t="shared" si="5"/>
        <v>Positive</v>
      </c>
      <c r="X67" s="206">
        <v>394875</v>
      </c>
    </row>
    <row r="68" spans="1:24" ht="12" x14ac:dyDescent="0.2">
      <c r="A68" s="22" t="str">
        <f t="shared" si="1"/>
        <v>Отчет комиссионера о продажах</v>
      </c>
      <c r="B68" s="13">
        <f t="array" ref="B68">IFERROR(INDEX(CreditDAY[Credit Days Nominal],MATCH(M68&amp;Q68&amp;I68,CreditDAY[Customer]&amp;CreditDAY[Договор.Наименование]&amp;CreditDAY[Brand Temp],0)),0)</f>
        <v>45</v>
      </c>
      <c r="C68" s="10"/>
      <c r="D68" s="165">
        <f t="shared" si="2"/>
        <v>44347</v>
      </c>
      <c r="E68" s="16">
        <f t="shared" si="0"/>
        <v>44392.540266203701</v>
      </c>
      <c r="F68" s="23">
        <f t="shared" si="3"/>
        <v>60.459733796298678</v>
      </c>
      <c r="G68" s="27" t="str">
        <f t="array" ref="G68">IF(K68&lt;0,"Advance",INDEX('Days Ranges'!$C$4:$C$12,MATCH(1,($F68&gt;='Days Ranges'!$A$4:$A$12)*($F68&lt;'Days Ranges'!$B$4:$B$12),0)))</f>
        <v>46-90 days</v>
      </c>
      <c r="H68" s="27" t="str">
        <f t="array" ref="H68">IF(K68&lt;0,"Advance",INDEX('Days Ranges'!$D$4:$D$12,MATCH(1,($F68&gt;'Days Ranges'!$A$4:$A$12)*($F68&lt;'Days Ranges'!$B$4:$B$12),0)))</f>
        <v>Current</v>
      </c>
      <c r="I68" s="27" t="str">
        <f>IFERROR(IF(IFERROR(REPLACE(O68,FIND("ОПТ ",O68,1),4,""),O68)=0,VLOOKUP(MID(Q68,FIND(" ",Q68,1)+1,3),Brands!$B$2:$C$24,2,0),IFERROR(REPLACE(O68,FIND("ОПТ ",O68,1),4,""),O68)),"Check PLEASE")</f>
        <v>Сток Converse</v>
      </c>
      <c r="J68" s="27" t="str">
        <f>VLOOKUP(I68,Brands!$E$2:$F$21,2,0)</f>
        <v>Converse</v>
      </c>
      <c r="K68" s="23">
        <f t="shared" si="4"/>
        <v>60074.57</v>
      </c>
      <c r="L68" s="204" t="s">
        <v>1169</v>
      </c>
      <c r="M68" s="205" t="s">
        <v>277</v>
      </c>
      <c r="N68" s="204" t="s">
        <v>1170</v>
      </c>
      <c r="O68" s="205" t="s">
        <v>52</v>
      </c>
      <c r="P68" s="205"/>
      <c r="Q68" s="205" t="s">
        <v>278</v>
      </c>
      <c r="R68" s="87" t="s">
        <v>186</v>
      </c>
      <c r="S68" s="84"/>
      <c r="T68" s="84"/>
      <c r="U68" s="84"/>
      <c r="V68" s="84"/>
      <c r="W68" s="4" t="str">
        <f t="shared" si="5"/>
        <v>Positive</v>
      </c>
      <c r="X68" s="206">
        <v>60074.57</v>
      </c>
    </row>
    <row r="69" spans="1:24" ht="12" x14ac:dyDescent="0.2">
      <c r="A69" s="22" t="str">
        <f t="shared" si="1"/>
        <v>Отчет комиссионера о продажах</v>
      </c>
      <c r="B69" s="13">
        <f t="array" ref="B69">IFERROR(INDEX(CreditDAY[Credit Days Nominal],MATCH(M69&amp;Q69&amp;I69,CreditDAY[Customer]&amp;CreditDAY[Договор.Наименование]&amp;CreditDAY[Brand Temp],0)),0)</f>
        <v>45</v>
      </c>
      <c r="C69" s="10"/>
      <c r="D69" s="165">
        <f t="shared" si="2"/>
        <v>44347</v>
      </c>
      <c r="E69" s="16">
        <f t="shared" si="0"/>
        <v>44392.54109953704</v>
      </c>
      <c r="F69" s="23">
        <f t="shared" si="3"/>
        <v>60.458900462959718</v>
      </c>
      <c r="G69" s="27" t="str">
        <f t="array" ref="G69">IF(K69&lt;0,"Advance",INDEX('Days Ranges'!$C$4:$C$12,MATCH(1,($F69&gt;='Days Ranges'!$A$4:$A$12)*($F69&lt;'Days Ranges'!$B$4:$B$12),0)))</f>
        <v>46-90 days</v>
      </c>
      <c r="H69" s="27" t="str">
        <f t="array" ref="H69">IF(K69&lt;0,"Advance",INDEX('Days Ranges'!$D$4:$D$12,MATCH(1,($F69&gt;'Days Ranges'!$A$4:$A$12)*($F69&lt;'Days Ranges'!$B$4:$B$12),0)))</f>
        <v>Current</v>
      </c>
      <c r="I69" s="27" t="str">
        <f>IFERROR(IF(IFERROR(REPLACE(O69,FIND("ОПТ ",O69,1),4,""),O69)=0,VLOOKUP(MID(Q69,FIND(" ",Q69,1)+1,3),Brands!$B$2:$C$24,2,0),IFERROR(REPLACE(O69,FIND("ОПТ ",O69,1),4,""),O69)),"Check PLEASE")</f>
        <v>Сток Dr.Martens</v>
      </c>
      <c r="J69" s="27" t="str">
        <f>VLOOKUP(I69,Brands!$E$2:$F$21,2,0)</f>
        <v>Dr.Martens</v>
      </c>
      <c r="K69" s="23">
        <f t="shared" si="4"/>
        <v>30948</v>
      </c>
      <c r="L69" s="204" t="s">
        <v>1171</v>
      </c>
      <c r="M69" s="205" t="s">
        <v>277</v>
      </c>
      <c r="N69" s="204" t="s">
        <v>1172</v>
      </c>
      <c r="O69" s="205" t="s">
        <v>107</v>
      </c>
      <c r="P69" s="205"/>
      <c r="Q69" s="205" t="s">
        <v>278</v>
      </c>
      <c r="R69" s="87" t="s">
        <v>186</v>
      </c>
      <c r="S69" s="84"/>
      <c r="T69" s="84"/>
      <c r="U69" s="84"/>
      <c r="V69" s="84"/>
      <c r="W69" s="4" t="str">
        <f t="shared" si="5"/>
        <v>Positive</v>
      </c>
      <c r="X69" s="206">
        <v>30948</v>
      </c>
    </row>
    <row r="70" spans="1:24" ht="12" x14ac:dyDescent="0.2">
      <c r="A70" s="10" t="str">
        <f t="shared" si="1"/>
        <v>Отчет комиссионера о продажах</v>
      </c>
      <c r="B70" s="13">
        <f t="array" ref="B70">IFERROR(INDEX(CreditDAY[Credit Days Nominal],MATCH(M70&amp;Q70&amp;I70,CreditDAY[Customer]&amp;CreditDAY[Договор.Наименование]&amp;CreditDAY[Brand Temp],0)),0)</f>
        <v>45</v>
      </c>
      <c r="C70" s="10"/>
      <c r="D70" s="165">
        <f t="shared" si="2"/>
        <v>44347</v>
      </c>
      <c r="E70" s="16">
        <f t="shared" ref="E70:E133" si="6">N70+B70+C70</f>
        <v>44392.541990740741</v>
      </c>
      <c r="F70" s="23">
        <f t="shared" si="3"/>
        <v>60.458009259258688</v>
      </c>
      <c r="G70" s="27" t="str">
        <f t="array" ref="G70">IF(K70&lt;0,"Advance",INDEX('Days Ranges'!$C$4:$C$12,MATCH(1,($F70&gt;='Days Ranges'!$A$4:$A$12)*($F70&lt;'Days Ranges'!$B$4:$B$12),0)))</f>
        <v>46-90 days</v>
      </c>
      <c r="H70" s="27" t="str">
        <f t="array" ref="H70">IF(K70&lt;0,"Advance",INDEX('Days Ranges'!$D$4:$D$12,MATCH(1,($F70&gt;'Days Ranges'!$A$4:$A$12)*($F70&lt;'Days Ranges'!$B$4:$B$12),0)))</f>
        <v>Current</v>
      </c>
      <c r="I70" s="27" t="str">
        <f>IFERROR(IF(IFERROR(REPLACE(O70,FIND("ОПТ ",O70,1),4,""),O70)=0,VLOOKUP(MID(Q70,FIND(" ",Q70,1)+1,3),Brands!$B$2:$C$24,2,0),IFERROR(REPLACE(O70,FIND("ОПТ ",O70,1),4,""),O70)),"Check PLEASE")</f>
        <v>Сток UGG</v>
      </c>
      <c r="J70" s="27" t="str">
        <f>VLOOKUP(I70,Brands!$E$2:$F$21,2,0)</f>
        <v>UGG</v>
      </c>
      <c r="K70" s="23">
        <f t="shared" si="4"/>
        <v>23169.07</v>
      </c>
      <c r="L70" s="204" t="s">
        <v>1173</v>
      </c>
      <c r="M70" s="205" t="s">
        <v>277</v>
      </c>
      <c r="N70" s="204" t="s">
        <v>1174</v>
      </c>
      <c r="O70" s="205" t="s">
        <v>88</v>
      </c>
      <c r="P70" s="205"/>
      <c r="Q70" s="205" t="s">
        <v>278</v>
      </c>
      <c r="R70" s="87" t="s">
        <v>186</v>
      </c>
      <c r="S70" s="84"/>
      <c r="T70" s="84"/>
      <c r="U70" s="84"/>
      <c r="V70" s="84"/>
      <c r="W70" s="4" t="str">
        <f t="shared" si="5"/>
        <v>Positive</v>
      </c>
      <c r="X70" s="206">
        <v>23169.07</v>
      </c>
    </row>
    <row r="71" spans="1:24" ht="12" x14ac:dyDescent="0.2">
      <c r="A71" s="22" t="str">
        <f t="shared" ref="A71:A134" si="7">IFERROR(LEFT(L71,FIND("УТ",L71,1)-2),IF(ISERROR(FIND("Платежное",L71,1)),"Deposit","Платежное поручение входящее"))</f>
        <v>Отчет комиссионера о продажах</v>
      </c>
      <c r="B71" s="13">
        <f t="array" ref="B71">IFERROR(INDEX(CreditDAY[Credit Days Nominal],MATCH(M71&amp;Q71&amp;I71,CreditDAY[Customer]&amp;CreditDAY[Договор.Наименование]&amp;CreditDAY[Brand Temp],0)),0)</f>
        <v>45</v>
      </c>
      <c r="C71" s="10"/>
      <c r="D71" s="165">
        <f t="shared" ref="D71:D134" si="8">DATE(YEAR(N71),MONTH(N71),DAY(N71))</f>
        <v>44347</v>
      </c>
      <c r="E71" s="16">
        <f t="shared" si="6"/>
        <v>44392.543252314812</v>
      </c>
      <c r="F71" s="23">
        <f t="shared" ref="F71:F134" si="9">IFERROR($B$1-E71,100000)</f>
        <v>60.45674768518802</v>
      </c>
      <c r="G71" s="27" t="str">
        <f t="array" ref="G71">IF(K71&lt;0,"Advance",INDEX('Days Ranges'!$C$4:$C$12,MATCH(1,($F71&gt;='Days Ranges'!$A$4:$A$12)*($F71&lt;'Days Ranges'!$B$4:$B$12),0)))</f>
        <v>46-90 days</v>
      </c>
      <c r="H71" s="27" t="str">
        <f t="array" ref="H71">IF(K71&lt;0,"Advance",INDEX('Days Ranges'!$D$4:$D$12,MATCH(1,($F71&gt;'Days Ranges'!$A$4:$A$12)*($F71&lt;'Days Ranges'!$B$4:$B$12),0)))</f>
        <v>Current</v>
      </c>
      <c r="I71" s="27" t="str">
        <f>IFERROR(IF(IFERROR(REPLACE(O71,FIND("ОПТ ",O71,1),4,""),O71)=0,VLOOKUP(MID(Q71,FIND(" ",Q71,1)+1,3),Brands!$B$2:$C$24,2,0),IFERROR(REPLACE(O71,FIND("ОПТ ",O71,1),4,""),O71)),"Check PLEASE")</f>
        <v>Сток Saucony</v>
      </c>
      <c r="J71" s="27" t="str">
        <f>VLOOKUP(I71,Brands!$E$2:$F$21,2,0)</f>
        <v>Saucony</v>
      </c>
      <c r="K71" s="23">
        <f t="shared" ref="K71:K134" si="10">X71</f>
        <v>53748.32</v>
      </c>
      <c r="L71" s="204" t="s">
        <v>1175</v>
      </c>
      <c r="M71" s="205" t="s">
        <v>277</v>
      </c>
      <c r="N71" s="204" t="s">
        <v>1176</v>
      </c>
      <c r="O71" s="205" t="s">
        <v>35</v>
      </c>
      <c r="P71" s="205"/>
      <c r="Q71" s="205" t="s">
        <v>278</v>
      </c>
      <c r="R71" s="87" t="s">
        <v>243</v>
      </c>
      <c r="S71" s="84"/>
      <c r="T71" s="84"/>
      <c r="U71" s="84"/>
      <c r="V71" s="84"/>
      <c r="W71" s="4" t="str">
        <f t="shared" ref="W71:W134" si="11">IF(X71&lt;0,"Negative","Positive")</f>
        <v>Positive</v>
      </c>
      <c r="X71" s="206">
        <v>53748.32</v>
      </c>
    </row>
    <row r="72" spans="1:24" ht="12" x14ac:dyDescent="0.2">
      <c r="A72" s="22" t="str">
        <f t="shared" si="7"/>
        <v>Платежное поручение входящее</v>
      </c>
      <c r="B72" s="13">
        <f t="array" ref="B72">IFERROR(INDEX(CreditDAY[Credit Days Nominal],MATCH(M72&amp;Q72&amp;I72,CreditDAY[Customer]&amp;CreditDAY[Договор.Наименование]&amp;CreditDAY[Brand Temp],0)),0)</f>
        <v>95</v>
      </c>
      <c r="C72" s="10"/>
      <c r="D72" s="165">
        <f t="shared" si="8"/>
        <v>44355</v>
      </c>
      <c r="E72" s="16">
        <f t="shared" si="6"/>
        <v>44450.708333333336</v>
      </c>
      <c r="F72" s="23">
        <f t="shared" si="9"/>
        <v>2.2916666666642413</v>
      </c>
      <c r="G72" s="27" t="str">
        <f t="array" ref="G72">IF(K72&lt;0,"Advance",INDEX('Days Ranges'!$C$4:$C$12,MATCH(1,($F72&gt;='Days Ranges'!$A$4:$A$12)*($F72&lt;'Days Ranges'!$B$4:$B$12),0)))</f>
        <v>Advance</v>
      </c>
      <c r="H72" s="27" t="str">
        <f t="array" ref="H72">IF(K72&lt;0,"Advance",INDEX('Days Ranges'!$D$4:$D$12,MATCH(1,($F72&gt;'Days Ranges'!$A$4:$A$12)*($F72&lt;'Days Ranges'!$B$4:$B$12),0)))</f>
        <v>Advance</v>
      </c>
      <c r="I72" s="27" t="str">
        <f>IFERROR(IF(IFERROR(REPLACE(O72,FIND("ОПТ ",O72,1),4,""),O72)=0,VLOOKUP(MID(Q72,FIND(" ",Q72,1)+1,3),Brands!$B$2:$C$24,2,0),IFERROR(REPLACE(O72,FIND("ОПТ ",O72,1),4,""),O72)),"Check PLEASE")</f>
        <v>Converse</v>
      </c>
      <c r="J72" s="27" t="str">
        <f>VLOOKUP(I72,Brands!$E$2:$F$21,2,0)</f>
        <v>Converse</v>
      </c>
      <c r="K72" s="23">
        <f t="shared" si="10"/>
        <v>-1245466</v>
      </c>
      <c r="L72" s="204" t="s">
        <v>1359</v>
      </c>
      <c r="M72" s="205" t="s">
        <v>285</v>
      </c>
      <c r="N72" s="204" t="s">
        <v>1360</v>
      </c>
      <c r="O72" s="205" t="s">
        <v>20</v>
      </c>
      <c r="P72" s="205" t="s">
        <v>36</v>
      </c>
      <c r="Q72" s="205" t="s">
        <v>288</v>
      </c>
      <c r="R72" s="87" t="s">
        <v>243</v>
      </c>
      <c r="S72" s="84"/>
      <c r="T72" s="84"/>
      <c r="U72" s="84"/>
      <c r="V72" s="84"/>
      <c r="W72" s="4" t="str">
        <f t="shared" si="11"/>
        <v>Negative</v>
      </c>
      <c r="X72" s="206">
        <v>-1245466</v>
      </c>
    </row>
    <row r="73" spans="1:24" ht="12" x14ac:dyDescent="0.2">
      <c r="A73" s="10" t="str">
        <f t="shared" si="7"/>
        <v>Платежное поручение входящее</v>
      </c>
      <c r="B73" s="13">
        <f t="array" ref="B73">IFERROR(INDEX(CreditDAY[Credit Days Nominal],MATCH(M73&amp;Q73&amp;I73,CreditDAY[Customer]&amp;CreditDAY[Договор.Наименование]&amp;CreditDAY[Brand Temp],0)),0)</f>
        <v>0</v>
      </c>
      <c r="C73" s="10"/>
      <c r="D73" s="165">
        <f t="shared" si="8"/>
        <v>44355</v>
      </c>
      <c r="E73" s="16">
        <f t="shared" si="6"/>
        <v>44355.708333333336</v>
      </c>
      <c r="F73" s="23">
        <f t="shared" si="9"/>
        <v>97.291666666664241</v>
      </c>
      <c r="G73" s="27" t="str">
        <f t="array" ref="G73">IF(K73&lt;0,"Advance",INDEX('Days Ranges'!$C$4:$C$12,MATCH(1,($F73&gt;='Days Ranges'!$A$4:$A$12)*($F73&lt;'Days Ranges'!$B$4:$B$12),0)))</f>
        <v>Advance</v>
      </c>
      <c r="H73" s="27" t="str">
        <f t="array" ref="H73">IF(K73&lt;0,"Advance",INDEX('Days Ranges'!$D$4:$D$12,MATCH(1,($F73&gt;'Days Ranges'!$A$4:$A$12)*($F73&lt;'Days Ranges'!$B$4:$B$12),0)))</f>
        <v>Advance</v>
      </c>
      <c r="I73" s="27" t="str">
        <f>IFERROR(IF(IFERROR(REPLACE(O73,FIND("ОПТ ",O73,1),4,""),O73)=0,VLOOKUP(MID(Q73,FIND(" ",Q73,1)+1,3),Brands!$B$2:$C$24,2,0),IFERROR(REPLACE(O73,FIND("ОПТ ",O73,1),4,""),O73)),"Check PLEASE")</f>
        <v>Сток Converse</v>
      </c>
      <c r="J73" s="27" t="str">
        <f>VLOOKUP(I73,Brands!$E$2:$F$21,2,0)</f>
        <v>Converse</v>
      </c>
      <c r="K73" s="23">
        <f t="shared" si="10"/>
        <v>-0.76</v>
      </c>
      <c r="L73" s="204" t="s">
        <v>1361</v>
      </c>
      <c r="M73" s="205" t="s">
        <v>328</v>
      </c>
      <c r="N73" s="204" t="s">
        <v>1360</v>
      </c>
      <c r="O73" s="205" t="s">
        <v>52</v>
      </c>
      <c r="P73" s="205" t="s">
        <v>36</v>
      </c>
      <c r="Q73" s="205" t="s">
        <v>906</v>
      </c>
      <c r="R73" s="87" t="s">
        <v>1386</v>
      </c>
      <c r="S73" s="84"/>
      <c r="T73" s="84"/>
      <c r="U73" s="84"/>
      <c r="V73" s="84"/>
      <c r="W73" s="4" t="str">
        <f t="shared" si="11"/>
        <v>Negative</v>
      </c>
      <c r="X73" s="206">
        <v>-0.76</v>
      </c>
    </row>
    <row r="74" spans="1:24" ht="12" x14ac:dyDescent="0.2">
      <c r="A74" s="22" t="str">
        <f t="shared" si="7"/>
        <v>Реализация товаров и услуг</v>
      </c>
      <c r="B74" s="13">
        <f t="array" ref="B74">IFERROR(INDEX(CreditDAY[Credit Days Nominal],MATCH(M74&amp;Q74&amp;I74,CreditDAY[Customer]&amp;CreditDAY[Договор.Наименование]&amp;CreditDAY[Brand Temp],0)),0)</f>
        <v>95</v>
      </c>
      <c r="C74" s="10">
        <v>1</v>
      </c>
      <c r="D74" s="165">
        <f t="shared" si="8"/>
        <v>44357</v>
      </c>
      <c r="E74" s="16">
        <f>N74+B74+C74</f>
        <v>44453.449178240742</v>
      </c>
      <c r="F74" s="23">
        <f t="shared" si="9"/>
        <v>-0.44917824074218515</v>
      </c>
      <c r="G74" s="27" t="str">
        <f t="array" ref="G74">IF(K74&lt;0,"Advance",INDEX('Days Ranges'!$C$4:$C$12,MATCH(1,($F74&gt;='Days Ranges'!$A$4:$A$12)*($F74&lt;'Days Ranges'!$B$4:$B$12),0)))</f>
        <v>Current</v>
      </c>
      <c r="H74" s="27" t="str">
        <f t="array" ref="H74">IF(K74&lt;0,"Advance",INDEX('Days Ranges'!$D$4:$D$12,MATCH(1,($F74&gt;'Days Ranges'!$A$4:$A$12)*($F74&lt;'Days Ranges'!$B$4:$B$12),0)))</f>
        <v>Current</v>
      </c>
      <c r="I74" s="27" t="str">
        <f>IFERROR(IF(IFERROR(REPLACE(O74,FIND("ОПТ ",O74,1),4,""),O74)=0,VLOOKUP(MID(Q74,FIND(" ",Q74,1)+1,3),Brands!$B$2:$C$24,2,0),IFERROR(REPLACE(O74,FIND("ОПТ ",O74,1),4,""),O74)),"Check PLEASE")</f>
        <v>Saucony</v>
      </c>
      <c r="J74" s="27" t="str">
        <f>VLOOKUP(I74,Brands!$E$2:$F$21,2,0)</f>
        <v>Saucony</v>
      </c>
      <c r="K74" s="23">
        <f t="shared" si="10"/>
        <v>139840</v>
      </c>
      <c r="L74" s="204" t="s">
        <v>1362</v>
      </c>
      <c r="M74" s="205" t="s">
        <v>185</v>
      </c>
      <c r="N74" s="204" t="s">
        <v>1363</v>
      </c>
      <c r="O74" s="205" t="s">
        <v>76</v>
      </c>
      <c r="P74" s="205" t="s">
        <v>28</v>
      </c>
      <c r="Q74" s="205" t="s">
        <v>186</v>
      </c>
      <c r="R74" s="87" t="s">
        <v>877</v>
      </c>
      <c r="S74" s="84"/>
      <c r="T74" s="84"/>
      <c r="U74" s="84"/>
      <c r="V74" s="84"/>
      <c r="W74" s="4" t="str">
        <f t="shared" si="11"/>
        <v>Positive</v>
      </c>
      <c r="X74" s="206">
        <v>139840</v>
      </c>
    </row>
    <row r="75" spans="1:24" ht="12" x14ac:dyDescent="0.2">
      <c r="A75" s="10" t="str">
        <f t="shared" si="7"/>
        <v>Реализация товаров и услуг</v>
      </c>
      <c r="B75" s="13">
        <f t="array" ref="B75">IFERROR(INDEX(CreditDAY[Credit Days Nominal],MATCH(M75&amp;Q75&amp;I75,CreditDAY[Customer]&amp;CreditDAY[Договор.Наименование]&amp;CreditDAY[Brand Temp],0)),0)</f>
        <v>95</v>
      </c>
      <c r="C75" s="10">
        <v>1</v>
      </c>
      <c r="D75" s="165">
        <f t="shared" si="8"/>
        <v>44357</v>
      </c>
      <c r="E75" s="16">
        <f t="shared" si="6"/>
        <v>44453.453425925924</v>
      </c>
      <c r="F75" s="23">
        <f t="shared" si="9"/>
        <v>-0.45342592592351139</v>
      </c>
      <c r="G75" s="27" t="str">
        <f t="array" ref="G75">IF(K75&lt;0,"Advance",INDEX('Days Ranges'!$C$4:$C$12,MATCH(1,($F75&gt;='Days Ranges'!$A$4:$A$12)*($F75&lt;'Days Ranges'!$B$4:$B$12),0)))</f>
        <v>Current</v>
      </c>
      <c r="H75" s="27" t="str">
        <f t="array" ref="H75">IF(K75&lt;0,"Advance",INDEX('Days Ranges'!$D$4:$D$12,MATCH(1,($F75&gt;'Days Ranges'!$A$4:$A$12)*($F75&lt;'Days Ranges'!$B$4:$B$12),0)))</f>
        <v>Current</v>
      </c>
      <c r="I75" s="27" t="str">
        <f>IFERROR(IF(IFERROR(REPLACE(O75,FIND("ОПТ ",O75,1),4,""),O75)=0,VLOOKUP(MID(Q75,FIND(" ",Q75,1)+1,3),Brands!$B$2:$C$24,2,0),IFERROR(REPLACE(O75,FIND("ОПТ ",O75,1),4,""),O75)),"Check PLEASE")</f>
        <v>Dr.Martens</v>
      </c>
      <c r="J75" s="27" t="str">
        <f>VLOOKUP(I75,Brands!$E$2:$F$21,2,0)</f>
        <v>Dr.Martens</v>
      </c>
      <c r="K75" s="23">
        <f t="shared" si="10"/>
        <v>141480</v>
      </c>
      <c r="L75" s="204" t="s">
        <v>1364</v>
      </c>
      <c r="M75" s="205" t="s">
        <v>185</v>
      </c>
      <c r="N75" s="204" t="s">
        <v>1365</v>
      </c>
      <c r="O75" s="205" t="s">
        <v>102</v>
      </c>
      <c r="P75" s="205" t="s">
        <v>28</v>
      </c>
      <c r="Q75" s="205" t="s">
        <v>186</v>
      </c>
      <c r="R75" s="87" t="s">
        <v>101</v>
      </c>
      <c r="S75" s="84"/>
      <c r="T75" s="84"/>
      <c r="U75" s="84"/>
      <c r="V75" s="84"/>
      <c r="W75" s="4" t="str">
        <f t="shared" si="11"/>
        <v>Positive</v>
      </c>
      <c r="X75" s="206">
        <v>141480</v>
      </c>
    </row>
    <row r="76" spans="1:24" ht="12" x14ac:dyDescent="0.2">
      <c r="A76" s="10" t="str">
        <f t="shared" si="7"/>
        <v>Реализация товаров и услуг</v>
      </c>
      <c r="B76" s="13">
        <f t="array" ref="B76">IFERROR(INDEX(CreditDAY[Credit Days Nominal],MATCH(M76&amp;Q76&amp;I76,CreditDAY[Customer]&amp;CreditDAY[Договор.Наименование]&amp;CreditDAY[Brand Temp],0)),0)</f>
        <v>95</v>
      </c>
      <c r="C76" s="10">
        <v>1</v>
      </c>
      <c r="D76" s="165">
        <f t="shared" si="8"/>
        <v>44357</v>
      </c>
      <c r="E76" s="16">
        <f t="shared" si="6"/>
        <v>44453.565567129626</v>
      </c>
      <c r="F76" s="23">
        <f t="shared" si="9"/>
        <v>-0.56556712962628808</v>
      </c>
      <c r="G76" s="27" t="str">
        <f t="array" ref="G76">IF(K76&lt;0,"Advance",INDEX('Days Ranges'!$C$4:$C$12,MATCH(1,($F76&gt;='Days Ranges'!$A$4:$A$12)*($F76&lt;'Days Ranges'!$B$4:$B$12),0)))</f>
        <v>Current</v>
      </c>
      <c r="H76" s="27" t="str">
        <f t="array" ref="H76">IF(K76&lt;0,"Advance",INDEX('Days Ranges'!$D$4:$D$12,MATCH(1,($F76&gt;'Days Ranges'!$A$4:$A$12)*($F76&lt;'Days Ranges'!$B$4:$B$12),0)))</f>
        <v>Current</v>
      </c>
      <c r="I76" s="27" t="str">
        <f>IFERROR(IF(IFERROR(REPLACE(O76,FIND("ОПТ ",O76,1),4,""),O76)=0,VLOOKUP(MID(Q76,FIND(" ",Q76,1)+1,3),Brands!$B$2:$C$24,2,0),IFERROR(REPLACE(O76,FIND("ОПТ ",O76,1),4,""),O76)),"Check PLEASE")</f>
        <v>Сток Dr.Martens</v>
      </c>
      <c r="J76" s="27" t="str">
        <f>VLOOKUP(I76,Brands!$E$2:$F$21,2,0)</f>
        <v>Dr.Martens</v>
      </c>
      <c r="K76" s="23">
        <f t="shared" si="10"/>
        <v>95400</v>
      </c>
      <c r="L76" s="204" t="s">
        <v>1366</v>
      </c>
      <c r="M76" s="205" t="s">
        <v>185</v>
      </c>
      <c r="N76" s="204" t="s">
        <v>1367</v>
      </c>
      <c r="O76" s="205" t="s">
        <v>107</v>
      </c>
      <c r="P76" s="205" t="s">
        <v>28</v>
      </c>
      <c r="Q76" s="205" t="s">
        <v>186</v>
      </c>
      <c r="R76" s="87" t="s">
        <v>186</v>
      </c>
      <c r="S76" s="84"/>
      <c r="T76" s="84"/>
      <c r="U76" s="84"/>
      <c r="V76" s="84"/>
      <c r="W76" s="4" t="str">
        <f t="shared" si="11"/>
        <v>Positive</v>
      </c>
      <c r="X76" s="206">
        <v>95400</v>
      </c>
    </row>
    <row r="77" spans="1:24" ht="12" x14ac:dyDescent="0.2">
      <c r="A77" s="22" t="str">
        <f t="shared" si="7"/>
        <v>Реализация товаров и услуг</v>
      </c>
      <c r="B77" s="13">
        <f t="array" ref="B77">IFERROR(INDEX(CreditDAY[Credit Days Nominal],MATCH(M77&amp;Q77&amp;I77,CreditDAY[Customer]&amp;CreditDAY[Договор.Наименование]&amp;CreditDAY[Brand Temp],0)),0)</f>
        <v>95</v>
      </c>
      <c r="C77" s="10">
        <v>1</v>
      </c>
      <c r="D77" s="165">
        <f t="shared" si="8"/>
        <v>44357</v>
      </c>
      <c r="E77" s="16">
        <f t="shared" si="6"/>
        <v>44453.566018518519</v>
      </c>
      <c r="F77" s="23">
        <f t="shared" si="9"/>
        <v>-0.56601851851883112</v>
      </c>
      <c r="G77" s="27" t="str">
        <f t="array" ref="G77">IF(K77&lt;0,"Advance",INDEX('Days Ranges'!$C$4:$C$12,MATCH(1,($F77&gt;='Days Ranges'!$A$4:$A$12)*($F77&lt;'Days Ranges'!$B$4:$B$12),0)))</f>
        <v>Current</v>
      </c>
      <c r="H77" s="27" t="str">
        <f t="array" ref="H77">IF(K77&lt;0,"Advance",INDEX('Days Ranges'!$D$4:$D$12,MATCH(1,($F77&gt;'Days Ranges'!$A$4:$A$12)*($F77&lt;'Days Ranges'!$B$4:$B$12),0)))</f>
        <v>Current</v>
      </c>
      <c r="I77" s="27" t="str">
        <f>IFERROR(IF(IFERROR(REPLACE(O77,FIND("ОПТ ",O77,1),4,""),O77)=0,VLOOKUP(MID(Q77,FIND(" ",Q77,1)+1,3),Brands!$B$2:$C$24,2,0),IFERROR(REPLACE(O77,FIND("ОПТ ",O77,1),4,""),O77)),"Check PLEASE")</f>
        <v>Сток Dr.Martens</v>
      </c>
      <c r="J77" s="27" t="str">
        <f>VLOOKUP(I77,Brands!$E$2:$F$21,2,0)</f>
        <v>Dr.Martens</v>
      </c>
      <c r="K77" s="23">
        <f t="shared" si="10"/>
        <v>95400</v>
      </c>
      <c r="L77" s="204" t="s">
        <v>1368</v>
      </c>
      <c r="M77" s="205" t="s">
        <v>185</v>
      </c>
      <c r="N77" s="204" t="s">
        <v>1369</v>
      </c>
      <c r="O77" s="205" t="s">
        <v>107</v>
      </c>
      <c r="P77" s="205" t="s">
        <v>28</v>
      </c>
      <c r="Q77" s="205" t="s">
        <v>186</v>
      </c>
      <c r="R77" s="87" t="s">
        <v>186</v>
      </c>
      <c r="S77" s="84"/>
      <c r="T77" s="84"/>
      <c r="U77" s="84"/>
      <c r="V77" s="84"/>
      <c r="W77" s="4" t="str">
        <f t="shared" si="11"/>
        <v>Positive</v>
      </c>
      <c r="X77" s="206">
        <v>95400</v>
      </c>
    </row>
    <row r="78" spans="1:24" ht="12" x14ac:dyDescent="0.2">
      <c r="A78" s="22" t="str">
        <f t="shared" si="7"/>
        <v>Реализация товаров и услуг</v>
      </c>
      <c r="B78" s="13">
        <f t="array" ref="B78">IFERROR(INDEX(CreditDAY[Credit Days Nominal],MATCH(M78&amp;Q78&amp;I78,CreditDAY[Customer]&amp;CreditDAY[Договор.Наименование]&amp;CreditDAY[Brand Temp],0)),0)</f>
        <v>95</v>
      </c>
      <c r="C78" s="10">
        <v>1</v>
      </c>
      <c r="D78" s="165">
        <f t="shared" si="8"/>
        <v>44357</v>
      </c>
      <c r="E78" s="16">
        <f>N78+B78+C78</f>
        <v>44453.588946759257</v>
      </c>
      <c r="F78" s="23">
        <f t="shared" si="9"/>
        <v>-0.58894675925694173</v>
      </c>
      <c r="G78" s="27" t="str">
        <f t="array" ref="G78">IF(K78&lt;0,"Advance",INDEX('Days Ranges'!$C$4:$C$12,MATCH(1,($F78&gt;='Days Ranges'!$A$4:$A$12)*($F78&lt;'Days Ranges'!$B$4:$B$12),0)))</f>
        <v>Current</v>
      </c>
      <c r="H78" s="27" t="str">
        <f t="array" ref="H78">IF(K78&lt;0,"Advance",INDEX('Days Ranges'!$D$4:$D$12,MATCH(1,($F78&gt;'Days Ranges'!$A$4:$A$12)*($F78&lt;'Days Ranges'!$B$4:$B$12),0)))</f>
        <v>Current</v>
      </c>
      <c r="I78" s="27" t="str">
        <f>IFERROR(IF(IFERROR(REPLACE(O78,FIND("ОПТ ",O78,1),4,""),O78)=0,VLOOKUP(MID(Q78,FIND(" ",Q78,1)+1,3),Brands!$B$2:$C$24,2,0),IFERROR(REPLACE(O78,FIND("ОПТ ",O78,1),4,""),O78)),"Check PLEASE")</f>
        <v>Сток Saucony</v>
      </c>
      <c r="J78" s="27" t="str">
        <f>VLOOKUP(I78,Brands!$E$2:$F$21,2,0)</f>
        <v>Saucony</v>
      </c>
      <c r="K78" s="23">
        <f t="shared" si="10"/>
        <v>92468</v>
      </c>
      <c r="L78" s="204" t="s">
        <v>1370</v>
      </c>
      <c r="M78" s="205" t="s">
        <v>185</v>
      </c>
      <c r="N78" s="204" t="s">
        <v>1371</v>
      </c>
      <c r="O78" s="205" t="s">
        <v>35</v>
      </c>
      <c r="P78" s="205" t="s">
        <v>28</v>
      </c>
      <c r="Q78" s="205" t="s">
        <v>186</v>
      </c>
      <c r="R78" s="87" t="s">
        <v>186</v>
      </c>
      <c r="S78" s="84"/>
      <c r="T78" s="84"/>
      <c r="U78" s="84"/>
      <c r="V78" s="84"/>
      <c r="W78" s="4" t="str">
        <f t="shared" si="11"/>
        <v>Positive</v>
      </c>
      <c r="X78" s="206">
        <v>92468</v>
      </c>
    </row>
    <row r="79" spans="1:24" ht="12" x14ac:dyDescent="0.2">
      <c r="A79" s="22" t="str">
        <f t="shared" si="7"/>
        <v>Реализация товаров и услуг</v>
      </c>
      <c r="B79" s="13">
        <f t="array" ref="B79">IFERROR(INDEX(CreditDAY[Credit Days Nominal],MATCH(M79&amp;Q79&amp;I79,CreditDAY[Customer]&amp;CreditDAY[Договор.Наименование]&amp;CreditDAY[Brand Temp],0)),0)</f>
        <v>95</v>
      </c>
      <c r="C79" s="10">
        <v>1</v>
      </c>
      <c r="D79" s="165">
        <f t="shared" si="8"/>
        <v>44357</v>
      </c>
      <c r="E79" s="16">
        <f t="shared" si="6"/>
        <v>44453.639398148145</v>
      </c>
      <c r="F79" s="23">
        <f t="shared" si="9"/>
        <v>-0.63939814814511919</v>
      </c>
      <c r="G79" s="27" t="str">
        <f t="array" ref="G79">IF(K79&lt;0,"Advance",INDEX('Days Ranges'!$C$4:$C$12,MATCH(1,($F79&gt;='Days Ranges'!$A$4:$A$12)*($F79&lt;'Days Ranges'!$B$4:$B$12),0)))</f>
        <v>Current</v>
      </c>
      <c r="H79" s="27" t="str">
        <f t="array" ref="H79">IF(K79&lt;0,"Advance",INDEX('Days Ranges'!$D$4:$D$12,MATCH(1,($F79&gt;'Days Ranges'!$A$4:$A$12)*($F79&lt;'Days Ranges'!$B$4:$B$12),0)))</f>
        <v>Current</v>
      </c>
      <c r="I79" s="27" t="str">
        <f>IFERROR(IF(IFERROR(REPLACE(O79,FIND("ОПТ ",O79,1),4,""),O79)=0,VLOOKUP(MID(Q79,FIND(" ",Q79,1)+1,3),Brands!$B$2:$C$24,2,0),IFERROR(REPLACE(O79,FIND("ОПТ ",O79,1),4,""),O79)),"Check PLEASE")</f>
        <v>Saucony</v>
      </c>
      <c r="J79" s="27" t="str">
        <f>VLOOKUP(I79,Brands!$E$2:$F$21,2,0)</f>
        <v>Saucony</v>
      </c>
      <c r="K79" s="23">
        <f t="shared" si="10"/>
        <v>214600</v>
      </c>
      <c r="L79" s="204" t="s">
        <v>1372</v>
      </c>
      <c r="M79" s="205" t="s">
        <v>185</v>
      </c>
      <c r="N79" s="204" t="s">
        <v>1373</v>
      </c>
      <c r="O79" s="205" t="s">
        <v>76</v>
      </c>
      <c r="P79" s="205" t="s">
        <v>28</v>
      </c>
      <c r="Q79" s="205" t="s">
        <v>186</v>
      </c>
      <c r="R79" s="87" t="s">
        <v>186</v>
      </c>
      <c r="S79" s="84"/>
      <c r="T79" s="84"/>
      <c r="U79" s="84"/>
      <c r="V79" s="84"/>
      <c r="W79" s="4" t="str">
        <f t="shared" si="11"/>
        <v>Positive</v>
      </c>
      <c r="X79" s="206">
        <v>214600</v>
      </c>
    </row>
    <row r="80" spans="1:24" ht="12" x14ac:dyDescent="0.2">
      <c r="A80" s="22" t="str">
        <f t="shared" si="7"/>
        <v>Реализация товаров и услуг</v>
      </c>
      <c r="B80" s="13">
        <f t="array" ref="B80">IFERROR(INDEX(CreditDAY[Credit Days Nominal],MATCH(M80&amp;Q80&amp;I80,CreditDAY[Customer]&amp;CreditDAY[Договор.Наименование]&amp;CreditDAY[Brand Temp],0)),0)</f>
        <v>95</v>
      </c>
      <c r="C80" s="10"/>
      <c r="D80" s="165">
        <f t="shared" si="8"/>
        <v>44358</v>
      </c>
      <c r="E80" s="16">
        <f t="shared" si="6"/>
        <v>44453.528090277781</v>
      </c>
      <c r="F80" s="23">
        <f t="shared" si="9"/>
        <v>-0.52809027778130258</v>
      </c>
      <c r="G80" s="27" t="str">
        <f t="array" ref="G80">IF(K80&lt;0,"Advance",INDEX('Days Ranges'!$C$4:$C$12,MATCH(1,($F80&gt;='Days Ranges'!$A$4:$A$12)*($F80&lt;'Days Ranges'!$B$4:$B$12),0)))</f>
        <v>Current</v>
      </c>
      <c r="H80" s="27" t="str">
        <f t="array" ref="H80">IF(K80&lt;0,"Advance",INDEX('Days Ranges'!$D$4:$D$12,MATCH(1,($F80&gt;'Days Ranges'!$A$4:$A$12)*($F80&lt;'Days Ranges'!$B$4:$B$12),0)))</f>
        <v>Current</v>
      </c>
      <c r="I80" s="27" t="str">
        <f>IFERROR(IF(IFERROR(REPLACE(O80,FIND("ОПТ ",O80,1),4,""),O80)=0,VLOOKUP(MID(Q80,FIND(" ",Q80,1)+1,3),Brands!$B$2:$C$24,2,0),IFERROR(REPLACE(O80,FIND("ОПТ ",O80,1),4,""),O80)),"Check PLEASE")</f>
        <v>Сток Converse</v>
      </c>
      <c r="J80" s="27" t="str">
        <f>VLOOKUP(I80,Brands!$E$2:$F$21,2,0)</f>
        <v>Converse</v>
      </c>
      <c r="K80" s="23">
        <f t="shared" si="10"/>
        <v>32025</v>
      </c>
      <c r="L80" s="204" t="s">
        <v>1374</v>
      </c>
      <c r="M80" s="205" t="s">
        <v>185</v>
      </c>
      <c r="N80" s="204" t="s">
        <v>1375</v>
      </c>
      <c r="O80" s="205" t="s">
        <v>52</v>
      </c>
      <c r="P80" s="205" t="s">
        <v>28</v>
      </c>
      <c r="Q80" s="205" t="s">
        <v>186</v>
      </c>
      <c r="R80" s="87" t="s">
        <v>186</v>
      </c>
      <c r="S80" s="84"/>
      <c r="T80" s="84"/>
      <c r="U80" s="84"/>
      <c r="V80" s="84"/>
      <c r="W80" s="4" t="str">
        <f t="shared" si="11"/>
        <v>Positive</v>
      </c>
      <c r="X80" s="206">
        <v>32025</v>
      </c>
    </row>
    <row r="81" spans="1:24" ht="12" x14ac:dyDescent="0.2">
      <c r="A81" s="22" t="str">
        <f t="shared" si="7"/>
        <v>Реализация товаров и услуг</v>
      </c>
      <c r="B81" s="13">
        <f t="array" ref="B81">IFERROR(INDEX(CreditDAY[Credit Days Nominal],MATCH(M81&amp;Q81&amp;I81,CreditDAY[Customer]&amp;CreditDAY[Договор.Наименование]&amp;CreditDAY[Brand Temp],0)),0)</f>
        <v>95</v>
      </c>
      <c r="C81" s="10"/>
      <c r="D81" s="165">
        <f t="shared" si="8"/>
        <v>44358</v>
      </c>
      <c r="E81" s="16">
        <f t="shared" si="6"/>
        <v>44453.530150462961</v>
      </c>
      <c r="F81" s="23">
        <f t="shared" si="9"/>
        <v>-0.53015046296059154</v>
      </c>
      <c r="G81" s="27" t="str">
        <f t="array" ref="G81">IF(K81&lt;0,"Advance",INDEX('Days Ranges'!$C$4:$C$12,MATCH(1,($F81&gt;='Days Ranges'!$A$4:$A$12)*($F81&lt;'Days Ranges'!$B$4:$B$12),0)))</f>
        <v>Current</v>
      </c>
      <c r="H81" s="27" t="str">
        <f t="array" ref="H81">IF(K81&lt;0,"Advance",INDEX('Days Ranges'!$D$4:$D$12,MATCH(1,($F81&gt;'Days Ranges'!$A$4:$A$12)*($F81&lt;'Days Ranges'!$B$4:$B$12),0)))</f>
        <v>Current</v>
      </c>
      <c r="I81" s="27" t="str">
        <f>IFERROR(IF(IFERROR(REPLACE(O81,FIND("ОПТ ",O81,1),4,""),O81)=0,VLOOKUP(MID(Q81,FIND(" ",Q81,1)+1,3),Brands!$B$2:$C$24,2,0),IFERROR(REPLACE(O81,FIND("ОПТ ",O81,1),4,""),O81)),"Check PLEASE")</f>
        <v>Сток Converse</v>
      </c>
      <c r="J81" s="27" t="str">
        <f>VLOOKUP(I81,Brands!$E$2:$F$21,2,0)</f>
        <v>Converse</v>
      </c>
      <c r="K81" s="23">
        <f t="shared" si="10"/>
        <v>263214.65999999997</v>
      </c>
      <c r="L81" s="204" t="s">
        <v>1376</v>
      </c>
      <c r="M81" s="205" t="s">
        <v>185</v>
      </c>
      <c r="N81" s="204" t="s">
        <v>1377</v>
      </c>
      <c r="O81" s="205" t="s">
        <v>52</v>
      </c>
      <c r="P81" s="205" t="s">
        <v>28</v>
      </c>
      <c r="Q81" s="205" t="s">
        <v>186</v>
      </c>
      <c r="R81" s="87" t="s">
        <v>186</v>
      </c>
      <c r="S81" s="84"/>
      <c r="T81" s="84"/>
      <c r="U81" s="84"/>
      <c r="V81" s="84"/>
      <c r="W81" s="4" t="str">
        <f t="shared" si="11"/>
        <v>Positive</v>
      </c>
      <c r="X81" s="206">
        <v>263214.65999999997</v>
      </c>
    </row>
    <row r="82" spans="1:24" ht="12" x14ac:dyDescent="0.2">
      <c r="A82" s="22" t="str">
        <f t="shared" si="7"/>
        <v>Реализация товаров и услуг</v>
      </c>
      <c r="B82" s="13">
        <f t="array" ref="B82">IFERROR(INDEX(CreditDAY[Credit Days Nominal],MATCH(M82&amp;Q82&amp;I82,CreditDAY[Customer]&amp;CreditDAY[Договор.Наименование]&amp;CreditDAY[Brand Temp],0)),0)</f>
        <v>95</v>
      </c>
      <c r="C82" s="10"/>
      <c r="D82" s="165">
        <f t="shared" si="8"/>
        <v>44358</v>
      </c>
      <c r="E82" s="16">
        <f t="shared" si="6"/>
        <v>44453.618136574078</v>
      </c>
      <c r="F82" s="23">
        <f t="shared" si="9"/>
        <v>-0.61813657407765277</v>
      </c>
      <c r="G82" s="27" t="str">
        <f t="array" ref="G82">IF(K82&lt;0,"Advance",INDEX('Days Ranges'!$C$4:$C$12,MATCH(1,($F82&gt;='Days Ranges'!$A$4:$A$12)*($F82&lt;'Days Ranges'!$B$4:$B$12),0)))</f>
        <v>Current</v>
      </c>
      <c r="H82" s="27" t="str">
        <f t="array" ref="H82">IF(K82&lt;0,"Advance",INDEX('Days Ranges'!$D$4:$D$12,MATCH(1,($F82&gt;'Days Ranges'!$A$4:$A$12)*($F82&lt;'Days Ranges'!$B$4:$B$12),0)))</f>
        <v>Current</v>
      </c>
      <c r="I82" s="27" t="str">
        <f>IFERROR(IF(IFERROR(REPLACE(O82,FIND("ОПТ ",O82,1),4,""),O82)=0,VLOOKUP(MID(Q82,FIND(" ",Q82,1)+1,3),Brands!$B$2:$C$24,2,0),IFERROR(REPLACE(O82,FIND("ОПТ ",O82,1),4,""),O82)),"Check PLEASE")</f>
        <v>Сток Converse</v>
      </c>
      <c r="J82" s="27" t="str">
        <f>VLOOKUP(I82,Brands!$E$2:$F$21,2,0)</f>
        <v>Converse</v>
      </c>
      <c r="K82" s="23">
        <f t="shared" si="10"/>
        <v>199930.5</v>
      </c>
      <c r="L82" s="204" t="s">
        <v>1378</v>
      </c>
      <c r="M82" s="205" t="s">
        <v>185</v>
      </c>
      <c r="N82" s="204" t="s">
        <v>1379</v>
      </c>
      <c r="O82" s="205" t="s">
        <v>52</v>
      </c>
      <c r="P82" s="205" t="s">
        <v>28</v>
      </c>
      <c r="Q82" s="205" t="s">
        <v>186</v>
      </c>
      <c r="R82" s="87" t="s">
        <v>186</v>
      </c>
      <c r="S82" s="84"/>
      <c r="T82" s="84"/>
      <c r="U82" s="84"/>
      <c r="V82" s="84"/>
      <c r="W82" s="4" t="str">
        <f t="shared" si="11"/>
        <v>Positive</v>
      </c>
      <c r="X82" s="207">
        <v>199930.5</v>
      </c>
    </row>
    <row r="83" spans="1:24" ht="12" x14ac:dyDescent="0.2">
      <c r="A83" s="22" t="str">
        <f t="shared" si="7"/>
        <v>Реализация товаров и услуг</v>
      </c>
      <c r="B83" s="13">
        <f t="array" ref="B83">IFERROR(INDEX(CreditDAY[Credit Days Nominal],MATCH(M83&amp;Q83&amp;I83,CreditDAY[Customer]&amp;CreditDAY[Договор.Наименование]&amp;CreditDAY[Brand Temp],0)),0)</f>
        <v>95</v>
      </c>
      <c r="C83" s="10"/>
      <c r="D83" s="165">
        <f t="shared" si="8"/>
        <v>44358</v>
      </c>
      <c r="E83" s="16">
        <f t="shared" si="6"/>
        <v>44453.659560185188</v>
      </c>
      <c r="F83" s="23">
        <f t="shared" si="9"/>
        <v>-0.65956018518772908</v>
      </c>
      <c r="G83" s="27" t="str">
        <f t="array" ref="G83">IF(K83&lt;0,"Advance",INDEX('Days Ranges'!$C$4:$C$12,MATCH(1,($F83&gt;='Days Ranges'!$A$4:$A$12)*($F83&lt;'Days Ranges'!$B$4:$B$12),0)))</f>
        <v>Current</v>
      </c>
      <c r="H83" s="27" t="str">
        <f t="array" ref="H83">IF(K83&lt;0,"Advance",INDEX('Days Ranges'!$D$4:$D$12,MATCH(1,($F83&gt;'Days Ranges'!$A$4:$A$12)*($F83&lt;'Days Ranges'!$B$4:$B$12),0)))</f>
        <v>Current</v>
      </c>
      <c r="I83" s="27" t="str">
        <f>IFERROR(IF(IFERROR(REPLACE(O83,FIND("ОПТ ",O83,1),4,""),O83)=0,VLOOKUP(MID(Q83,FIND(" ",Q83,1)+1,3),Brands!$B$2:$C$24,2,0),IFERROR(REPLACE(O83,FIND("ОПТ ",O83,1),4,""),O83)),"Check PLEASE")</f>
        <v>Сток Converse</v>
      </c>
      <c r="J83" s="27" t="str">
        <f>VLOOKUP(I83,Brands!$E$2:$F$21,2,0)</f>
        <v>Converse</v>
      </c>
      <c r="K83" s="23">
        <f t="shared" si="10"/>
        <v>21241.5</v>
      </c>
      <c r="L83" s="204" t="s">
        <v>1380</v>
      </c>
      <c r="M83" s="205" t="s">
        <v>185</v>
      </c>
      <c r="N83" s="204" t="s">
        <v>1381</v>
      </c>
      <c r="O83" s="205" t="s">
        <v>52</v>
      </c>
      <c r="P83" s="205" t="s">
        <v>28</v>
      </c>
      <c r="Q83" s="205" t="s">
        <v>186</v>
      </c>
      <c r="R83" s="87" t="s">
        <v>186</v>
      </c>
      <c r="S83" s="84"/>
      <c r="T83" s="84"/>
      <c r="U83" s="84"/>
      <c r="V83" s="84"/>
      <c r="W83" s="4" t="str">
        <f t="shared" si="11"/>
        <v>Positive</v>
      </c>
      <c r="X83" s="206">
        <v>21241.5</v>
      </c>
    </row>
    <row r="84" spans="1:24" ht="12" x14ac:dyDescent="0.2">
      <c r="A84" s="22" t="str">
        <f t="shared" si="7"/>
        <v>Платежное поручение входящее</v>
      </c>
      <c r="B84" s="13">
        <f t="array" ref="B84">IFERROR(INDEX(CreditDAY[Credit Days Nominal],MATCH(M84&amp;Q84&amp;I84,CreditDAY[Customer]&amp;CreditDAY[Договор.Наименование]&amp;CreditDAY[Brand Temp],0)),0)</f>
        <v>65</v>
      </c>
      <c r="C84" s="10"/>
      <c r="D84" s="165">
        <f t="shared" si="8"/>
        <v>44358</v>
      </c>
      <c r="E84" s="16">
        <f t="shared" si="6"/>
        <v>44423.708333333336</v>
      </c>
      <c r="F84" s="23">
        <f t="shared" si="9"/>
        <v>29.291666666664241</v>
      </c>
      <c r="G84" s="27" t="str">
        <f t="array" ref="G84">IF(K84&lt;0,"Advance",INDEX('Days Ranges'!$C$4:$C$12,MATCH(1,($F84&gt;='Days Ranges'!$A$4:$A$12)*($F84&lt;'Days Ranges'!$B$4:$B$12),0)))</f>
        <v>Advance</v>
      </c>
      <c r="H84" s="27" t="str">
        <f t="array" ref="H84">IF(K84&lt;0,"Advance",INDEX('Days Ranges'!$D$4:$D$12,MATCH(1,($F84&gt;'Days Ranges'!$A$4:$A$12)*($F84&lt;'Days Ranges'!$B$4:$B$12),0)))</f>
        <v>Advance</v>
      </c>
      <c r="I84" s="27" t="str">
        <f>IFERROR(IF(IFERROR(REPLACE(O84,FIND("ОПТ ",O84,1),4,""),O84)=0,VLOOKUP(MID(Q84,FIND(" ",Q84,1)+1,3),Brands!$B$2:$C$24,2,0),IFERROR(REPLACE(O84,FIND("ОПТ ",O84,1),4,""),O84)),"Check PLEASE")</f>
        <v>Converse</v>
      </c>
      <c r="J84" s="27" t="str">
        <f>VLOOKUP(I84,Brands!$E$2:$F$21,2,0)</f>
        <v>Converse</v>
      </c>
      <c r="K84" s="23">
        <f t="shared" si="10"/>
        <v>-200607.93</v>
      </c>
      <c r="L84" s="204" t="s">
        <v>1382</v>
      </c>
      <c r="M84" s="205" t="s">
        <v>240</v>
      </c>
      <c r="N84" s="204" t="s">
        <v>1383</v>
      </c>
      <c r="O84" s="205" t="s">
        <v>20</v>
      </c>
      <c r="P84" s="205" t="s">
        <v>36</v>
      </c>
      <c r="Q84" s="205" t="s">
        <v>243</v>
      </c>
      <c r="R84" s="87" t="s">
        <v>288</v>
      </c>
      <c r="S84" s="84"/>
      <c r="T84" s="84"/>
      <c r="U84" s="84"/>
      <c r="V84" s="84"/>
      <c r="W84" s="4" t="str">
        <f t="shared" si="11"/>
        <v>Negative</v>
      </c>
      <c r="X84" s="206">
        <v>-200607.93</v>
      </c>
    </row>
    <row r="85" spans="1:24" ht="12" x14ac:dyDescent="0.2">
      <c r="A85" s="22" t="str">
        <f t="shared" si="7"/>
        <v>Реализация товаров и услуг</v>
      </c>
      <c r="B85" s="13">
        <f t="array" ref="B85">IFERROR(INDEX(CreditDAY[Credit Days Nominal],MATCH(M85&amp;Q85&amp;I85,CreditDAY[Customer]&amp;CreditDAY[Договор.Наименование]&amp;CreditDAY[Brand Temp],0)),0)</f>
        <v>65</v>
      </c>
      <c r="C85" s="10"/>
      <c r="D85" s="165">
        <f>DATE(YEAR(N85),MONTH(N85),DAY(N85))</f>
        <v>44368</v>
      </c>
      <c r="E85" s="16">
        <f t="shared" si="6"/>
        <v>44433.86886574074</v>
      </c>
      <c r="F85" s="256">
        <f>IFERROR($B$1-E85,100000)</f>
        <v>19.131134259259852</v>
      </c>
      <c r="G85" s="27" t="str">
        <f t="array" ref="G85">IF(K85&lt;0,"Advance",INDEX('Days Ranges'!$C$4:$C$12,MATCH(1,($F85&gt;='Days Ranges'!$A$4:$A$12)*($F85&lt;'Days Ranges'!$B$4:$B$12),0)))</f>
        <v>Advance</v>
      </c>
      <c r="H85" s="27" t="str">
        <f t="array" ref="H85">IF(K85&lt;0,"Advance",INDEX('Days Ranges'!$D$4:$D$12,MATCH(1,($F85&gt;'Days Ranges'!$A$4:$A$12)*($F85&lt;'Days Ranges'!$B$4:$B$12),0)))</f>
        <v>Advance</v>
      </c>
      <c r="I85" s="27" t="str">
        <f>IFERROR(IF(IFERROR(REPLACE(O85,FIND("ОПТ ",O85,1),4,""),O85)=0,VLOOKUP(MID(Q85,FIND(" ",Q85,1)+1,3),Brands!$B$2:$C$24,2,0),IFERROR(REPLACE(O85,FIND("ОПТ ",O85,1),4,""),O85)),"Check PLEASE")</f>
        <v>Сток Converse</v>
      </c>
      <c r="J85" s="27" t="str">
        <f>VLOOKUP(I85,Brands!$E$2:$F$21,2,0)</f>
        <v>Converse</v>
      </c>
      <c r="K85" s="23">
        <f t="shared" si="10"/>
        <v>-25740</v>
      </c>
      <c r="L85" s="204" t="s">
        <v>1387</v>
      </c>
      <c r="M85" s="205" t="s">
        <v>240</v>
      </c>
      <c r="N85" s="204" t="s">
        <v>1388</v>
      </c>
      <c r="O85" s="205" t="s">
        <v>52</v>
      </c>
      <c r="P85" s="205" t="s">
        <v>28</v>
      </c>
      <c r="Q85" s="205" t="s">
        <v>243</v>
      </c>
      <c r="R85" s="87" t="s">
        <v>243</v>
      </c>
      <c r="S85" s="84"/>
      <c r="T85" s="84"/>
      <c r="U85" s="84"/>
      <c r="V85" s="84"/>
      <c r="W85" s="4" t="str">
        <f t="shared" si="11"/>
        <v>Negative</v>
      </c>
      <c r="X85" s="206">
        <v>-25740</v>
      </c>
    </row>
    <row r="86" spans="1:24" ht="12" x14ac:dyDescent="0.2">
      <c r="A86" s="22" t="str">
        <f t="shared" si="7"/>
        <v>Платежное поручение входящее</v>
      </c>
      <c r="B86" s="13">
        <f t="array" ref="B86">IFERROR(INDEX(CreditDAY[Credit Days Nominal],MATCH(M86&amp;Q86&amp;I86,CreditDAY[Customer]&amp;CreditDAY[Договор.Наименование]&amp;CreditDAY[Brand Temp],0)),0)</f>
        <v>0</v>
      </c>
      <c r="C86" s="10"/>
      <c r="D86" s="165">
        <f t="shared" si="8"/>
        <v>44369</v>
      </c>
      <c r="E86" s="16">
        <f t="shared" si="6"/>
        <v>44369.708333333336</v>
      </c>
      <c r="F86" s="23">
        <f t="shared" si="9"/>
        <v>83.291666666664241</v>
      </c>
      <c r="G86" s="27" t="str">
        <f t="array" ref="G86">IF(K86&lt;0,"Advance",INDEX('Days Ranges'!$C$4:$C$12,MATCH(1,($F86&gt;='Days Ranges'!$A$4:$A$12)*($F86&lt;'Days Ranges'!$B$4:$B$12),0)))</f>
        <v>Advance</v>
      </c>
      <c r="H86" s="27" t="str">
        <f t="array" ref="H86">IF(K86&lt;0,"Advance",INDEX('Days Ranges'!$D$4:$D$12,MATCH(1,($F86&gt;'Days Ranges'!$A$4:$A$12)*($F86&lt;'Days Ranges'!$B$4:$B$12),0)))</f>
        <v>Advance</v>
      </c>
      <c r="I86" s="27" t="str">
        <f>IFERROR(IF(IFERROR(REPLACE(O86,FIND("ОПТ ",O86,1),4,""),O86)=0,VLOOKUP(MID(Q86,FIND(" ",Q86,1)+1,3),Brands!$B$2:$C$24,2,0),IFERROR(REPLACE(O86,FIND("ОПТ ",O86,1),4,""),O86)),"Check PLEASE")</f>
        <v>Converse</v>
      </c>
      <c r="J86" s="27" t="str">
        <f>VLOOKUP(I86,Brands!$E$2:$F$21,2,0)</f>
        <v>Converse</v>
      </c>
      <c r="K86" s="23">
        <f t="shared" si="10"/>
        <v>-4250</v>
      </c>
      <c r="L86" s="204" t="s">
        <v>1392</v>
      </c>
      <c r="M86" s="205" t="s">
        <v>106</v>
      </c>
      <c r="N86" s="204" t="s">
        <v>1391</v>
      </c>
      <c r="O86" s="205" t="s">
        <v>20</v>
      </c>
      <c r="P86" s="205" t="s">
        <v>36</v>
      </c>
      <c r="Q86" s="205" t="s">
        <v>108</v>
      </c>
      <c r="R86" s="87" t="s">
        <v>288</v>
      </c>
      <c r="S86" s="84"/>
      <c r="T86" s="84"/>
      <c r="U86" s="84"/>
      <c r="V86" s="84"/>
      <c r="W86" s="4" t="str">
        <f t="shared" si="11"/>
        <v>Negative</v>
      </c>
      <c r="X86" s="206">
        <v>-4250</v>
      </c>
    </row>
    <row r="87" spans="1:24" ht="12" x14ac:dyDescent="0.2">
      <c r="A87" s="22" t="str">
        <f t="shared" si="7"/>
        <v>Платежное поручение входящее</v>
      </c>
      <c r="B87" s="13">
        <f t="array" ref="B87">IFERROR(INDEX(CreditDAY[Credit Days Nominal],MATCH(M87&amp;Q87&amp;I87,CreditDAY[Customer]&amp;CreditDAY[Договор.Наименование]&amp;CreditDAY[Brand Temp],0)),0)</f>
        <v>0</v>
      </c>
      <c r="C87" s="10"/>
      <c r="D87" s="165">
        <f t="shared" si="8"/>
        <v>44376</v>
      </c>
      <c r="E87" s="16">
        <f t="shared" si="6"/>
        <v>44376.708333333336</v>
      </c>
      <c r="F87" s="23">
        <f t="shared" si="9"/>
        <v>76.291666666664241</v>
      </c>
      <c r="G87" s="27" t="str">
        <f t="array" ref="G87">IF(K87&lt;0,"Advance",INDEX('Days Ranges'!$C$4:$C$12,MATCH(1,($F87&gt;='Days Ranges'!$A$4:$A$12)*($F87&lt;'Days Ranges'!$B$4:$B$12),0)))</f>
        <v>Advance</v>
      </c>
      <c r="H87" s="27" t="str">
        <f t="array" ref="H87">IF(K87&lt;0,"Advance",INDEX('Days Ranges'!$D$4:$D$12,MATCH(1,($F87&gt;'Days Ranges'!$A$4:$A$12)*($F87&lt;'Days Ranges'!$B$4:$B$12),0)))</f>
        <v>Advance</v>
      </c>
      <c r="I87" s="27" t="str">
        <f>IFERROR(IF(IFERROR(REPLACE(O87,FIND("ОПТ ",O87,1),4,""),O87)=0,VLOOKUP(MID(Q87,FIND(" ",Q87,1)+1,3),Brands!$B$2:$C$24,2,0),IFERROR(REPLACE(O87,FIND("ОПТ ",O87,1),4,""),O87)),"Check PLEASE")</f>
        <v>Сток Converse</v>
      </c>
      <c r="J87" s="27" t="str">
        <f>VLOOKUP(I87,Brands!$E$2:$F$21,2,0)</f>
        <v>Converse</v>
      </c>
      <c r="K87" s="23">
        <f t="shared" si="10"/>
        <v>-67520</v>
      </c>
      <c r="L87" s="204" t="s">
        <v>1395</v>
      </c>
      <c r="M87" s="205" t="s">
        <v>106</v>
      </c>
      <c r="N87" s="204" t="s">
        <v>1396</v>
      </c>
      <c r="O87" s="205" t="s">
        <v>52</v>
      </c>
      <c r="P87" s="205" t="s">
        <v>36</v>
      </c>
      <c r="Q87" s="205" t="s">
        <v>108</v>
      </c>
      <c r="R87" s="87" t="s">
        <v>288</v>
      </c>
      <c r="S87" s="84"/>
      <c r="T87" s="84"/>
      <c r="U87" s="84"/>
      <c r="V87" s="84"/>
      <c r="W87" s="4" t="str">
        <f t="shared" si="11"/>
        <v>Negative</v>
      </c>
      <c r="X87" s="206">
        <v>-67520</v>
      </c>
    </row>
    <row r="88" spans="1:24" ht="12" x14ac:dyDescent="0.2">
      <c r="A88" s="22" t="str">
        <f t="shared" si="7"/>
        <v>Отчет комиссионера о продажах</v>
      </c>
      <c r="B88" s="13">
        <f t="array" ref="B88">IFERROR(INDEX(CreditDAY[Credit Days Nominal],MATCH(M88&amp;Q88&amp;I88,CreditDAY[Customer]&amp;CreditDAY[Договор.Наименование]&amp;CreditDAY[Brand Temp],0)),0)</f>
        <v>45</v>
      </c>
      <c r="C88" s="10"/>
      <c r="D88" s="165">
        <f t="shared" si="8"/>
        <v>44377</v>
      </c>
      <c r="E88" s="16">
        <f t="shared" si="6"/>
        <v>44422.793587962966</v>
      </c>
      <c r="F88" s="23">
        <f t="shared" si="9"/>
        <v>30.20641203703417</v>
      </c>
      <c r="G88" s="27" t="str">
        <f t="array" ref="G88">IF(K88&lt;0,"Advance",INDEX('Days Ranges'!$C$4:$C$12,MATCH(1,($F88&gt;='Days Ranges'!$A$4:$A$12)*($F88&lt;'Days Ranges'!$B$4:$B$12),0)))</f>
        <v>31-45 days</v>
      </c>
      <c r="H88" s="27" t="str">
        <f t="array" ref="H88">IF(K88&lt;0,"Advance",INDEX('Days Ranges'!$D$4:$D$12,MATCH(1,($F88&gt;'Days Ranges'!$A$4:$A$12)*($F88&lt;'Days Ranges'!$B$4:$B$12),0)))</f>
        <v>Current</v>
      </c>
      <c r="I88" s="27" t="str">
        <f>IFERROR(IF(IFERROR(REPLACE(O88,FIND("ОПТ ",O88,1),4,""),O88)=0,VLOOKUP(MID(Q88,FIND(" ",Q88,1)+1,3),Brands!$B$2:$C$24,2,0),IFERROR(REPLACE(O88,FIND("ОПТ ",O88,1),4,""),O88)),"Check PLEASE")</f>
        <v>Сток Converse</v>
      </c>
      <c r="J88" s="27" t="str">
        <f>VLOOKUP(I88,Brands!$E$2:$F$21,2,0)</f>
        <v>Converse</v>
      </c>
      <c r="K88" s="23">
        <f t="shared" si="10"/>
        <v>92655.62</v>
      </c>
      <c r="L88" s="204" t="s">
        <v>1399</v>
      </c>
      <c r="M88" s="205" t="s">
        <v>277</v>
      </c>
      <c r="N88" s="204" t="s">
        <v>1400</v>
      </c>
      <c r="O88" s="205" t="s">
        <v>52</v>
      </c>
      <c r="P88" s="205"/>
      <c r="Q88" s="205" t="s">
        <v>278</v>
      </c>
      <c r="R88" s="87" t="s">
        <v>592</v>
      </c>
      <c r="S88" s="84"/>
      <c r="T88" s="84"/>
      <c r="U88" s="84"/>
      <c r="V88" s="84"/>
      <c r="W88" s="4" t="str">
        <f t="shared" si="11"/>
        <v>Positive</v>
      </c>
      <c r="X88" s="206">
        <v>92655.62</v>
      </c>
    </row>
    <row r="89" spans="1:24" ht="12" x14ac:dyDescent="0.2">
      <c r="A89" s="22" t="str">
        <f t="shared" si="7"/>
        <v>Отчет комиссионера о продажах</v>
      </c>
      <c r="B89" s="13">
        <f t="array" ref="B89">IFERROR(INDEX(CreditDAY[Credit Days Nominal],MATCH(M89&amp;Q89&amp;I89,CreditDAY[Customer]&amp;CreditDAY[Договор.Наименование]&amp;CreditDAY[Brand Temp],0)),0)</f>
        <v>45</v>
      </c>
      <c r="C89" s="10"/>
      <c r="D89" s="165">
        <f t="shared" si="8"/>
        <v>44377</v>
      </c>
      <c r="E89" s="16">
        <f t="shared" si="6"/>
        <v>44422.794791666667</v>
      </c>
      <c r="F89" s="23">
        <f t="shared" si="9"/>
        <v>30.205208333332848</v>
      </c>
      <c r="G89" s="27" t="str">
        <f t="array" ref="G89">IF(K89&lt;0,"Advance",INDEX('Days Ranges'!$C$4:$C$12,MATCH(1,($F89&gt;='Days Ranges'!$A$4:$A$12)*($F89&lt;'Days Ranges'!$B$4:$B$12),0)))</f>
        <v>31-45 days</v>
      </c>
      <c r="H89" s="27" t="str">
        <f t="array" ref="H89">IF(K89&lt;0,"Advance",INDEX('Days Ranges'!$D$4:$D$12,MATCH(1,($F89&gt;'Days Ranges'!$A$4:$A$12)*($F89&lt;'Days Ranges'!$B$4:$B$12),0)))</f>
        <v>Current</v>
      </c>
      <c r="I89" s="27" t="str">
        <f>IFERROR(IF(IFERROR(REPLACE(O89,FIND("ОПТ ",O89,1),4,""),O89)=0,VLOOKUP(MID(Q89,FIND(" ",Q89,1)+1,3),Brands!$B$2:$C$24,2,0),IFERROR(REPLACE(O89,FIND("ОПТ ",O89,1),4,""),O89)),"Check PLEASE")</f>
        <v>Сток Dr.Martens</v>
      </c>
      <c r="J89" s="27" t="str">
        <f>VLOOKUP(I89,Brands!$E$2:$F$21,2,0)</f>
        <v>Dr.Martens</v>
      </c>
      <c r="K89" s="23">
        <f t="shared" si="10"/>
        <v>12387</v>
      </c>
      <c r="L89" s="204" t="s">
        <v>1401</v>
      </c>
      <c r="M89" s="205" t="s">
        <v>277</v>
      </c>
      <c r="N89" s="204" t="s">
        <v>1402</v>
      </c>
      <c r="O89" s="205" t="s">
        <v>107</v>
      </c>
      <c r="P89" s="205"/>
      <c r="Q89" s="205" t="s">
        <v>278</v>
      </c>
      <c r="R89" s="87" t="s">
        <v>243</v>
      </c>
      <c r="S89" s="84"/>
      <c r="T89" s="84"/>
      <c r="U89" s="84"/>
      <c r="V89" s="84"/>
      <c r="W89" s="4" t="str">
        <f t="shared" si="11"/>
        <v>Positive</v>
      </c>
      <c r="X89" s="206">
        <v>12387</v>
      </c>
    </row>
    <row r="90" spans="1:24" ht="12" x14ac:dyDescent="0.2">
      <c r="A90" s="22" t="str">
        <f t="shared" si="7"/>
        <v>Отчет комиссионера о продажах</v>
      </c>
      <c r="B90" s="13">
        <f t="array" ref="B90">IFERROR(INDEX(CreditDAY[Credit Days Nominal],MATCH(M90&amp;Q90&amp;I90,CreditDAY[Customer]&amp;CreditDAY[Договор.Наименование]&amp;CreditDAY[Brand Temp],0)),0)</f>
        <v>45</v>
      </c>
      <c r="C90" s="10"/>
      <c r="D90" s="165">
        <f t="shared" si="8"/>
        <v>44377</v>
      </c>
      <c r="E90" s="16">
        <f t="shared" si="6"/>
        <v>44422.795451388891</v>
      </c>
      <c r="F90" s="23">
        <f t="shared" si="9"/>
        <v>30.204548611109203</v>
      </c>
      <c r="G90" s="27" t="str">
        <f t="array" ref="G90">IF(K90&lt;0,"Advance",INDEX('Days Ranges'!$C$4:$C$12,MATCH(1,($F90&gt;='Days Ranges'!$A$4:$A$12)*($F90&lt;'Days Ranges'!$B$4:$B$12),0)))</f>
        <v>31-45 days</v>
      </c>
      <c r="H90" s="27" t="str">
        <f t="array" ref="H90">IF(K90&lt;0,"Advance",INDEX('Days Ranges'!$D$4:$D$12,MATCH(1,($F90&gt;'Days Ranges'!$A$4:$A$12)*($F90&lt;'Days Ranges'!$B$4:$B$12),0)))</f>
        <v>Current</v>
      </c>
      <c r="I90" s="27" t="str">
        <f>IFERROR(IF(IFERROR(REPLACE(O90,FIND("ОПТ ",O90,1),4,""),O90)=0,VLOOKUP(MID(Q90,FIND(" ",Q90,1)+1,3),Brands!$B$2:$C$24,2,0),IFERROR(REPLACE(O90,FIND("ОПТ ",O90,1),4,""),O90)),"Check PLEASE")</f>
        <v>Сток Saucony</v>
      </c>
      <c r="J90" s="27" t="str">
        <f>VLOOKUP(I90,Brands!$E$2:$F$21,2,0)</f>
        <v>Saucony</v>
      </c>
      <c r="K90" s="23">
        <f t="shared" si="10"/>
        <v>496538.8</v>
      </c>
      <c r="L90" s="204" t="s">
        <v>1403</v>
      </c>
      <c r="M90" s="205" t="s">
        <v>277</v>
      </c>
      <c r="N90" s="204" t="s">
        <v>1404</v>
      </c>
      <c r="O90" s="205" t="s">
        <v>35</v>
      </c>
      <c r="P90" s="205"/>
      <c r="Q90" s="205" t="s">
        <v>278</v>
      </c>
      <c r="R90" s="87" t="s">
        <v>49</v>
      </c>
      <c r="S90" s="84"/>
      <c r="T90" s="84"/>
      <c r="U90" s="84"/>
      <c r="V90" s="84"/>
      <c r="W90" s="4" t="str">
        <f t="shared" si="11"/>
        <v>Positive</v>
      </c>
      <c r="X90" s="206">
        <v>496538.8</v>
      </c>
    </row>
    <row r="91" spans="1:24" ht="12" x14ac:dyDescent="0.2">
      <c r="A91" s="22" t="str">
        <f t="shared" si="7"/>
        <v>Отчет комиссионера о продажах</v>
      </c>
      <c r="B91" s="13">
        <f t="array" ref="B91">IFERROR(INDEX(CreditDAY[Credit Days Nominal],MATCH(M91&amp;Q91&amp;I91,CreditDAY[Customer]&amp;CreditDAY[Договор.Наименование]&amp;CreditDAY[Brand Temp],0)),0)</f>
        <v>45</v>
      </c>
      <c r="C91" s="10"/>
      <c r="D91" s="165">
        <f t="shared" si="8"/>
        <v>44377</v>
      </c>
      <c r="E91" s="16">
        <f t="shared" si="6"/>
        <v>44422.796134259261</v>
      </c>
      <c r="F91" s="23">
        <f t="shared" si="9"/>
        <v>30.203865740739275</v>
      </c>
      <c r="G91" s="27" t="str">
        <f t="array" ref="G91">IF(K91&lt;0,"Advance",INDEX('Days Ranges'!$C$4:$C$12,MATCH(1,($F91&gt;='Days Ranges'!$A$4:$A$12)*($F91&lt;'Days Ranges'!$B$4:$B$12),0)))</f>
        <v>31-45 days</v>
      </c>
      <c r="H91" s="27" t="str">
        <f t="array" ref="H91">IF(K91&lt;0,"Advance",INDEX('Days Ranges'!$D$4:$D$12,MATCH(1,($F91&gt;'Days Ranges'!$A$4:$A$12)*($F91&lt;'Days Ranges'!$B$4:$B$12),0)))</f>
        <v>Current</v>
      </c>
      <c r="I91" s="27" t="str">
        <f>IFERROR(IF(IFERROR(REPLACE(O91,FIND("ОПТ ",O91,1),4,""),O91)=0,VLOOKUP(MID(Q91,FIND(" ",Q91,1)+1,3),Brands!$B$2:$C$24,2,0),IFERROR(REPLACE(O91,FIND("ОПТ ",O91,1),4,""),O91)),"Check PLEASE")</f>
        <v>Сток UGG</v>
      </c>
      <c r="J91" s="27" t="str">
        <f>VLOOKUP(I91,Brands!$E$2:$F$21,2,0)</f>
        <v>UGG</v>
      </c>
      <c r="K91" s="23">
        <f t="shared" si="10"/>
        <v>187068</v>
      </c>
      <c r="L91" s="204" t="s">
        <v>1405</v>
      </c>
      <c r="M91" s="205" t="s">
        <v>277</v>
      </c>
      <c r="N91" s="204" t="s">
        <v>1406</v>
      </c>
      <c r="O91" s="205" t="s">
        <v>88</v>
      </c>
      <c r="P91" s="205"/>
      <c r="Q91" s="205" t="s">
        <v>278</v>
      </c>
      <c r="R91" s="87" t="s">
        <v>49</v>
      </c>
      <c r="S91" s="84"/>
      <c r="T91" s="84"/>
      <c r="U91" s="84"/>
      <c r="V91" s="84"/>
      <c r="W91" s="4" t="str">
        <f t="shared" si="11"/>
        <v>Positive</v>
      </c>
      <c r="X91" s="206">
        <v>187068</v>
      </c>
    </row>
    <row r="92" spans="1:24" ht="12" x14ac:dyDescent="0.2">
      <c r="A92" s="22" t="str">
        <f t="shared" si="7"/>
        <v>Реализация товаров и услуг</v>
      </c>
      <c r="B92" s="13">
        <f t="array" ref="B92">IFERROR(INDEX(CreditDAY[Credit Days Nominal],MATCH(M92&amp;Q92&amp;I92,CreditDAY[Customer]&amp;CreditDAY[Договор.Наименование]&amp;CreditDAY[Brand Temp],0)),0)</f>
        <v>95</v>
      </c>
      <c r="C92" s="10"/>
      <c r="D92" s="165">
        <f t="shared" si="8"/>
        <v>44378</v>
      </c>
      <c r="E92" s="16">
        <f t="shared" si="6"/>
        <v>44473.523344907408</v>
      </c>
      <c r="F92" s="23">
        <f t="shared" si="9"/>
        <v>-20.523344907407591</v>
      </c>
      <c r="G92" s="27" t="str">
        <f t="array" ref="G92">IF(K92&lt;0,"Advance",INDEX('Days Ranges'!$C$4:$C$12,MATCH(1,($F92&gt;='Days Ranges'!$A$4:$A$12)*($F92&lt;'Days Ranges'!$B$4:$B$12),0)))</f>
        <v>Current</v>
      </c>
      <c r="H92" s="27" t="str">
        <f t="array" ref="H92">IF(K92&lt;0,"Advance",INDEX('Days Ranges'!$D$4:$D$12,MATCH(1,($F92&gt;'Days Ranges'!$A$4:$A$12)*($F92&lt;'Days Ranges'!$B$4:$B$12),0)))</f>
        <v>Current</v>
      </c>
      <c r="I92" s="27" t="str">
        <f>IFERROR(IF(IFERROR(REPLACE(O92,FIND("ОПТ ",O92,1),4,""),O92)=0,VLOOKUP(MID(Q92,FIND(" ",Q92,1)+1,3),Brands!$B$2:$C$24,2,0),IFERROR(REPLACE(O92,FIND("ОПТ ",O92,1),4,""),O92)),"Check PLEASE")</f>
        <v>Сток Converse</v>
      </c>
      <c r="J92" s="27" t="str">
        <f>VLOOKUP(I92,Brands!$E$2:$F$21,2,0)</f>
        <v>Converse</v>
      </c>
      <c r="K92" s="23">
        <f t="shared" si="10"/>
        <v>334305</v>
      </c>
      <c r="L92" s="204" t="s">
        <v>1407</v>
      </c>
      <c r="M92" s="205" t="s">
        <v>185</v>
      </c>
      <c r="N92" s="204" t="s">
        <v>1408</v>
      </c>
      <c r="O92" s="205" t="s">
        <v>52</v>
      </c>
      <c r="P92" s="205" t="s">
        <v>28</v>
      </c>
      <c r="Q92" s="205" t="s">
        <v>186</v>
      </c>
      <c r="R92" s="87" t="s">
        <v>101</v>
      </c>
      <c r="S92" s="84"/>
      <c r="T92" s="84"/>
      <c r="U92" s="84"/>
      <c r="V92" s="84"/>
      <c r="W92" s="4" t="str">
        <f t="shared" si="11"/>
        <v>Positive</v>
      </c>
      <c r="X92" s="206">
        <v>334305</v>
      </c>
    </row>
    <row r="93" spans="1:24" ht="12" x14ac:dyDescent="0.2">
      <c r="A93" s="10" t="str">
        <f t="shared" si="7"/>
        <v>Реализация товаров и услуг</v>
      </c>
      <c r="B93" s="13">
        <f t="array" ref="B93">IFERROR(INDEX(CreditDAY[Credit Days Nominal],MATCH(M93&amp;Q93&amp;I93,CreditDAY[Customer]&amp;CreditDAY[Договор.Наименование]&amp;CreditDAY[Brand Temp],0)),0)</f>
        <v>95</v>
      </c>
      <c r="C93" s="10"/>
      <c r="D93" s="165">
        <f t="shared" si="8"/>
        <v>44378</v>
      </c>
      <c r="E93" s="16">
        <f t="shared" si="6"/>
        <v>44473.532835648148</v>
      </c>
      <c r="F93" s="23">
        <f t="shared" si="9"/>
        <v>-20.532835648147739</v>
      </c>
      <c r="G93" s="27" t="str">
        <f t="array" ref="G93">IF(K93&lt;0,"Advance",INDEX('Days Ranges'!$C$4:$C$12,MATCH(1,($F93&gt;='Days Ranges'!$A$4:$A$12)*($F93&lt;'Days Ranges'!$B$4:$B$12),0)))</f>
        <v>Current</v>
      </c>
      <c r="H93" s="27" t="str">
        <f t="array" ref="H93">IF(K93&lt;0,"Advance",INDEX('Days Ranges'!$D$4:$D$12,MATCH(1,($F93&gt;'Days Ranges'!$A$4:$A$12)*($F93&lt;'Days Ranges'!$B$4:$B$12),0)))</f>
        <v>Current</v>
      </c>
      <c r="I93" s="27" t="str">
        <f>IFERROR(IF(IFERROR(REPLACE(O93,FIND("ОПТ ",O93,1),4,""),O93)=0,VLOOKUP(MID(Q93,FIND(" ",Q93,1)+1,3),Brands!$B$2:$C$24,2,0),IFERROR(REPLACE(O93,FIND("ОПТ ",O93,1),4,""),O93)),"Check PLEASE")</f>
        <v>Сток Converse</v>
      </c>
      <c r="J93" s="27" t="str">
        <f>VLOOKUP(I93,Brands!$E$2:$F$21,2,0)</f>
        <v>Converse</v>
      </c>
      <c r="K93" s="23">
        <f t="shared" si="10"/>
        <v>15505</v>
      </c>
      <c r="L93" s="204" t="s">
        <v>1409</v>
      </c>
      <c r="M93" s="205" t="s">
        <v>185</v>
      </c>
      <c r="N93" s="204" t="s">
        <v>1410</v>
      </c>
      <c r="O93" s="205" t="s">
        <v>52</v>
      </c>
      <c r="P93" s="205" t="s">
        <v>28</v>
      </c>
      <c r="Q93" s="205" t="s">
        <v>186</v>
      </c>
      <c r="R93" s="87" t="s">
        <v>101</v>
      </c>
      <c r="S93" s="84"/>
      <c r="T93" s="84"/>
      <c r="U93" s="84"/>
      <c r="V93" s="84"/>
      <c r="W93" s="4" t="str">
        <f t="shared" si="11"/>
        <v>Positive</v>
      </c>
      <c r="X93" s="206">
        <v>15505</v>
      </c>
    </row>
    <row r="94" spans="1:24" ht="12" x14ac:dyDescent="0.2">
      <c r="A94" s="22" t="str">
        <f t="shared" si="7"/>
        <v>Реализация товаров и услуг</v>
      </c>
      <c r="B94" s="13">
        <f t="array" ref="B94">IFERROR(INDEX(CreditDAY[Credit Days Nominal],MATCH(M94&amp;Q94&amp;I94,CreditDAY[Customer]&amp;CreditDAY[Договор.Наименование]&amp;CreditDAY[Brand Temp],0)),0)</f>
        <v>95</v>
      </c>
      <c r="C94" s="10"/>
      <c r="D94" s="165">
        <f t="shared" si="8"/>
        <v>44378</v>
      </c>
      <c r="E94" s="16">
        <f t="shared" si="6"/>
        <v>44473.550405092596</v>
      </c>
      <c r="F94" s="23">
        <f t="shared" si="9"/>
        <v>-20.550405092595611</v>
      </c>
      <c r="G94" s="27" t="str">
        <f t="array" ref="G94">IF(K94&lt;0,"Advance",INDEX('Days Ranges'!$C$4:$C$12,MATCH(1,($F94&gt;='Days Ranges'!$A$4:$A$12)*($F94&lt;'Days Ranges'!$B$4:$B$12),0)))</f>
        <v>Current</v>
      </c>
      <c r="H94" s="27" t="str">
        <f t="array" ref="H94">IF(K94&lt;0,"Advance",INDEX('Days Ranges'!$D$4:$D$12,MATCH(1,($F94&gt;'Days Ranges'!$A$4:$A$12)*($F94&lt;'Days Ranges'!$B$4:$B$12),0)))</f>
        <v>Current</v>
      </c>
      <c r="I94" s="27" t="str">
        <f>IFERROR(IF(IFERROR(REPLACE(O94,FIND("ОПТ ",O94,1),4,""),O94)=0,VLOOKUP(MID(Q94,FIND(" ",Q94,1)+1,3),Brands!$B$2:$C$24,2,0),IFERROR(REPLACE(O94,FIND("ОПТ ",O94,1),4,""),O94)),"Check PLEASE")</f>
        <v>Сток Converse</v>
      </c>
      <c r="J94" s="27" t="str">
        <f>VLOOKUP(I94,Brands!$E$2:$F$21,2,0)</f>
        <v>Converse</v>
      </c>
      <c r="K94" s="23">
        <f t="shared" si="10"/>
        <v>36225</v>
      </c>
      <c r="L94" s="204" t="s">
        <v>1411</v>
      </c>
      <c r="M94" s="205" t="s">
        <v>185</v>
      </c>
      <c r="N94" s="204" t="s">
        <v>1412</v>
      </c>
      <c r="O94" s="205" t="s">
        <v>52</v>
      </c>
      <c r="P94" s="205" t="s">
        <v>28</v>
      </c>
      <c r="Q94" s="205" t="s">
        <v>186</v>
      </c>
      <c r="R94" s="87" t="s">
        <v>186</v>
      </c>
      <c r="S94" s="84"/>
      <c r="T94" s="84"/>
      <c r="U94" s="84"/>
      <c r="V94" s="84"/>
      <c r="W94" s="4" t="str">
        <f t="shared" si="11"/>
        <v>Positive</v>
      </c>
      <c r="X94" s="206">
        <v>36225</v>
      </c>
    </row>
    <row r="95" spans="1:24" ht="12" x14ac:dyDescent="0.2">
      <c r="A95" s="22" t="str">
        <f t="shared" si="7"/>
        <v>Реализация товаров и услуг</v>
      </c>
      <c r="B95" s="13">
        <f t="array" ref="B95">IFERROR(INDEX(CreditDAY[Credit Days Nominal],MATCH(M95&amp;Q95&amp;I95,CreditDAY[Customer]&amp;CreditDAY[Договор.Наименование]&amp;CreditDAY[Brand Temp],0)),0)</f>
        <v>95</v>
      </c>
      <c r="C95" s="10"/>
      <c r="D95" s="165">
        <f t="shared" si="8"/>
        <v>44378</v>
      </c>
      <c r="E95" s="16">
        <f t="shared" si="6"/>
        <v>44473.553819444445</v>
      </c>
      <c r="F95" s="23">
        <f t="shared" si="9"/>
        <v>-20.553819444445253</v>
      </c>
      <c r="G95" s="27" t="str">
        <f t="array" ref="G95">IF(K95&lt;0,"Advance",INDEX('Days Ranges'!$C$4:$C$12,MATCH(1,($F95&gt;='Days Ranges'!$A$4:$A$12)*($F95&lt;'Days Ranges'!$B$4:$B$12),0)))</f>
        <v>Current</v>
      </c>
      <c r="H95" s="27" t="str">
        <f t="array" ref="H95">IF(K95&lt;0,"Advance",INDEX('Days Ranges'!$D$4:$D$12,MATCH(1,($F95&gt;'Days Ranges'!$A$4:$A$12)*($F95&lt;'Days Ranges'!$B$4:$B$12),0)))</f>
        <v>Current</v>
      </c>
      <c r="I95" s="27" t="str">
        <f>IFERROR(IF(IFERROR(REPLACE(O95,FIND("ОПТ ",O95,1),4,""),O95)=0,VLOOKUP(MID(Q95,FIND(" ",Q95,1)+1,3),Brands!$B$2:$C$24,2,0),IFERROR(REPLACE(O95,FIND("ОПТ ",O95,1),4,""),O95)),"Check PLEASE")</f>
        <v>UGG</v>
      </c>
      <c r="J95" s="27" t="str">
        <f>VLOOKUP(I95,Brands!$E$2:$F$21,2,0)</f>
        <v>UGG</v>
      </c>
      <c r="K95" s="23">
        <f t="shared" si="10"/>
        <v>68200</v>
      </c>
      <c r="L95" s="204" t="s">
        <v>1413</v>
      </c>
      <c r="M95" s="205" t="s">
        <v>185</v>
      </c>
      <c r="N95" s="204" t="s">
        <v>1414</v>
      </c>
      <c r="O95" s="205" t="s">
        <v>56</v>
      </c>
      <c r="P95" s="205" t="s">
        <v>28</v>
      </c>
      <c r="Q95" s="205" t="s">
        <v>186</v>
      </c>
      <c r="R95" s="87" t="s">
        <v>186</v>
      </c>
      <c r="S95" s="84"/>
      <c r="T95" s="84"/>
      <c r="U95" s="84"/>
      <c r="V95" s="84"/>
      <c r="W95" s="4" t="str">
        <f t="shared" si="11"/>
        <v>Positive</v>
      </c>
      <c r="X95" s="206">
        <v>68200</v>
      </c>
    </row>
    <row r="96" spans="1:24" ht="12" x14ac:dyDescent="0.2">
      <c r="A96" s="22" t="str">
        <f t="shared" si="7"/>
        <v>Реализация товаров и услуг</v>
      </c>
      <c r="B96" s="13">
        <f t="array" ref="B96">IFERROR(INDEX(CreditDAY[Credit Days Nominal],MATCH(M96&amp;Q96&amp;I96,CreditDAY[Customer]&amp;CreditDAY[Договор.Наименование]&amp;CreditDAY[Brand Temp],0)),0)</f>
        <v>95</v>
      </c>
      <c r="C96" s="10"/>
      <c r="D96" s="165">
        <f t="shared" si="8"/>
        <v>44378</v>
      </c>
      <c r="E96" s="16">
        <f t="shared" si="6"/>
        <v>44473.560115740744</v>
      </c>
      <c r="F96" s="23">
        <f t="shared" si="9"/>
        <v>-20.56011574074364</v>
      </c>
      <c r="G96" s="27" t="str">
        <f t="array" ref="G96">IF(K96&lt;0,"Advance",INDEX('Days Ranges'!$C$4:$C$12,MATCH(1,($F96&gt;='Days Ranges'!$A$4:$A$12)*($F96&lt;'Days Ranges'!$B$4:$B$12),0)))</f>
        <v>Current</v>
      </c>
      <c r="H96" s="27" t="str">
        <f t="array" ref="H96">IF(K96&lt;0,"Advance",INDEX('Days Ranges'!$D$4:$D$12,MATCH(1,($F96&gt;'Days Ranges'!$A$4:$A$12)*($F96&lt;'Days Ranges'!$B$4:$B$12),0)))</f>
        <v>Current</v>
      </c>
      <c r="I96" s="27" t="str">
        <f>IFERROR(IF(IFERROR(REPLACE(O96,FIND("ОПТ ",O96,1),4,""),O96)=0,VLOOKUP(MID(Q96,FIND(" ",Q96,1)+1,3),Brands!$B$2:$C$24,2,0),IFERROR(REPLACE(O96,FIND("ОПТ ",O96,1),4,""),O96)),"Check PLEASE")</f>
        <v>Сток Converse</v>
      </c>
      <c r="J96" s="27" t="str">
        <f>VLOOKUP(I96,Brands!$E$2:$F$21,2,0)</f>
        <v>Converse</v>
      </c>
      <c r="K96" s="23">
        <f t="shared" si="10"/>
        <v>2478195</v>
      </c>
      <c r="L96" s="204" t="s">
        <v>1415</v>
      </c>
      <c r="M96" s="205" t="s">
        <v>285</v>
      </c>
      <c r="N96" s="204" t="s">
        <v>1416</v>
      </c>
      <c r="O96" s="205" t="s">
        <v>52</v>
      </c>
      <c r="P96" s="205" t="s">
        <v>28</v>
      </c>
      <c r="Q96" s="205" t="s">
        <v>288</v>
      </c>
      <c r="R96" s="87" t="s">
        <v>186</v>
      </c>
      <c r="S96" s="84"/>
      <c r="T96" s="84"/>
      <c r="U96" s="84"/>
      <c r="V96" s="84"/>
      <c r="W96" s="4" t="str">
        <f t="shared" si="11"/>
        <v>Positive</v>
      </c>
      <c r="X96" s="206">
        <v>2478195</v>
      </c>
    </row>
    <row r="97" spans="1:24" ht="12" x14ac:dyDescent="0.2">
      <c r="A97" s="22" t="str">
        <f t="shared" si="7"/>
        <v>Реализация товаров и услуг</v>
      </c>
      <c r="B97" s="13">
        <f t="array" ref="B97">IFERROR(INDEX(CreditDAY[Credit Days Nominal],MATCH(M97&amp;Q97&amp;I97,CreditDAY[Customer]&amp;CreditDAY[Договор.Наименование]&amp;CreditDAY[Brand Temp],0)),0)</f>
        <v>95</v>
      </c>
      <c r="C97" s="10"/>
      <c r="D97" s="165">
        <f t="shared" si="8"/>
        <v>44378</v>
      </c>
      <c r="E97" s="16">
        <f t="shared" si="6"/>
        <v>44473.585185185184</v>
      </c>
      <c r="F97" s="23">
        <f t="shared" si="9"/>
        <v>-20.585185185183946</v>
      </c>
      <c r="G97" s="27" t="str">
        <f t="array" ref="G97">IF(K97&lt;0,"Advance",INDEX('Days Ranges'!$C$4:$C$12,MATCH(1,($F97&gt;='Days Ranges'!$A$4:$A$12)*($F97&lt;'Days Ranges'!$B$4:$B$12),0)))</f>
        <v>Current</v>
      </c>
      <c r="H97" s="27" t="str">
        <f t="array" ref="H97">IF(K97&lt;0,"Advance",INDEX('Days Ranges'!$D$4:$D$12,MATCH(1,($F97&gt;'Days Ranges'!$A$4:$A$12)*($F97&lt;'Days Ranges'!$B$4:$B$12),0)))</f>
        <v>Current</v>
      </c>
      <c r="I97" s="27" t="str">
        <f>IFERROR(IF(IFERROR(REPLACE(O97,FIND("ОПТ ",O97,1),4,""),O97)=0,VLOOKUP(MID(Q97,FIND(" ",Q97,1)+1,3),Brands!$B$2:$C$24,2,0),IFERROR(REPLACE(O97,FIND("ОПТ ",O97,1),4,""),O97)),"Check PLEASE")</f>
        <v>Сток Converse</v>
      </c>
      <c r="J97" s="27" t="str">
        <f>VLOOKUP(I97,Brands!$E$2:$F$21,2,0)</f>
        <v>Converse</v>
      </c>
      <c r="K97" s="23">
        <f t="shared" si="10"/>
        <v>275220</v>
      </c>
      <c r="L97" s="204" t="s">
        <v>1417</v>
      </c>
      <c r="M97" s="205" t="s">
        <v>185</v>
      </c>
      <c r="N97" s="204" t="s">
        <v>1418</v>
      </c>
      <c r="O97" s="205" t="s">
        <v>52</v>
      </c>
      <c r="P97" s="205" t="s">
        <v>28</v>
      </c>
      <c r="Q97" s="205" t="s">
        <v>186</v>
      </c>
      <c r="R97" s="87" t="s">
        <v>186</v>
      </c>
      <c r="S97" s="84"/>
      <c r="T97" s="84"/>
      <c r="U97" s="84"/>
      <c r="V97" s="84"/>
      <c r="W97" s="4" t="str">
        <f t="shared" si="11"/>
        <v>Positive</v>
      </c>
      <c r="X97" s="206">
        <v>275220</v>
      </c>
    </row>
    <row r="98" spans="1:24" ht="12" x14ac:dyDescent="0.2">
      <c r="A98" s="10" t="str">
        <f t="shared" si="7"/>
        <v>Реализация товаров и услуг</v>
      </c>
      <c r="B98" s="13">
        <f t="array" ref="B98">IFERROR(INDEX(CreditDAY[Credit Days Nominal],MATCH(M98&amp;Q98&amp;I98,CreditDAY[Customer]&amp;CreditDAY[Договор.Наименование]&amp;CreditDAY[Brand Temp],0)),0)</f>
        <v>95</v>
      </c>
      <c r="C98" s="10"/>
      <c r="D98" s="165">
        <f t="shared" si="8"/>
        <v>44378</v>
      </c>
      <c r="E98" s="16">
        <f t="shared" si="6"/>
        <v>44473.609780092593</v>
      </c>
      <c r="F98" s="23">
        <f t="shared" si="9"/>
        <v>-20.6097800925927</v>
      </c>
      <c r="G98" s="27" t="str">
        <f t="array" ref="G98">IF(K98&lt;0,"Advance",INDEX('Days Ranges'!$C$4:$C$12,MATCH(1,($F98&gt;='Days Ranges'!$A$4:$A$12)*($F98&lt;'Days Ranges'!$B$4:$B$12),0)))</f>
        <v>Current</v>
      </c>
      <c r="H98" s="27" t="str">
        <f t="array" ref="H98">IF(K98&lt;0,"Advance",INDEX('Days Ranges'!$D$4:$D$12,MATCH(1,($F98&gt;'Days Ranges'!$A$4:$A$12)*($F98&lt;'Days Ranges'!$B$4:$B$12),0)))</f>
        <v>Current</v>
      </c>
      <c r="I98" s="27" t="str">
        <f>IFERROR(IF(IFERROR(REPLACE(O98,FIND("ОПТ ",O98,1),4,""),O98)=0,VLOOKUP(MID(Q98,FIND(" ",Q98,1)+1,3),Brands!$B$2:$C$24,2,0),IFERROR(REPLACE(O98,FIND("ОПТ ",O98,1),4,""),O98)),"Check PLEASE")</f>
        <v>Dr.Martens</v>
      </c>
      <c r="J98" s="27" t="str">
        <f>VLOOKUP(I98,Brands!$E$2:$F$21,2,0)</f>
        <v>Dr.Martens</v>
      </c>
      <c r="K98" s="23">
        <f t="shared" si="10"/>
        <v>10320</v>
      </c>
      <c r="L98" s="204" t="s">
        <v>1419</v>
      </c>
      <c r="M98" s="205" t="s">
        <v>185</v>
      </c>
      <c r="N98" s="204" t="s">
        <v>1420</v>
      </c>
      <c r="O98" s="205" t="s">
        <v>102</v>
      </c>
      <c r="P98" s="205" t="s">
        <v>28</v>
      </c>
      <c r="Q98" s="205" t="s">
        <v>186</v>
      </c>
      <c r="R98" s="87" t="s">
        <v>186</v>
      </c>
      <c r="S98" s="84"/>
      <c r="T98" s="84"/>
      <c r="U98" s="84"/>
      <c r="V98" s="84"/>
      <c r="W98" s="4" t="str">
        <f t="shared" si="11"/>
        <v>Positive</v>
      </c>
      <c r="X98" s="206">
        <v>10320</v>
      </c>
    </row>
    <row r="99" spans="1:24" ht="12" x14ac:dyDescent="0.2">
      <c r="A99" s="22" t="str">
        <f t="shared" si="7"/>
        <v>Реализация товаров и услуг</v>
      </c>
      <c r="B99" s="13">
        <f t="array" ref="B99">IFERROR(INDEX(CreditDAY[Credit Days Nominal],MATCH(M99&amp;Q99&amp;I99,CreditDAY[Customer]&amp;CreditDAY[Договор.Наименование]&amp;CreditDAY[Brand Temp],0)),0)</f>
        <v>95</v>
      </c>
      <c r="C99" s="10"/>
      <c r="D99" s="165">
        <f t="shared" si="8"/>
        <v>44378</v>
      </c>
      <c r="E99" s="16">
        <f t="shared" si="6"/>
        <v>44473.611631944441</v>
      </c>
      <c r="F99" s="23">
        <f t="shared" si="9"/>
        <v>-20.611631944440887</v>
      </c>
      <c r="G99" s="27" t="str">
        <f t="array" ref="G99">IF(K99&lt;0,"Advance",INDEX('Days Ranges'!$C$4:$C$12,MATCH(1,($F99&gt;='Days Ranges'!$A$4:$A$12)*($F99&lt;'Days Ranges'!$B$4:$B$12),0)))</f>
        <v>Current</v>
      </c>
      <c r="H99" s="27" t="str">
        <f t="array" ref="H99">IF(K99&lt;0,"Advance",INDEX('Days Ranges'!$D$4:$D$12,MATCH(1,($F99&gt;'Days Ranges'!$A$4:$A$12)*($F99&lt;'Days Ranges'!$B$4:$B$12),0)))</f>
        <v>Current</v>
      </c>
      <c r="I99" s="27" t="str">
        <f>IFERROR(IF(IFERROR(REPLACE(O99,FIND("ОПТ ",O99,1),4,""),O99)=0,VLOOKUP(MID(Q99,FIND(" ",Q99,1)+1,3),Brands!$B$2:$C$24,2,0),IFERROR(REPLACE(O99,FIND("ОПТ ",O99,1),4,""),O99)),"Check PLEASE")</f>
        <v>Saucony</v>
      </c>
      <c r="J99" s="27" t="str">
        <f>VLOOKUP(I99,Brands!$E$2:$F$21,2,0)</f>
        <v>Saucony</v>
      </c>
      <c r="K99" s="23">
        <f t="shared" si="10"/>
        <v>9360</v>
      </c>
      <c r="L99" s="204" t="s">
        <v>1421</v>
      </c>
      <c r="M99" s="205" t="s">
        <v>185</v>
      </c>
      <c r="N99" s="204" t="s">
        <v>1422</v>
      </c>
      <c r="O99" s="205" t="s">
        <v>76</v>
      </c>
      <c r="P99" s="205" t="s">
        <v>28</v>
      </c>
      <c r="Q99" s="205" t="s">
        <v>186</v>
      </c>
      <c r="R99" s="87" t="s">
        <v>186</v>
      </c>
      <c r="S99" s="84"/>
      <c r="T99" s="84"/>
      <c r="U99" s="84"/>
      <c r="V99" s="84"/>
      <c r="W99" s="4" t="str">
        <f t="shared" si="11"/>
        <v>Positive</v>
      </c>
      <c r="X99" s="206">
        <v>9360</v>
      </c>
    </row>
    <row r="100" spans="1:24" ht="12" x14ac:dyDescent="0.2">
      <c r="A100" s="22" t="str">
        <f t="shared" si="7"/>
        <v>Реализация товаров и услуг</v>
      </c>
      <c r="B100" s="13">
        <f t="array" ref="B100">IFERROR(INDEX(CreditDAY[Credit Days Nominal],MATCH(M100&amp;Q100&amp;I100,CreditDAY[Customer]&amp;CreditDAY[Договор.Наименование]&amp;CreditDAY[Brand Temp],0)),0)</f>
        <v>95</v>
      </c>
      <c r="C100" s="10"/>
      <c r="D100" s="165">
        <f t="shared" si="8"/>
        <v>44378</v>
      </c>
      <c r="E100" s="16">
        <f t="shared" si="6"/>
        <v>44473.648576388892</v>
      </c>
      <c r="F100" s="23">
        <f t="shared" si="9"/>
        <v>-20.648576388892252</v>
      </c>
      <c r="G100" s="27" t="str">
        <f t="array" ref="G100">IF(K100&lt;0,"Advance",INDEX('Days Ranges'!$C$4:$C$12,MATCH(1,($F100&gt;='Days Ranges'!$A$4:$A$12)*($F100&lt;'Days Ranges'!$B$4:$B$12),0)))</f>
        <v>Current</v>
      </c>
      <c r="H100" s="27" t="str">
        <f t="array" ref="H100">IF(K100&lt;0,"Advance",INDEX('Days Ranges'!$D$4:$D$12,MATCH(1,($F100&gt;'Days Ranges'!$A$4:$A$12)*($F100&lt;'Days Ranges'!$B$4:$B$12),0)))</f>
        <v>Current</v>
      </c>
      <c r="I100" s="27" t="str">
        <f>IFERROR(IF(IFERROR(REPLACE(O100,FIND("ОПТ ",O100,1),4,""),O100)=0,VLOOKUP(MID(Q100,FIND(" ",Q100,1)+1,3),Brands!$B$2:$C$24,2,0),IFERROR(REPLACE(O100,FIND("ОПТ ",O100,1),4,""),O100)),"Check PLEASE")</f>
        <v>Saucony</v>
      </c>
      <c r="J100" s="27" t="str">
        <f>VLOOKUP(I100,Brands!$E$2:$F$21,2,0)</f>
        <v>Saucony</v>
      </c>
      <c r="K100" s="23">
        <f t="shared" si="10"/>
        <v>34080</v>
      </c>
      <c r="L100" s="204" t="s">
        <v>1423</v>
      </c>
      <c r="M100" s="205" t="s">
        <v>185</v>
      </c>
      <c r="N100" s="204" t="s">
        <v>1424</v>
      </c>
      <c r="O100" s="205" t="s">
        <v>76</v>
      </c>
      <c r="P100" s="205" t="s">
        <v>28</v>
      </c>
      <c r="Q100" s="205" t="s">
        <v>186</v>
      </c>
      <c r="R100" s="87" t="s">
        <v>186</v>
      </c>
      <c r="S100" s="84"/>
      <c r="T100" s="84"/>
      <c r="U100" s="84"/>
      <c r="V100" s="84"/>
      <c r="W100" s="4" t="str">
        <f t="shared" si="11"/>
        <v>Positive</v>
      </c>
      <c r="X100" s="206">
        <v>34080</v>
      </c>
    </row>
    <row r="101" spans="1:24" ht="12" x14ac:dyDescent="0.2">
      <c r="A101" s="22" t="str">
        <f t="shared" si="7"/>
        <v>Реализация товаров и услуг</v>
      </c>
      <c r="B101" s="13">
        <f t="array" ref="B101">IFERROR(INDEX(CreditDAY[Credit Days Nominal],MATCH(M101&amp;Q101&amp;I101,CreditDAY[Customer]&amp;CreditDAY[Договор.Наименование]&amp;CreditDAY[Brand Temp],0)),0)</f>
        <v>95</v>
      </c>
      <c r="C101" s="10"/>
      <c r="D101" s="165">
        <f t="shared" si="8"/>
        <v>44378</v>
      </c>
      <c r="E101" s="16">
        <f t="shared" si="6"/>
        <v>44473.721921296295</v>
      </c>
      <c r="F101" s="23">
        <f t="shared" si="9"/>
        <v>-20.721921296295477</v>
      </c>
      <c r="G101" s="27" t="str">
        <f t="array" ref="G101">IF(K101&lt;0,"Advance",INDEX('Days Ranges'!$C$4:$C$12,MATCH(1,($F101&gt;='Days Ranges'!$A$4:$A$12)*($F101&lt;'Days Ranges'!$B$4:$B$12),0)))</f>
        <v>Current</v>
      </c>
      <c r="H101" s="27" t="str">
        <f t="array" ref="H101">IF(K101&lt;0,"Advance",INDEX('Days Ranges'!$D$4:$D$12,MATCH(1,($F101&gt;'Days Ranges'!$A$4:$A$12)*($F101&lt;'Days Ranges'!$B$4:$B$12),0)))</f>
        <v>Current</v>
      </c>
      <c r="I101" s="27" t="str">
        <f>IFERROR(IF(IFERROR(REPLACE(O101,FIND("ОПТ ",O101,1),4,""),O101)=0,VLOOKUP(MID(Q101,FIND(" ",Q101,1)+1,3),Brands!$B$2:$C$24,2,0),IFERROR(REPLACE(O101,FIND("ОПТ ",O101,1),4,""),O101)),"Check PLEASE")</f>
        <v>Сток Dr.Martens</v>
      </c>
      <c r="J101" s="27" t="str">
        <f>VLOOKUP(I101,Brands!$E$2:$F$21,2,0)</f>
        <v>Dr.Martens</v>
      </c>
      <c r="K101" s="23">
        <f t="shared" si="10"/>
        <v>44520</v>
      </c>
      <c r="L101" s="204" t="s">
        <v>1425</v>
      </c>
      <c r="M101" s="205" t="s">
        <v>185</v>
      </c>
      <c r="N101" s="204" t="s">
        <v>1426</v>
      </c>
      <c r="O101" s="205" t="s">
        <v>107</v>
      </c>
      <c r="P101" s="205" t="s">
        <v>28</v>
      </c>
      <c r="Q101" s="205" t="s">
        <v>186</v>
      </c>
      <c r="R101" s="87" t="s">
        <v>186</v>
      </c>
      <c r="S101" s="84"/>
      <c r="T101" s="84"/>
      <c r="U101" s="84"/>
      <c r="V101" s="84"/>
      <c r="W101" s="4" t="str">
        <f t="shared" si="11"/>
        <v>Positive</v>
      </c>
      <c r="X101" s="206">
        <v>44520</v>
      </c>
    </row>
    <row r="102" spans="1:24" ht="12" x14ac:dyDescent="0.2">
      <c r="A102" s="22" t="str">
        <f t="shared" si="7"/>
        <v>Реализация товаров и услуг</v>
      </c>
      <c r="B102" s="13">
        <f t="array" ref="B102">IFERROR(INDEX(CreditDAY[Credit Days Nominal],MATCH(M102&amp;Q102&amp;I102,CreditDAY[Customer]&amp;CreditDAY[Договор.Наименование]&amp;CreditDAY[Brand Temp],0)),0)</f>
        <v>95</v>
      </c>
      <c r="C102" s="10"/>
      <c r="D102" s="165">
        <f t="shared" si="8"/>
        <v>44385</v>
      </c>
      <c r="E102" s="16">
        <f t="shared" si="6"/>
        <v>44480.576018518521</v>
      </c>
      <c r="F102" s="23">
        <f t="shared" si="9"/>
        <v>-27.576018518520868</v>
      </c>
      <c r="G102" s="27" t="str">
        <f t="array" ref="G102">IF(K102&lt;0,"Advance",INDEX('Days Ranges'!$C$4:$C$12,MATCH(1,($F102&gt;='Days Ranges'!$A$4:$A$12)*($F102&lt;'Days Ranges'!$B$4:$B$12),0)))</f>
        <v>Current</v>
      </c>
      <c r="H102" s="27" t="str">
        <f t="array" ref="H102">IF(K102&lt;0,"Advance",INDEX('Days Ranges'!$D$4:$D$12,MATCH(1,($F102&gt;'Days Ranges'!$A$4:$A$12)*($F102&lt;'Days Ranges'!$B$4:$B$12),0)))</f>
        <v>Current</v>
      </c>
      <c r="I102" s="27" t="str">
        <f>IFERROR(IF(IFERROR(REPLACE(O102,FIND("ОПТ ",O102,1),4,""),O102)=0,VLOOKUP(MID(Q102,FIND(" ",Q102,1)+1,3),Brands!$B$2:$C$24,2,0),IFERROR(REPLACE(O102,FIND("ОПТ ",O102,1),4,""),O102)),"Check PLEASE")</f>
        <v>Converse</v>
      </c>
      <c r="J102" s="27" t="str">
        <f>VLOOKUP(I102,Brands!$E$2:$F$21,2,0)</f>
        <v>Converse</v>
      </c>
      <c r="K102" s="23">
        <f t="shared" si="10"/>
        <v>162378</v>
      </c>
      <c r="L102" s="204" t="s">
        <v>1440</v>
      </c>
      <c r="M102" s="205" t="s">
        <v>69</v>
      </c>
      <c r="N102" s="204" t="s">
        <v>1441</v>
      </c>
      <c r="O102" s="205" t="s">
        <v>20</v>
      </c>
      <c r="P102" s="205" t="s">
        <v>28</v>
      </c>
      <c r="Q102" s="205" t="s">
        <v>74</v>
      </c>
      <c r="R102" s="87" t="s">
        <v>186</v>
      </c>
      <c r="S102" s="84"/>
      <c r="T102" s="84"/>
      <c r="U102" s="84"/>
      <c r="V102" s="84"/>
      <c r="W102" s="4" t="str">
        <f t="shared" si="11"/>
        <v>Positive</v>
      </c>
      <c r="X102" s="206">
        <v>162378</v>
      </c>
    </row>
    <row r="103" spans="1:24" ht="12" x14ac:dyDescent="0.2">
      <c r="A103" s="22" t="str">
        <f t="shared" si="7"/>
        <v>Реализация товаров и услуг</v>
      </c>
      <c r="B103" s="13">
        <f t="array" ref="B103">IFERROR(INDEX(CreditDAY[Credit Days Nominal],MATCH(M103&amp;Q103&amp;I103,CreditDAY[Customer]&amp;CreditDAY[Договор.Наименование]&amp;CreditDAY[Brand Temp],0)),0)</f>
        <v>65</v>
      </c>
      <c r="C103" s="10"/>
      <c r="D103" s="165">
        <f t="shared" si="8"/>
        <v>44391</v>
      </c>
      <c r="E103" s="16">
        <f t="shared" si="6"/>
        <v>44456.554571759261</v>
      </c>
      <c r="F103" s="23">
        <f t="shared" si="9"/>
        <v>-3.5545717592613073</v>
      </c>
      <c r="G103" s="27" t="str">
        <f t="array" ref="G103">IF(K103&lt;0,"Advance",INDEX('Days Ranges'!$C$4:$C$12,MATCH(1,($F103&gt;='Days Ranges'!$A$4:$A$12)*($F103&lt;'Days Ranges'!$B$4:$B$12),0)))</f>
        <v>Current</v>
      </c>
      <c r="H103" s="27" t="str">
        <f t="array" ref="H103">IF(K103&lt;0,"Advance",INDEX('Days Ranges'!$D$4:$D$12,MATCH(1,($F103&gt;'Days Ranges'!$A$4:$A$12)*($F103&lt;'Days Ranges'!$B$4:$B$12),0)))</f>
        <v>Current</v>
      </c>
      <c r="I103" s="27" t="str">
        <f>IFERROR(IF(IFERROR(REPLACE(O103,FIND("ОПТ ",O103,1),4,""),O103)=0,VLOOKUP(MID(Q103,FIND(" ",Q103,1)+1,3),Brands!$B$2:$C$24,2,0),IFERROR(REPLACE(O103,FIND("ОПТ ",O103,1),4,""),O103)),"Check PLEASE")</f>
        <v>Converse</v>
      </c>
      <c r="J103" s="27" t="str">
        <f>VLOOKUP(I103,Brands!$E$2:$F$21,2,0)</f>
        <v>Converse</v>
      </c>
      <c r="K103" s="23">
        <f t="shared" si="10"/>
        <v>0.13</v>
      </c>
      <c r="L103" s="204" t="s">
        <v>1445</v>
      </c>
      <c r="M103" s="205" t="s">
        <v>240</v>
      </c>
      <c r="N103" s="204" t="s">
        <v>1446</v>
      </c>
      <c r="O103" s="205" t="s">
        <v>20</v>
      </c>
      <c r="P103" s="205" t="s">
        <v>28</v>
      </c>
      <c r="Q103" s="205" t="s">
        <v>243</v>
      </c>
      <c r="R103" s="87" t="s">
        <v>74</v>
      </c>
      <c r="S103" s="84"/>
      <c r="T103" s="84"/>
      <c r="U103" s="84"/>
      <c r="V103" s="84"/>
      <c r="W103" s="4" t="str">
        <f t="shared" si="11"/>
        <v>Positive</v>
      </c>
      <c r="X103" s="206">
        <v>0.13</v>
      </c>
    </row>
    <row r="104" spans="1:24" ht="12" x14ac:dyDescent="0.2">
      <c r="A104" s="22" t="str">
        <f t="shared" si="7"/>
        <v>Реализация товаров и услуг</v>
      </c>
      <c r="B104" s="13">
        <f t="array" ref="B104">IFERROR(INDEX(CreditDAY[Credit Days Nominal],MATCH(M104&amp;Q104&amp;I104,CreditDAY[Customer]&amp;CreditDAY[Договор.Наименование]&amp;CreditDAY[Brand Temp],0)),0)</f>
        <v>95</v>
      </c>
      <c r="C104" s="10"/>
      <c r="D104" s="165">
        <f t="shared" si="8"/>
        <v>44393</v>
      </c>
      <c r="E104" s="16">
        <f t="shared" si="6"/>
        <v>44488.442719907405</v>
      </c>
      <c r="F104" s="23">
        <f t="shared" si="9"/>
        <v>-35.442719907405262</v>
      </c>
      <c r="G104" s="27" t="str">
        <f t="array" ref="G104">IF(K104&lt;0,"Advance",INDEX('Days Ranges'!$C$4:$C$12,MATCH(1,($F104&gt;='Days Ranges'!$A$4:$A$12)*($F104&lt;'Days Ranges'!$B$4:$B$12),0)))</f>
        <v>Current</v>
      </c>
      <c r="H104" s="27" t="str">
        <f t="array" ref="H104">IF(K104&lt;0,"Advance",INDEX('Days Ranges'!$D$4:$D$12,MATCH(1,($F104&gt;'Days Ranges'!$A$4:$A$12)*($F104&lt;'Days Ranges'!$B$4:$B$12),0)))</f>
        <v>Current</v>
      </c>
      <c r="I104" s="27" t="str">
        <f>IFERROR(IF(IFERROR(REPLACE(O104,FIND("ОПТ ",O104,1),4,""),O104)=0,VLOOKUP(MID(Q104,FIND(" ",Q104,1)+1,3),Brands!$B$2:$C$24,2,0),IFERROR(REPLACE(O104,FIND("ОПТ ",O104,1),4,""),O104)),"Check PLEASE")</f>
        <v>Сток Converse</v>
      </c>
      <c r="J104" s="27" t="str">
        <f>VLOOKUP(I104,Brands!$E$2:$F$21,2,0)</f>
        <v>Converse</v>
      </c>
      <c r="K104" s="23">
        <f t="shared" si="10"/>
        <v>683958</v>
      </c>
      <c r="L104" s="204" t="s">
        <v>1447</v>
      </c>
      <c r="M104" s="205" t="s">
        <v>285</v>
      </c>
      <c r="N104" s="204" t="s">
        <v>1448</v>
      </c>
      <c r="O104" s="205" t="s">
        <v>52</v>
      </c>
      <c r="P104" s="205" t="s">
        <v>28</v>
      </c>
      <c r="Q104" s="205" t="s">
        <v>288</v>
      </c>
      <c r="R104" s="87" t="s">
        <v>74</v>
      </c>
      <c r="S104" s="84"/>
      <c r="T104" s="84"/>
      <c r="U104" s="84"/>
      <c r="V104" s="84"/>
      <c r="W104" s="4" t="str">
        <f t="shared" si="11"/>
        <v>Positive</v>
      </c>
      <c r="X104" s="206">
        <v>683958</v>
      </c>
    </row>
    <row r="105" spans="1:24" ht="12" x14ac:dyDescent="0.2">
      <c r="A105" s="22" t="str">
        <f t="shared" si="7"/>
        <v>Реализация товаров и услуг</v>
      </c>
      <c r="B105" s="13">
        <f t="array" ref="B105">IFERROR(INDEX(CreditDAY[Credit Days Nominal],MATCH(M105&amp;Q105&amp;I105,CreditDAY[Customer]&amp;CreditDAY[Договор.Наименование]&amp;CreditDAY[Brand Temp],0)),0)</f>
        <v>95</v>
      </c>
      <c r="C105" s="10"/>
      <c r="D105" s="165">
        <f t="shared" si="8"/>
        <v>44393</v>
      </c>
      <c r="E105" s="16">
        <f t="shared" si="6"/>
        <v>44488.44394675926</v>
      </c>
      <c r="F105" s="23">
        <f t="shared" si="9"/>
        <v>-35.443946759260143</v>
      </c>
      <c r="G105" s="27" t="str">
        <f t="array" ref="G105">IF(K105&lt;0,"Advance",INDEX('Days Ranges'!$C$4:$C$12,MATCH(1,($F105&gt;='Days Ranges'!$A$4:$A$12)*($F105&lt;'Days Ranges'!$B$4:$B$12),0)))</f>
        <v>Current</v>
      </c>
      <c r="H105" s="27" t="str">
        <f t="array" ref="H105">IF(K105&lt;0,"Advance",INDEX('Days Ranges'!$D$4:$D$12,MATCH(1,($F105&gt;'Days Ranges'!$A$4:$A$12)*($F105&lt;'Days Ranges'!$B$4:$B$12),0)))</f>
        <v>Current</v>
      </c>
      <c r="I105" s="27" t="str">
        <f>IFERROR(IF(IFERROR(REPLACE(O105,FIND("ОПТ ",O105,1),4,""),O105)=0,VLOOKUP(MID(Q105,FIND(" ",Q105,1)+1,3),Brands!$B$2:$C$24,2,0),IFERROR(REPLACE(O105,FIND("ОПТ ",O105,1),4,""),O105)),"Check PLEASE")</f>
        <v>Converse</v>
      </c>
      <c r="J105" s="27" t="str">
        <f>VLOOKUP(I105,Brands!$E$2:$F$21,2,0)</f>
        <v>Converse</v>
      </c>
      <c r="K105" s="23">
        <f t="shared" si="10"/>
        <v>3441892</v>
      </c>
      <c r="L105" s="204" t="s">
        <v>1449</v>
      </c>
      <c r="M105" s="205" t="s">
        <v>285</v>
      </c>
      <c r="N105" s="204" t="s">
        <v>1450</v>
      </c>
      <c r="O105" s="205" t="s">
        <v>20</v>
      </c>
      <c r="P105" s="205" t="s">
        <v>28</v>
      </c>
      <c r="Q105" s="205" t="s">
        <v>288</v>
      </c>
      <c r="R105" s="87" t="s">
        <v>288</v>
      </c>
      <c r="S105" s="84"/>
      <c r="T105" s="84"/>
      <c r="U105" s="84"/>
      <c r="V105" s="84"/>
      <c r="W105" s="4" t="str">
        <f t="shared" si="11"/>
        <v>Positive</v>
      </c>
      <c r="X105" s="206">
        <v>3441892</v>
      </c>
    </row>
    <row r="106" spans="1:24" ht="12" x14ac:dyDescent="0.2">
      <c r="A106" s="22" t="str">
        <f t="shared" si="7"/>
        <v>Реализация товаров и услуг</v>
      </c>
      <c r="B106" s="13">
        <f t="array" ref="B106">IFERROR(INDEX(CreditDAY[Credit Days Nominal],MATCH(M106&amp;Q106&amp;I106,CreditDAY[Customer]&amp;CreditDAY[Договор.Наименование]&amp;CreditDAY[Brand Temp],0)),0)</f>
        <v>65</v>
      </c>
      <c r="C106" s="10"/>
      <c r="D106" s="165">
        <f t="shared" si="8"/>
        <v>44396</v>
      </c>
      <c r="E106" s="16">
        <f t="shared" si="6"/>
        <v>44461.578020833331</v>
      </c>
      <c r="F106" s="23">
        <f t="shared" si="9"/>
        <v>-8.578020833330811</v>
      </c>
      <c r="G106" s="27" t="str">
        <f t="array" ref="G106">IF(K106&lt;0,"Advance",INDEX('Days Ranges'!$C$4:$C$12,MATCH(1,($F106&gt;='Days Ranges'!$A$4:$A$12)*($F106&lt;'Days Ranges'!$B$4:$B$12),0)))</f>
        <v>Advance</v>
      </c>
      <c r="H106" s="27" t="str">
        <f t="array" ref="H106">IF(K106&lt;0,"Advance",INDEX('Days Ranges'!$D$4:$D$12,MATCH(1,($F106&gt;'Days Ranges'!$A$4:$A$12)*($F106&lt;'Days Ranges'!$B$4:$B$12),0)))</f>
        <v>Advance</v>
      </c>
      <c r="I106" s="27" t="str">
        <f>IFERROR(IF(IFERROR(REPLACE(O106,FIND("ОПТ ",O106,1),4,""),O106)=0,VLOOKUP(MID(Q106,FIND(" ",Q106,1)+1,3),Brands!$B$2:$C$24,2,0),IFERROR(REPLACE(O106,FIND("ОПТ ",O106,1),4,""),O106)),"Check PLEASE")</f>
        <v>Сток Converse</v>
      </c>
      <c r="J106" s="27" t="str">
        <f>VLOOKUP(I106,Brands!$E$2:$F$21,2,0)</f>
        <v>Converse</v>
      </c>
      <c r="K106" s="23">
        <f t="shared" si="10"/>
        <v>-51660</v>
      </c>
      <c r="L106" s="204" t="s">
        <v>1696</v>
      </c>
      <c r="M106" s="205" t="s">
        <v>292</v>
      </c>
      <c r="N106" s="204" t="s">
        <v>1697</v>
      </c>
      <c r="O106" s="205" t="s">
        <v>52</v>
      </c>
      <c r="P106" s="205" t="s">
        <v>28</v>
      </c>
      <c r="Q106" s="205" t="s">
        <v>293</v>
      </c>
      <c r="R106" s="87" t="s">
        <v>288</v>
      </c>
      <c r="S106" s="84"/>
      <c r="T106" s="84"/>
      <c r="U106" s="84"/>
      <c r="V106" s="84"/>
      <c r="W106" s="4" t="str">
        <f t="shared" si="11"/>
        <v>Negative</v>
      </c>
      <c r="X106" s="206">
        <v>-51660</v>
      </c>
    </row>
    <row r="107" spans="1:24" ht="12" x14ac:dyDescent="0.2">
      <c r="A107" s="22" t="str">
        <f t="shared" si="7"/>
        <v>Реализация товаров и услуг</v>
      </c>
      <c r="B107" s="13">
        <f t="array" ref="B107">IFERROR(INDEX(CreditDAY[Credit Days Nominal],MATCH(M107&amp;Q107&amp;I107,CreditDAY[Customer]&amp;CreditDAY[Договор.Наименование]&amp;CreditDAY[Brand Temp],0)),0)</f>
        <v>65</v>
      </c>
      <c r="C107" s="10"/>
      <c r="D107" s="165">
        <f t="shared" si="8"/>
        <v>44396</v>
      </c>
      <c r="E107" s="16">
        <f t="shared" si="6"/>
        <v>44461.698321759257</v>
      </c>
      <c r="F107" s="23">
        <f t="shared" si="9"/>
        <v>-8.6983217592569417</v>
      </c>
      <c r="G107" s="27" t="str">
        <f t="array" ref="G107">IF(K107&lt;0,"Advance",INDEX('Days Ranges'!$C$4:$C$12,MATCH(1,($F107&gt;='Days Ranges'!$A$4:$A$12)*($F107&lt;'Days Ranges'!$B$4:$B$12),0)))</f>
        <v>Current</v>
      </c>
      <c r="H107" s="27" t="str">
        <f t="array" ref="H107">IF(K107&lt;0,"Advance",INDEX('Days Ranges'!$D$4:$D$12,MATCH(1,($F107&gt;'Days Ranges'!$A$4:$A$12)*($F107&lt;'Days Ranges'!$B$4:$B$12),0)))</f>
        <v>Current</v>
      </c>
      <c r="I107" s="27" t="str">
        <f>IFERROR(IF(IFERROR(REPLACE(O107,FIND("ОПТ ",O107,1),4,""),O107)=0,VLOOKUP(MID(Q107,FIND(" ",Q107,1)+1,3),Brands!$B$2:$C$24,2,0),IFERROR(REPLACE(O107,FIND("ОПТ ",O107,1),4,""),O107)),"Check PLEASE")</f>
        <v>Converse</v>
      </c>
      <c r="J107" s="27" t="str">
        <f>VLOOKUP(I107,Brands!$E$2:$F$21,2,0)</f>
        <v>Converse</v>
      </c>
      <c r="K107" s="23">
        <f t="shared" si="10"/>
        <v>2134890</v>
      </c>
      <c r="L107" s="204" t="s">
        <v>1451</v>
      </c>
      <c r="M107" s="205" t="s">
        <v>240</v>
      </c>
      <c r="N107" s="204" t="s">
        <v>1452</v>
      </c>
      <c r="O107" s="205" t="s">
        <v>20</v>
      </c>
      <c r="P107" s="205" t="s">
        <v>28</v>
      </c>
      <c r="Q107" s="205" t="s">
        <v>243</v>
      </c>
      <c r="R107" s="87" t="s">
        <v>278</v>
      </c>
      <c r="S107" s="84"/>
      <c r="T107" s="84"/>
      <c r="U107" s="84"/>
      <c r="V107" s="84"/>
      <c r="W107" s="4" t="str">
        <f t="shared" si="11"/>
        <v>Positive</v>
      </c>
      <c r="X107" s="206">
        <v>2134890</v>
      </c>
    </row>
    <row r="108" spans="1:24" ht="12" x14ac:dyDescent="0.2">
      <c r="A108" s="22" t="str">
        <f t="shared" si="7"/>
        <v>Реализация товаров и услуг</v>
      </c>
      <c r="B108" s="13">
        <f t="array" ref="B108">IFERROR(INDEX(CreditDAY[Credit Days Nominal],MATCH(M108&amp;Q108&amp;I108,CreditDAY[Customer]&amp;CreditDAY[Договор.Наименование]&amp;CreditDAY[Brand Temp],0)),0)</f>
        <v>0</v>
      </c>
      <c r="C108" s="10"/>
      <c r="D108" s="165">
        <f t="shared" si="8"/>
        <v>44398</v>
      </c>
      <c r="E108" s="16">
        <f t="shared" si="6"/>
        <v>44398.487870370373</v>
      </c>
      <c r="F108" s="23">
        <f t="shared" si="9"/>
        <v>54.512129629627452</v>
      </c>
      <c r="G108" s="27" t="str">
        <f t="array" ref="G108">IF(K108&lt;0,"Advance",INDEX('Days Ranges'!$C$4:$C$12,MATCH(1,($F108&gt;='Days Ranges'!$A$4:$A$12)*($F108&lt;'Days Ranges'!$B$4:$B$12),0)))</f>
        <v>Advance</v>
      </c>
      <c r="H108" s="27" t="str">
        <f t="array" ref="H108">IF(K108&lt;0,"Advance",INDEX('Days Ranges'!$D$4:$D$12,MATCH(1,($F108&gt;'Days Ranges'!$A$4:$A$12)*($F108&lt;'Days Ranges'!$B$4:$B$12),0)))</f>
        <v>Advance</v>
      </c>
      <c r="I108" s="27" t="str">
        <f>IFERROR(IF(IFERROR(REPLACE(O108,FIND("ОПТ ",O108,1),4,""),O108)=0,VLOOKUP(MID(Q108,FIND(" ",Q108,1)+1,3),Brands!$B$2:$C$24,2,0),IFERROR(REPLACE(O108,FIND("ОПТ ",O108,1),4,""),O108)),"Check PLEASE")</f>
        <v>Сток Converse</v>
      </c>
      <c r="J108" s="27" t="str">
        <f>VLOOKUP(I108,Brands!$E$2:$F$21,2,0)</f>
        <v>Converse</v>
      </c>
      <c r="K108" s="23">
        <f t="shared" si="10"/>
        <v>-398</v>
      </c>
      <c r="L108" s="204" t="s">
        <v>1453</v>
      </c>
      <c r="M108" s="205" t="s">
        <v>106</v>
      </c>
      <c r="N108" s="204" t="s">
        <v>1454</v>
      </c>
      <c r="O108" s="205" t="s">
        <v>52</v>
      </c>
      <c r="P108" s="205" t="s">
        <v>28</v>
      </c>
      <c r="Q108" s="205" t="s">
        <v>108</v>
      </c>
      <c r="R108" s="87" t="s">
        <v>278</v>
      </c>
      <c r="S108" s="84"/>
      <c r="T108" s="84"/>
      <c r="U108" s="84"/>
      <c r="V108" s="84"/>
      <c r="W108" s="4" t="str">
        <f t="shared" si="11"/>
        <v>Negative</v>
      </c>
      <c r="X108" s="206">
        <v>-398</v>
      </c>
    </row>
    <row r="109" spans="1:24" ht="12" x14ac:dyDescent="0.2">
      <c r="A109" s="22" t="str">
        <f t="shared" si="7"/>
        <v>Реализация товаров и услуг</v>
      </c>
      <c r="B109" s="13">
        <f t="array" ref="B109">IFERROR(INDEX(CreditDAY[Credit Days Nominal],MATCH(M109&amp;Q109&amp;I109,CreditDAY[Customer]&amp;CreditDAY[Договор.Наименование]&amp;CreditDAY[Brand Temp],0)),0)</f>
        <v>95</v>
      </c>
      <c r="C109" s="10"/>
      <c r="D109" s="165">
        <f t="shared" si="8"/>
        <v>44399</v>
      </c>
      <c r="E109" s="16">
        <f t="shared" si="6"/>
        <v>44494.637916666667</v>
      </c>
      <c r="F109" s="23">
        <f t="shared" si="9"/>
        <v>-41.63791666666657</v>
      </c>
      <c r="G109" s="27" t="str">
        <f t="array" ref="G109">IF(K109&lt;0,"Advance",INDEX('Days Ranges'!$C$4:$C$12,MATCH(1,($F109&gt;='Days Ranges'!$A$4:$A$12)*($F109&lt;'Days Ranges'!$B$4:$B$12),0)))</f>
        <v>Current</v>
      </c>
      <c r="H109" s="27" t="str">
        <f t="array" ref="H109">IF(K109&lt;0,"Advance",INDEX('Days Ranges'!$D$4:$D$12,MATCH(1,($F109&gt;'Days Ranges'!$A$4:$A$12)*($F109&lt;'Days Ranges'!$B$4:$B$12),0)))</f>
        <v>Current</v>
      </c>
      <c r="I109" s="27" t="str">
        <f>IFERROR(IF(IFERROR(REPLACE(O109,FIND("ОПТ ",O109,1),4,""),O109)=0,VLOOKUP(MID(Q109,FIND(" ",Q109,1)+1,3),Brands!$B$2:$C$24,2,0),IFERROR(REPLACE(O109,FIND("ОПТ ",O109,1),4,""),O109)),"Check PLEASE")</f>
        <v>Сток Converse</v>
      </c>
      <c r="J109" s="27" t="str">
        <f>VLOOKUP(I109,Brands!$E$2:$F$21,2,0)</f>
        <v>Converse</v>
      </c>
      <c r="K109" s="23">
        <f t="shared" si="10"/>
        <v>4657005</v>
      </c>
      <c r="L109" s="204" t="s">
        <v>1455</v>
      </c>
      <c r="M109" s="205" t="s">
        <v>285</v>
      </c>
      <c r="N109" s="204" t="s">
        <v>1456</v>
      </c>
      <c r="O109" s="205" t="s">
        <v>52</v>
      </c>
      <c r="P109" s="205" t="s">
        <v>28</v>
      </c>
      <c r="Q109" s="205" t="s">
        <v>288</v>
      </c>
      <c r="R109" s="87" t="s">
        <v>75</v>
      </c>
      <c r="S109" s="84"/>
      <c r="T109" s="84"/>
      <c r="U109" s="84"/>
      <c r="V109" s="84"/>
      <c r="W109" s="4" t="str">
        <f t="shared" si="11"/>
        <v>Positive</v>
      </c>
      <c r="X109" s="206">
        <v>4657005</v>
      </c>
    </row>
    <row r="110" spans="1:24" ht="12" x14ac:dyDescent="0.2">
      <c r="A110" s="22" t="str">
        <f t="shared" si="7"/>
        <v>Реализация товаров и услуг</v>
      </c>
      <c r="B110" s="13">
        <f t="array" ref="B110">IFERROR(INDEX(CreditDAY[Credit Days Nominal],MATCH(M110&amp;Q110&amp;I110,CreditDAY[Customer]&amp;CreditDAY[Договор.Наименование]&amp;CreditDAY[Brand Temp],0)),0)</f>
        <v>65</v>
      </c>
      <c r="C110" s="10"/>
      <c r="D110" s="165">
        <f t="shared" si="8"/>
        <v>44405</v>
      </c>
      <c r="E110" s="16">
        <f t="shared" si="6"/>
        <v>44470.653090277781</v>
      </c>
      <c r="F110" s="23">
        <f t="shared" si="9"/>
        <v>-17.653090277781303</v>
      </c>
      <c r="G110" s="27" t="str">
        <f t="array" ref="G110">IF(K110&lt;0,"Advance",INDEX('Days Ranges'!$C$4:$C$12,MATCH(1,($F110&gt;='Days Ranges'!$A$4:$A$12)*($F110&lt;'Days Ranges'!$B$4:$B$12),0)))</f>
        <v>Current</v>
      </c>
      <c r="H110" s="27" t="str">
        <f t="array" ref="H110">IF(K110&lt;0,"Advance",INDEX('Days Ranges'!$D$4:$D$12,MATCH(1,($F110&gt;'Days Ranges'!$A$4:$A$12)*($F110&lt;'Days Ranges'!$B$4:$B$12),0)))</f>
        <v>Current</v>
      </c>
      <c r="I110" s="27" t="str">
        <f>IFERROR(IF(IFERROR(REPLACE(O110,FIND("ОПТ ",O110,1),4,""),O110)=0,VLOOKUP(MID(Q110,FIND(" ",Q110,1)+1,3),Brands!$B$2:$C$24,2,0),IFERROR(REPLACE(O110,FIND("ОПТ ",O110,1),4,""),O110)),"Check PLEASE")</f>
        <v>Converse</v>
      </c>
      <c r="J110" s="27" t="str">
        <f>VLOOKUP(I110,Brands!$E$2:$F$21,2,0)</f>
        <v>Converse</v>
      </c>
      <c r="K110" s="23">
        <f t="shared" si="10"/>
        <v>1149888.8</v>
      </c>
      <c r="L110" s="204" t="s">
        <v>1458</v>
      </c>
      <c r="M110" s="205" t="s">
        <v>240</v>
      </c>
      <c r="N110" s="204" t="s">
        <v>1459</v>
      </c>
      <c r="O110" s="205" t="s">
        <v>20</v>
      </c>
      <c r="P110" s="205" t="s">
        <v>28</v>
      </c>
      <c r="Q110" s="205" t="s">
        <v>243</v>
      </c>
      <c r="R110" s="87" t="s">
        <v>75</v>
      </c>
      <c r="S110" s="84"/>
      <c r="T110" s="84"/>
      <c r="U110" s="84"/>
      <c r="V110" s="84"/>
      <c r="W110" s="4" t="str">
        <f t="shared" si="11"/>
        <v>Positive</v>
      </c>
      <c r="X110" s="206">
        <v>1149888.8</v>
      </c>
    </row>
    <row r="111" spans="1:24" ht="12" x14ac:dyDescent="0.2">
      <c r="A111" s="22" t="str">
        <f t="shared" si="7"/>
        <v>Реализация товаров и услуг</v>
      </c>
      <c r="B111" s="13">
        <f t="array" ref="B111">IFERROR(INDEX(CreditDAY[Credit Days Nominal],MATCH(M111&amp;Q111&amp;I111,CreditDAY[Customer]&amp;CreditDAY[Договор.Наименование]&amp;CreditDAY[Brand Temp],0)),0)</f>
        <v>95</v>
      </c>
      <c r="C111" s="10"/>
      <c r="D111" s="165">
        <f t="shared" si="8"/>
        <v>44406</v>
      </c>
      <c r="E111" s="16">
        <f t="shared" si="6"/>
        <v>44501.584861111114</v>
      </c>
      <c r="F111" s="23">
        <f t="shared" si="9"/>
        <v>-48.584861111114151</v>
      </c>
      <c r="G111" s="27" t="str">
        <f t="array" ref="G111">IF(K111&lt;0,"Advance",INDEX('Days Ranges'!$C$4:$C$12,MATCH(1,($F111&gt;='Days Ranges'!$A$4:$A$12)*($F111&lt;'Days Ranges'!$B$4:$B$12),0)))</f>
        <v>Current</v>
      </c>
      <c r="H111" s="27" t="str">
        <f t="array" ref="H111">IF(K111&lt;0,"Advance",INDEX('Days Ranges'!$D$4:$D$12,MATCH(1,($F111&gt;'Days Ranges'!$A$4:$A$12)*($F111&lt;'Days Ranges'!$B$4:$B$12),0)))</f>
        <v>Current</v>
      </c>
      <c r="I111" s="27" t="str">
        <f>IFERROR(IF(IFERROR(REPLACE(O111,FIND("ОПТ ",O111,1),4,""),O111)=0,VLOOKUP(MID(Q111,FIND(" ",Q111,1)+1,3),Brands!$B$2:$C$24,2,0),IFERROR(REPLACE(O111,FIND("ОПТ ",O111,1),4,""),O111)),"Check PLEASE")</f>
        <v>Converse</v>
      </c>
      <c r="J111" s="27" t="str">
        <f>VLOOKUP(I111,Brands!$E$2:$F$21,2,0)</f>
        <v>Converse</v>
      </c>
      <c r="K111" s="23">
        <f t="shared" si="10"/>
        <v>16982721</v>
      </c>
      <c r="L111" s="204" t="s">
        <v>1460</v>
      </c>
      <c r="M111" s="205" t="s">
        <v>285</v>
      </c>
      <c r="N111" s="204" t="s">
        <v>1461</v>
      </c>
      <c r="O111" s="205" t="s">
        <v>20</v>
      </c>
      <c r="P111" s="205" t="s">
        <v>28</v>
      </c>
      <c r="Q111" s="205" t="s">
        <v>288</v>
      </c>
      <c r="R111" s="87" t="s">
        <v>75</v>
      </c>
      <c r="S111" s="84"/>
      <c r="T111" s="84"/>
      <c r="U111" s="84"/>
      <c r="V111" s="84"/>
      <c r="W111" s="4" t="str">
        <f t="shared" si="11"/>
        <v>Positive</v>
      </c>
      <c r="X111" s="206">
        <v>16982721</v>
      </c>
    </row>
    <row r="112" spans="1:24" ht="12" x14ac:dyDescent="0.2">
      <c r="A112" s="10" t="str">
        <f t="shared" si="7"/>
        <v>Реализация товаров и услуг</v>
      </c>
      <c r="B112" s="13">
        <f t="array" ref="B112">IFERROR(INDEX(CreditDAY[Credit Days Nominal],MATCH(M112&amp;Q112&amp;I112,CreditDAY[Customer]&amp;CreditDAY[Договор.Наименование]&amp;CreditDAY[Brand Temp],0)),0)</f>
        <v>65</v>
      </c>
      <c r="C112" s="10"/>
      <c r="D112" s="165">
        <f t="shared" si="8"/>
        <v>44406</v>
      </c>
      <c r="E112" s="16">
        <f t="shared" si="6"/>
        <v>44471.709814814814</v>
      </c>
      <c r="F112" s="23">
        <f t="shared" si="9"/>
        <v>-18.709814814814308</v>
      </c>
      <c r="G112" s="27" t="str">
        <f t="array" ref="G112">IF(K112&lt;0,"Advance",INDEX('Days Ranges'!$C$4:$C$12,MATCH(1,($F112&gt;='Days Ranges'!$A$4:$A$12)*($F112&lt;'Days Ranges'!$B$4:$B$12),0)))</f>
        <v>Current</v>
      </c>
      <c r="H112" s="27" t="str">
        <f t="array" ref="H112">IF(K112&lt;0,"Advance",INDEX('Days Ranges'!$D$4:$D$12,MATCH(1,($F112&gt;'Days Ranges'!$A$4:$A$12)*($F112&lt;'Days Ranges'!$B$4:$B$12),0)))</f>
        <v>Current</v>
      </c>
      <c r="I112" s="27" t="str">
        <f>IFERROR(IF(IFERROR(REPLACE(O112,FIND("ОПТ ",O112,1),4,""),O112)=0,VLOOKUP(MID(Q112,FIND(" ",Q112,1)+1,3),Brands!$B$2:$C$24,2,0),IFERROR(REPLACE(O112,FIND("ОПТ ",O112,1),4,""),O112)),"Check PLEASE")</f>
        <v>Converse</v>
      </c>
      <c r="J112" s="27" t="str">
        <f>VLOOKUP(I112,Brands!$E$2:$F$21,2,0)</f>
        <v>Converse</v>
      </c>
      <c r="K112" s="23">
        <f t="shared" si="10"/>
        <v>210450</v>
      </c>
      <c r="L112" s="204" t="s">
        <v>1462</v>
      </c>
      <c r="M112" s="205" t="s">
        <v>99</v>
      </c>
      <c r="N112" s="204" t="s">
        <v>1463</v>
      </c>
      <c r="O112" s="205" t="s">
        <v>20</v>
      </c>
      <c r="P112" s="205" t="s">
        <v>28</v>
      </c>
      <c r="Q112" s="205" t="s">
        <v>101</v>
      </c>
      <c r="R112" s="87" t="s">
        <v>243</v>
      </c>
      <c r="S112" s="84"/>
      <c r="T112" s="84"/>
      <c r="U112" s="84"/>
      <c r="V112" s="84"/>
      <c r="W112" s="4" t="str">
        <f t="shared" si="11"/>
        <v>Positive</v>
      </c>
      <c r="X112" s="206">
        <v>210450</v>
      </c>
    </row>
    <row r="113" spans="1:24" ht="12" x14ac:dyDescent="0.2">
      <c r="A113" s="22" t="str">
        <f t="shared" si="7"/>
        <v>Реализация товаров и услуг</v>
      </c>
      <c r="B113" s="13">
        <f t="array" ref="B113">IFERROR(INDEX(CreditDAY[Credit Days Nominal],MATCH(M113&amp;Q113&amp;I113,CreditDAY[Customer]&amp;CreditDAY[Договор.Наименование]&amp;CreditDAY[Brand Temp],0)),0)</f>
        <v>65</v>
      </c>
      <c r="C113" s="10"/>
      <c r="D113" s="165">
        <f t="shared" si="8"/>
        <v>44406</v>
      </c>
      <c r="E113" s="16">
        <f t="shared" si="6"/>
        <v>44471.710821759261</v>
      </c>
      <c r="F113" s="23">
        <f t="shared" si="9"/>
        <v>-18.710821759261307</v>
      </c>
      <c r="G113" s="27" t="str">
        <f t="array" ref="G113">IF(K113&lt;0,"Advance",INDEX('Days Ranges'!$C$4:$C$12,MATCH(1,($F113&gt;='Days Ranges'!$A$4:$A$12)*($F113&lt;'Days Ranges'!$B$4:$B$12),0)))</f>
        <v>Current</v>
      </c>
      <c r="H113" s="27" t="str">
        <f t="array" ref="H113">IF(K113&lt;0,"Advance",INDEX('Days Ranges'!$D$4:$D$12,MATCH(1,($F113&gt;'Days Ranges'!$A$4:$A$12)*($F113&lt;'Days Ranges'!$B$4:$B$12),0)))</f>
        <v>Current</v>
      </c>
      <c r="I113" s="27" t="str">
        <f>IFERROR(IF(IFERROR(REPLACE(O113,FIND("ОПТ ",O113,1),4,""),O113)=0,VLOOKUP(MID(Q113,FIND(" ",Q113,1)+1,3),Brands!$B$2:$C$24,2,0),IFERROR(REPLACE(O113,FIND("ОПТ ",O113,1),4,""),O113)),"Check PLEASE")</f>
        <v>Converse</v>
      </c>
      <c r="J113" s="27" t="str">
        <f>VLOOKUP(I113,Brands!$E$2:$F$21,2,0)</f>
        <v>Converse</v>
      </c>
      <c r="K113" s="23">
        <f t="shared" si="10"/>
        <v>453302.4</v>
      </c>
      <c r="L113" s="204" t="s">
        <v>1464</v>
      </c>
      <c r="M113" s="205" t="s">
        <v>99</v>
      </c>
      <c r="N113" s="204" t="s">
        <v>1465</v>
      </c>
      <c r="O113" s="205" t="s">
        <v>20</v>
      </c>
      <c r="P113" s="205" t="s">
        <v>28</v>
      </c>
      <c r="Q113" s="205" t="s">
        <v>101</v>
      </c>
      <c r="R113" s="87" t="s">
        <v>288</v>
      </c>
      <c r="S113" s="84"/>
      <c r="T113" s="84"/>
      <c r="U113" s="84"/>
      <c r="V113" s="84"/>
      <c r="W113" s="4" t="str">
        <f t="shared" si="11"/>
        <v>Positive</v>
      </c>
      <c r="X113" s="206">
        <v>453302.4</v>
      </c>
    </row>
    <row r="114" spans="1:24" ht="12" x14ac:dyDescent="0.2">
      <c r="A114" s="22" t="str">
        <f t="shared" si="7"/>
        <v>Реализация товаров и услуг</v>
      </c>
      <c r="B114" s="13">
        <f t="array" ref="B114">IFERROR(INDEX(CreditDAY[Credit Days Nominal],MATCH(M114&amp;Q114&amp;I114,CreditDAY[Customer]&amp;CreditDAY[Договор.Наименование]&amp;CreditDAY[Brand Temp],0)),0)</f>
        <v>65</v>
      </c>
      <c r="C114" s="10"/>
      <c r="D114" s="165">
        <f t="shared" si="8"/>
        <v>44406</v>
      </c>
      <c r="E114" s="16">
        <f t="shared" si="6"/>
        <v>44471.713750000003</v>
      </c>
      <c r="F114" s="23">
        <f t="shared" si="9"/>
        <v>-18.713750000002619</v>
      </c>
      <c r="G114" s="27" t="str">
        <f t="array" ref="G114">IF(K114&lt;0,"Advance",INDEX('Days Ranges'!$C$4:$C$12,MATCH(1,($F114&gt;='Days Ranges'!$A$4:$A$12)*($F114&lt;'Days Ranges'!$B$4:$B$12),0)))</f>
        <v>Current</v>
      </c>
      <c r="H114" s="27" t="str">
        <f t="array" ref="H114">IF(K114&lt;0,"Advance",INDEX('Days Ranges'!$D$4:$D$12,MATCH(1,($F114&gt;'Days Ranges'!$A$4:$A$12)*($F114&lt;'Days Ranges'!$B$4:$B$12),0)))</f>
        <v>Current</v>
      </c>
      <c r="I114" s="27" t="str">
        <f>IFERROR(IF(IFERROR(REPLACE(O114,FIND("ОПТ ",O114,1),4,""),O114)=0,VLOOKUP(MID(Q114,FIND(" ",Q114,1)+1,3),Brands!$B$2:$C$24,2,0),IFERROR(REPLACE(O114,FIND("ОПТ ",O114,1),4,""),O114)),"Check PLEASE")</f>
        <v>Converse</v>
      </c>
      <c r="J114" s="27" t="str">
        <f>VLOOKUP(I114,Brands!$E$2:$F$21,2,0)</f>
        <v>Converse</v>
      </c>
      <c r="K114" s="23">
        <f t="shared" si="10"/>
        <v>657478</v>
      </c>
      <c r="L114" s="204" t="s">
        <v>1466</v>
      </c>
      <c r="M114" s="205" t="s">
        <v>99</v>
      </c>
      <c r="N114" s="204" t="s">
        <v>1467</v>
      </c>
      <c r="O114" s="205" t="s">
        <v>20</v>
      </c>
      <c r="P114" s="205" t="s">
        <v>28</v>
      </c>
      <c r="Q114" s="205" t="s">
        <v>101</v>
      </c>
      <c r="R114" s="87" t="s">
        <v>288</v>
      </c>
      <c r="S114" s="84"/>
      <c r="T114" s="84"/>
      <c r="U114" s="84"/>
      <c r="V114" s="84"/>
      <c r="W114" s="4" t="str">
        <f t="shared" si="11"/>
        <v>Positive</v>
      </c>
      <c r="X114" s="206">
        <v>657478</v>
      </c>
    </row>
    <row r="115" spans="1:24" ht="12" x14ac:dyDescent="0.2">
      <c r="A115" s="22" t="str">
        <f t="shared" si="7"/>
        <v>Реализация товаров и услуг</v>
      </c>
      <c r="B115" s="13">
        <f t="array" ref="B115">IFERROR(INDEX(CreditDAY[Credit Days Nominal],MATCH(M115&amp;Q115&amp;I115,CreditDAY[Customer]&amp;CreditDAY[Договор.Наименование]&amp;CreditDAY[Brand Temp],0)),0)</f>
        <v>0</v>
      </c>
      <c r="C115" s="10"/>
      <c r="D115" s="165">
        <f t="shared" si="8"/>
        <v>44407</v>
      </c>
      <c r="E115" s="16">
        <f t="shared" si="6"/>
        <v>44407.625150462962</v>
      </c>
      <c r="F115" s="23">
        <f t="shared" si="9"/>
        <v>45.374849537038244</v>
      </c>
      <c r="G115" s="27" t="str">
        <f t="array" ref="G115">IF(K115&lt;0,"Advance",INDEX('Days Ranges'!$C$4:$C$12,MATCH(1,($F115&gt;='Days Ranges'!$A$4:$A$12)*($F115&lt;'Days Ranges'!$B$4:$B$12),0)))</f>
        <v>46-90 days</v>
      </c>
      <c r="H115" s="27" t="str">
        <f t="array" ref="H115">IF(K115&lt;0,"Advance",INDEX('Days Ranges'!$D$4:$D$12,MATCH(1,($F115&gt;'Days Ranges'!$A$4:$A$12)*($F115&lt;'Days Ranges'!$B$4:$B$12),0)))</f>
        <v>Current</v>
      </c>
      <c r="I115" s="27" t="str">
        <f>IFERROR(IF(IFERROR(REPLACE(O115,FIND("ОПТ ",O115,1),4,""),O115)=0,VLOOKUP(MID(Q115,FIND(" ",Q115,1)+1,3),Brands!$B$2:$C$24,2,0),IFERROR(REPLACE(O115,FIND("ОПТ ",O115,1),4,""),O115)),"Check PLEASE")</f>
        <v>Сток Dr.Martens</v>
      </c>
      <c r="J115" s="27" t="str">
        <f>VLOOKUP(I115,Brands!$E$2:$F$21,2,0)</f>
        <v>Dr.Martens</v>
      </c>
      <c r="K115" s="23">
        <f t="shared" si="10"/>
        <v>0.8</v>
      </c>
      <c r="L115" s="204" t="s">
        <v>1468</v>
      </c>
      <c r="M115" s="205" t="s">
        <v>1469</v>
      </c>
      <c r="N115" s="204" t="s">
        <v>1470</v>
      </c>
      <c r="O115" s="205" t="s">
        <v>107</v>
      </c>
      <c r="P115" s="205" t="s">
        <v>28</v>
      </c>
      <c r="Q115" s="205" t="s">
        <v>1471</v>
      </c>
      <c r="R115" s="87" t="s">
        <v>74</v>
      </c>
      <c r="S115" s="84"/>
      <c r="T115" s="84"/>
      <c r="U115" s="84"/>
      <c r="V115" s="84"/>
      <c r="W115" s="4" t="str">
        <f t="shared" si="11"/>
        <v>Positive</v>
      </c>
      <c r="X115" s="206">
        <v>0.8</v>
      </c>
    </row>
    <row r="116" spans="1:24" ht="12" x14ac:dyDescent="0.2">
      <c r="A116" s="22" t="str">
        <f t="shared" si="7"/>
        <v>Платежное поручение входящее</v>
      </c>
      <c r="B116" s="13">
        <f t="array" ref="B116">IFERROR(INDEX(CreditDAY[Credit Days Nominal],MATCH(M116&amp;Q116&amp;I116,CreditDAY[Customer]&amp;CreditDAY[Договор.Наименование]&amp;CreditDAY[Brand Temp],0)),0)</f>
        <v>0</v>
      </c>
      <c r="C116" s="10"/>
      <c r="D116" s="165">
        <f t="shared" si="8"/>
        <v>44407</v>
      </c>
      <c r="E116" s="16">
        <f t="shared" si="6"/>
        <v>44407.708333333336</v>
      </c>
      <c r="F116" s="23">
        <f t="shared" si="9"/>
        <v>45.291666666664241</v>
      </c>
      <c r="G116" s="27" t="str">
        <f t="array" ref="G116">IF(K116&lt;0,"Advance",INDEX('Days Ranges'!$C$4:$C$12,MATCH(1,($F116&gt;='Days Ranges'!$A$4:$A$12)*($F116&lt;'Days Ranges'!$B$4:$B$12),0)))</f>
        <v>Advance</v>
      </c>
      <c r="H116" s="27" t="str">
        <f t="array" ref="H116">IF(K116&lt;0,"Advance",INDEX('Days Ranges'!$D$4:$D$12,MATCH(1,($F116&gt;'Days Ranges'!$A$4:$A$12)*($F116&lt;'Days Ranges'!$B$4:$B$12),0)))</f>
        <v>Advance</v>
      </c>
      <c r="I116" s="27" t="str">
        <f>IFERROR(IF(IFERROR(REPLACE(O116,FIND("ОПТ ",O116,1),4,""),O116)=0,VLOOKUP(MID(Q116,FIND(" ",Q116,1)+1,3),Brands!$B$2:$C$24,2,0),IFERROR(REPLACE(O116,FIND("ОПТ ",O116,1),4,""),O116)),"Check PLEASE")</f>
        <v>Сток Converse</v>
      </c>
      <c r="J116" s="27" t="str">
        <f>VLOOKUP(I116,Brands!$E$2:$F$21,2,0)</f>
        <v>Converse</v>
      </c>
      <c r="K116" s="23">
        <f t="shared" si="10"/>
        <v>-5200</v>
      </c>
      <c r="L116" s="204" t="s">
        <v>1472</v>
      </c>
      <c r="M116" s="205" t="s">
        <v>1428</v>
      </c>
      <c r="N116" s="204" t="s">
        <v>1473</v>
      </c>
      <c r="O116" s="205" t="s">
        <v>52</v>
      </c>
      <c r="P116" s="205" t="s">
        <v>36</v>
      </c>
      <c r="Q116" s="205" t="s">
        <v>17</v>
      </c>
      <c r="R116" s="87" t="s">
        <v>243</v>
      </c>
      <c r="S116" s="84"/>
      <c r="T116" s="84"/>
      <c r="U116" s="84"/>
      <c r="V116" s="84"/>
      <c r="W116" s="4" t="str">
        <f t="shared" si="11"/>
        <v>Negative</v>
      </c>
      <c r="X116" s="206">
        <v>-5200</v>
      </c>
    </row>
    <row r="117" spans="1:24" ht="12" x14ac:dyDescent="0.2">
      <c r="A117" s="22" t="str">
        <f t="shared" si="7"/>
        <v>Отчет комиссионера о продажах</v>
      </c>
      <c r="B117" s="13">
        <f t="array" ref="B117">IFERROR(INDEX(CreditDAY[Credit Days Nominal],MATCH(M117&amp;Q117&amp;I117,CreditDAY[Customer]&amp;CreditDAY[Договор.Наименование]&amp;CreditDAY[Brand Temp],0)),0)</f>
        <v>45</v>
      </c>
      <c r="C117" s="10"/>
      <c r="D117" s="165">
        <f t="shared" si="8"/>
        <v>44408</v>
      </c>
      <c r="E117" s="16">
        <f t="shared" si="6"/>
        <v>44453.685983796298</v>
      </c>
      <c r="F117" s="23">
        <f t="shared" si="9"/>
        <v>-0.68598379629838746</v>
      </c>
      <c r="G117" s="27" t="str">
        <f t="array" ref="G117">IF(K117&lt;0,"Advance",INDEX('Days Ranges'!$C$4:$C$12,MATCH(1,($F117&gt;='Days Ranges'!$A$4:$A$12)*($F117&lt;'Days Ranges'!$B$4:$B$12),0)))</f>
        <v>Current</v>
      </c>
      <c r="H117" s="27" t="str">
        <f t="array" ref="H117">IF(K117&lt;0,"Advance",INDEX('Days Ranges'!$D$4:$D$12,MATCH(1,($F117&gt;'Days Ranges'!$A$4:$A$12)*($F117&lt;'Days Ranges'!$B$4:$B$12),0)))</f>
        <v>Current</v>
      </c>
      <c r="I117" s="27" t="str">
        <f>IFERROR(IF(IFERROR(REPLACE(O117,FIND("ОПТ ",O117,1),4,""),O117)=0,VLOOKUP(MID(Q117,FIND(" ",Q117,1)+1,3),Brands!$B$2:$C$24,2,0),IFERROR(REPLACE(O117,FIND("ОПТ ",O117,1),4,""),O117)),"Check PLEASE")</f>
        <v>Сток Converse</v>
      </c>
      <c r="J117" s="27" t="str">
        <f>VLOOKUP(I117,Brands!$E$2:$F$21,2,0)</f>
        <v>Converse</v>
      </c>
      <c r="K117" s="23">
        <f t="shared" si="10"/>
        <v>47143</v>
      </c>
      <c r="L117" s="204" t="s">
        <v>1474</v>
      </c>
      <c r="M117" s="205" t="s">
        <v>277</v>
      </c>
      <c r="N117" s="204" t="s">
        <v>1475</v>
      </c>
      <c r="O117" s="205" t="s">
        <v>52</v>
      </c>
      <c r="P117" s="205"/>
      <c r="Q117" s="205" t="s">
        <v>278</v>
      </c>
      <c r="R117" s="87" t="s">
        <v>243</v>
      </c>
      <c r="S117" s="84"/>
      <c r="T117" s="84"/>
      <c r="U117" s="84"/>
      <c r="V117" s="84"/>
      <c r="W117" s="4" t="str">
        <f t="shared" si="11"/>
        <v>Positive</v>
      </c>
      <c r="X117" s="207">
        <v>47143</v>
      </c>
    </row>
    <row r="118" spans="1:24" ht="12" x14ac:dyDescent="0.2">
      <c r="A118" s="22" t="str">
        <f t="shared" si="7"/>
        <v>Отчет комиссионера о продажах</v>
      </c>
      <c r="B118" s="13">
        <f t="array" ref="B118">IFERROR(INDEX(CreditDAY[Credit Days Nominal],MATCH(M118&amp;Q118&amp;I118,CreditDAY[Customer]&amp;CreditDAY[Договор.Наименование]&amp;CreditDAY[Brand Temp],0)),0)</f>
        <v>45</v>
      </c>
      <c r="C118" s="10"/>
      <c r="D118" s="165">
        <f t="shared" si="8"/>
        <v>44408</v>
      </c>
      <c r="E118" s="16">
        <f t="shared" si="6"/>
        <v>44453.68681712963</v>
      </c>
      <c r="F118" s="23">
        <f t="shared" si="9"/>
        <v>-0.68681712963007158</v>
      </c>
      <c r="G118" s="27" t="str">
        <f t="array" ref="G118">IF(K118&lt;0,"Advance",INDEX('Days Ranges'!$C$4:$C$12,MATCH(1,($F118&gt;='Days Ranges'!$A$4:$A$12)*($F118&lt;'Days Ranges'!$B$4:$B$12),0)))</f>
        <v>Current</v>
      </c>
      <c r="H118" s="27" t="str">
        <f t="array" ref="H118">IF(K118&lt;0,"Advance",INDEX('Days Ranges'!$D$4:$D$12,MATCH(1,($F118&gt;'Days Ranges'!$A$4:$A$12)*($F118&lt;'Days Ranges'!$B$4:$B$12),0)))</f>
        <v>Current</v>
      </c>
      <c r="I118" s="27" t="str">
        <f>IFERROR(IF(IFERROR(REPLACE(O118,FIND("ОПТ ",O118,1),4,""),O118)=0,VLOOKUP(MID(Q118,FIND(" ",Q118,1)+1,3),Brands!$B$2:$C$24,2,0),IFERROR(REPLACE(O118,FIND("ОПТ ",O118,1),4,""),O118)),"Check PLEASE")</f>
        <v>Сток Dr.Martens</v>
      </c>
      <c r="J118" s="27" t="str">
        <f>VLOOKUP(I118,Brands!$E$2:$F$21,2,0)</f>
        <v>Dr.Martens</v>
      </c>
      <c r="K118" s="23">
        <f t="shared" si="10"/>
        <v>5317</v>
      </c>
      <c r="L118" s="204" t="s">
        <v>1476</v>
      </c>
      <c r="M118" s="205" t="s">
        <v>277</v>
      </c>
      <c r="N118" s="204" t="s">
        <v>1477</v>
      </c>
      <c r="O118" s="205" t="s">
        <v>107</v>
      </c>
      <c r="P118" s="205"/>
      <c r="Q118" s="205" t="s">
        <v>278</v>
      </c>
      <c r="R118" s="87" t="s">
        <v>288</v>
      </c>
      <c r="S118" s="84"/>
      <c r="T118" s="84"/>
      <c r="U118" s="84"/>
      <c r="V118" s="84"/>
      <c r="W118" s="4" t="str">
        <f t="shared" si="11"/>
        <v>Positive</v>
      </c>
      <c r="X118" s="206">
        <v>5317</v>
      </c>
    </row>
    <row r="119" spans="1:24" ht="12" x14ac:dyDescent="0.2">
      <c r="A119" s="22" t="str">
        <f t="shared" si="7"/>
        <v>Отчет комиссионера о продажах</v>
      </c>
      <c r="B119" s="13">
        <f t="array" ref="B119">IFERROR(INDEX(CreditDAY[Credit Days Nominal],MATCH(M119&amp;Q119&amp;I119,CreditDAY[Customer]&amp;CreditDAY[Договор.Наименование]&amp;CreditDAY[Brand Temp],0)),0)</f>
        <v>45</v>
      </c>
      <c r="C119" s="10"/>
      <c r="D119" s="165">
        <f t="shared" si="8"/>
        <v>44408</v>
      </c>
      <c r="E119" s="16">
        <f t="shared" si="6"/>
        <v>44453.687581018516</v>
      </c>
      <c r="F119" s="23">
        <f t="shared" si="9"/>
        <v>-0.68758101851562969</v>
      </c>
      <c r="G119" s="27" t="str">
        <f t="array" ref="G119">IF(K119&lt;0,"Advance",INDEX('Days Ranges'!$C$4:$C$12,MATCH(1,($F119&gt;='Days Ranges'!$A$4:$A$12)*($F119&lt;'Days Ranges'!$B$4:$B$12),0)))</f>
        <v>Current</v>
      </c>
      <c r="H119" s="27" t="str">
        <f t="array" ref="H119">IF(K119&lt;0,"Advance",INDEX('Days Ranges'!$D$4:$D$12,MATCH(1,($F119&gt;'Days Ranges'!$A$4:$A$12)*($F119&lt;'Days Ranges'!$B$4:$B$12),0)))</f>
        <v>Current</v>
      </c>
      <c r="I119" s="27" t="str">
        <f>IFERROR(IF(IFERROR(REPLACE(O119,FIND("ОПТ ",O119,1),4,""),O119)=0,VLOOKUP(MID(Q119,FIND(" ",Q119,1)+1,3),Brands!$B$2:$C$24,2,0),IFERROR(REPLACE(O119,FIND("ОПТ ",O119,1),4,""),O119)),"Check PLEASE")</f>
        <v>Сток Saucony</v>
      </c>
      <c r="J119" s="27" t="str">
        <f>VLOOKUP(I119,Brands!$E$2:$F$21,2,0)</f>
        <v>Saucony</v>
      </c>
      <c r="K119" s="23">
        <f t="shared" si="10"/>
        <v>348477.93</v>
      </c>
      <c r="L119" s="204" t="s">
        <v>1478</v>
      </c>
      <c r="M119" s="205" t="s">
        <v>277</v>
      </c>
      <c r="N119" s="204" t="s">
        <v>1479</v>
      </c>
      <c r="O119" s="205" t="s">
        <v>35</v>
      </c>
      <c r="P119" s="205"/>
      <c r="Q119" s="205" t="s">
        <v>278</v>
      </c>
      <c r="R119" s="87" t="s">
        <v>288</v>
      </c>
      <c r="S119" s="84"/>
      <c r="T119" s="84"/>
      <c r="U119" s="84"/>
      <c r="V119" s="84"/>
      <c r="W119" s="4" t="str">
        <f t="shared" si="11"/>
        <v>Positive</v>
      </c>
      <c r="X119" s="206">
        <v>348477.93</v>
      </c>
    </row>
    <row r="120" spans="1:24" ht="12" x14ac:dyDescent="0.2">
      <c r="A120" s="22" t="str">
        <f t="shared" si="7"/>
        <v>Отчет комиссионера о продажах</v>
      </c>
      <c r="B120" s="13">
        <f t="array" ref="B120">IFERROR(INDEX(CreditDAY[Credit Days Nominal],MATCH(M120&amp;Q120&amp;I120,CreditDAY[Customer]&amp;CreditDAY[Договор.Наименование]&amp;CreditDAY[Brand Temp],0)),0)</f>
        <v>45</v>
      </c>
      <c r="C120" s="10"/>
      <c r="D120" s="165">
        <f t="shared" si="8"/>
        <v>44408</v>
      </c>
      <c r="E120" s="16">
        <f t="shared" si="6"/>
        <v>44453.688171296293</v>
      </c>
      <c r="F120" s="23">
        <f t="shared" si="9"/>
        <v>-0.68817129629314877</v>
      </c>
      <c r="G120" s="27" t="str">
        <f t="array" ref="G120">IF(K120&lt;0,"Advance",INDEX('Days Ranges'!$C$4:$C$12,MATCH(1,($F120&gt;='Days Ranges'!$A$4:$A$12)*($F120&lt;'Days Ranges'!$B$4:$B$12),0)))</f>
        <v>Current</v>
      </c>
      <c r="H120" s="27" t="str">
        <f t="array" ref="H120">IF(K120&lt;0,"Advance",INDEX('Days Ranges'!$D$4:$D$12,MATCH(1,($F120&gt;'Days Ranges'!$A$4:$A$12)*($F120&lt;'Days Ranges'!$B$4:$B$12),0)))</f>
        <v>Current</v>
      </c>
      <c r="I120" s="27" t="str">
        <f>IFERROR(IF(IFERROR(REPLACE(O120,FIND("ОПТ ",O120,1),4,""),O120)=0,VLOOKUP(MID(Q120,FIND(" ",Q120,1)+1,3),Brands!$B$2:$C$24,2,0),IFERROR(REPLACE(O120,FIND("ОПТ ",O120,1),4,""),O120)),"Check PLEASE")</f>
        <v>Сток UGG</v>
      </c>
      <c r="J120" s="27" t="str">
        <f>VLOOKUP(I120,Brands!$E$2:$F$21,2,0)</f>
        <v>UGG</v>
      </c>
      <c r="K120" s="23">
        <f t="shared" si="10"/>
        <v>332261</v>
      </c>
      <c r="L120" s="204" t="s">
        <v>1480</v>
      </c>
      <c r="M120" s="205" t="s">
        <v>277</v>
      </c>
      <c r="N120" s="204" t="s">
        <v>1481</v>
      </c>
      <c r="O120" s="205" t="s">
        <v>88</v>
      </c>
      <c r="P120" s="205"/>
      <c r="Q120" s="205" t="s">
        <v>278</v>
      </c>
      <c r="R120" s="87" t="s">
        <v>288</v>
      </c>
      <c r="S120" s="84"/>
      <c r="T120" s="84"/>
      <c r="U120" s="84"/>
      <c r="V120" s="84"/>
      <c r="W120" s="4" t="str">
        <f t="shared" si="11"/>
        <v>Positive</v>
      </c>
      <c r="X120" s="206">
        <v>332261</v>
      </c>
    </row>
    <row r="121" spans="1:24" ht="12" x14ac:dyDescent="0.2">
      <c r="A121" s="10" t="str">
        <f t="shared" si="7"/>
        <v>Отчет комиссионера о продажах</v>
      </c>
      <c r="B121" s="13">
        <f t="array" ref="B121">IFERROR(INDEX(CreditDAY[Credit Days Nominal],MATCH(M121&amp;Q121&amp;I121,CreditDAY[Customer]&amp;CreditDAY[Договор.Наименование]&amp;CreditDAY[Brand Temp],0)),0)</f>
        <v>38</v>
      </c>
      <c r="C121" s="10"/>
      <c r="D121" s="165">
        <f t="shared" si="8"/>
        <v>44408</v>
      </c>
      <c r="E121" s="16">
        <f t="shared" si="6"/>
        <v>44446.711585648147</v>
      </c>
      <c r="F121" s="23">
        <f t="shared" si="9"/>
        <v>6.2884143518531346</v>
      </c>
      <c r="G121" s="27" t="str">
        <f t="array" ref="G121">IF(K121&lt;0,"Advance",INDEX('Days Ranges'!$C$4:$C$12,MATCH(1,($F121&gt;='Days Ranges'!$A$4:$A$12)*($F121&lt;'Days Ranges'!$B$4:$B$12),0)))</f>
        <v>1-14 days</v>
      </c>
      <c r="H121" s="27" t="str">
        <f t="array" ref="H121">IF(K121&lt;0,"Advance",INDEX('Days Ranges'!$D$4:$D$12,MATCH(1,($F121&gt;'Days Ranges'!$A$4:$A$12)*($F121&lt;'Days Ranges'!$B$4:$B$12),0)))</f>
        <v>Current</v>
      </c>
      <c r="I121" s="27" t="str">
        <f>IFERROR(IF(IFERROR(REPLACE(O121,FIND("ОПТ ",O121,1),4,""),O121)=0,VLOOKUP(MID(Q121,FIND(" ",Q121,1)+1,3),Brands!$B$2:$C$24,2,0),IFERROR(REPLACE(O121,FIND("ОПТ ",O121,1),4,""),O121)),"Check PLEASE")</f>
        <v>Сток Havaianas</v>
      </c>
      <c r="J121" s="27" t="str">
        <f>VLOOKUP(I121,Brands!$E$2:$F$21,2,0)</f>
        <v>Havaianas</v>
      </c>
      <c r="K121" s="23">
        <f t="shared" si="10"/>
        <v>6879.23</v>
      </c>
      <c r="L121" s="204" t="s">
        <v>1482</v>
      </c>
      <c r="M121" s="205" t="s">
        <v>69</v>
      </c>
      <c r="N121" s="204" t="s">
        <v>1483</v>
      </c>
      <c r="O121" s="205" t="s">
        <v>85</v>
      </c>
      <c r="P121" s="205"/>
      <c r="Q121" s="205" t="s">
        <v>75</v>
      </c>
      <c r="R121" s="87" t="s">
        <v>49</v>
      </c>
      <c r="S121" s="84"/>
      <c r="T121" s="84"/>
      <c r="U121" s="84"/>
      <c r="V121" s="84"/>
      <c r="W121" s="4" t="str">
        <f t="shared" si="11"/>
        <v>Positive</v>
      </c>
      <c r="X121" s="206">
        <v>6879.23</v>
      </c>
    </row>
    <row r="122" spans="1:24" ht="12" x14ac:dyDescent="0.2">
      <c r="A122" s="10" t="str">
        <f t="shared" si="7"/>
        <v>Реализация товаров и услуг</v>
      </c>
      <c r="B122" s="13">
        <f t="array" ref="B122">IFERROR(INDEX(CreditDAY[Credit Days Nominal],MATCH(M122&amp;Q122&amp;I122,CreditDAY[Customer]&amp;CreditDAY[Договор.Наименование]&amp;CreditDAY[Brand Temp],0)),0)</f>
        <v>65</v>
      </c>
      <c r="C122" s="10"/>
      <c r="D122" s="165">
        <f t="shared" si="8"/>
        <v>44413</v>
      </c>
      <c r="E122" s="16">
        <f t="shared" si="6"/>
        <v>44478.524074074077</v>
      </c>
      <c r="F122" s="23">
        <f t="shared" si="9"/>
        <v>-25.524074074077362</v>
      </c>
      <c r="G122" s="27" t="str">
        <f t="array" ref="G122">IF(K122&lt;0,"Advance",INDEX('Days Ranges'!$C$4:$C$12,MATCH(1,($F122&gt;='Days Ranges'!$A$4:$A$12)*($F122&lt;'Days Ranges'!$B$4:$B$12),0)))</f>
        <v>Current</v>
      </c>
      <c r="H122" s="27" t="str">
        <f t="array" ref="H122">IF(K122&lt;0,"Advance",INDEX('Days Ranges'!$D$4:$D$12,MATCH(1,($F122&gt;'Days Ranges'!$A$4:$A$12)*($F122&lt;'Days Ranges'!$B$4:$B$12),0)))</f>
        <v>Current</v>
      </c>
      <c r="I122" s="27" t="str">
        <f>IFERROR(IF(IFERROR(REPLACE(O122,FIND("ОПТ ",O122,1),4,""),O122)=0,VLOOKUP(MID(Q122,FIND(" ",Q122,1)+1,3),Brands!$B$2:$C$24,2,0),IFERROR(REPLACE(O122,FIND("ОПТ ",O122,1),4,""),O122)),"Check PLEASE")</f>
        <v>UGG</v>
      </c>
      <c r="J122" s="27" t="str">
        <f>VLOOKUP(I122,Brands!$E$2:$F$21,2,0)</f>
        <v>UGG</v>
      </c>
      <c r="K122" s="23">
        <f t="shared" si="10"/>
        <v>3267308</v>
      </c>
      <c r="L122" s="204" t="s">
        <v>1488</v>
      </c>
      <c r="M122" s="205" t="s">
        <v>240</v>
      </c>
      <c r="N122" s="204" t="s">
        <v>1489</v>
      </c>
      <c r="O122" s="205" t="s">
        <v>56</v>
      </c>
      <c r="P122" s="205" t="s">
        <v>28</v>
      </c>
      <c r="Q122" s="205" t="s">
        <v>243</v>
      </c>
      <c r="R122" s="87" t="s">
        <v>74</v>
      </c>
      <c r="S122" s="84"/>
      <c r="T122" s="84"/>
      <c r="U122" s="84"/>
      <c r="V122" s="84"/>
      <c r="W122" s="4" t="str">
        <f t="shared" si="11"/>
        <v>Positive</v>
      </c>
      <c r="X122" s="206">
        <v>3267308</v>
      </c>
    </row>
    <row r="123" spans="1:24" ht="12" x14ac:dyDescent="0.2">
      <c r="A123" s="10" t="str">
        <f t="shared" si="7"/>
        <v>Реализация товаров и услуг</v>
      </c>
      <c r="B123" s="13">
        <f t="array" ref="B123">IFERROR(INDEX(CreditDAY[Credit Days Nominal],MATCH(M123&amp;Q123&amp;I123,CreditDAY[Customer]&amp;CreditDAY[Договор.Наименование]&amp;CreditDAY[Brand Temp],0)),0)</f>
        <v>65</v>
      </c>
      <c r="C123" s="10"/>
      <c r="D123" s="165">
        <f t="shared" si="8"/>
        <v>44413</v>
      </c>
      <c r="E123" s="16">
        <f t="shared" si="6"/>
        <v>44478.525451388887</v>
      </c>
      <c r="F123" s="23">
        <f t="shared" si="9"/>
        <v>-25.525451388886722</v>
      </c>
      <c r="G123" s="27" t="str">
        <f t="array" ref="G123">IF(K123&lt;0,"Advance",INDEX('Days Ranges'!$C$4:$C$12,MATCH(1,($F123&gt;='Days Ranges'!$A$4:$A$12)*($F123&lt;'Days Ranges'!$B$4:$B$12),0)))</f>
        <v>Current</v>
      </c>
      <c r="H123" s="27" t="str">
        <f t="array" ref="H123">IF(K123&lt;0,"Advance",INDEX('Days Ranges'!$D$4:$D$12,MATCH(1,($F123&gt;'Days Ranges'!$A$4:$A$12)*($F123&lt;'Days Ranges'!$B$4:$B$12),0)))</f>
        <v>Current</v>
      </c>
      <c r="I123" s="27" t="str">
        <f>IFERROR(IF(IFERROR(REPLACE(O123,FIND("ОПТ ",O123,1),4,""),O123)=0,VLOOKUP(MID(Q123,FIND(" ",Q123,1)+1,3),Brands!$B$2:$C$24,2,0),IFERROR(REPLACE(O123,FIND("ОПТ ",O123,1),4,""),O123)),"Check PLEASE")</f>
        <v>Converse</v>
      </c>
      <c r="J123" s="27" t="str">
        <f>VLOOKUP(I123,Brands!$E$2:$F$21,2,0)</f>
        <v>Converse</v>
      </c>
      <c r="K123" s="23">
        <f t="shared" si="10"/>
        <v>5276835</v>
      </c>
      <c r="L123" s="204" t="s">
        <v>1490</v>
      </c>
      <c r="M123" s="205" t="s">
        <v>240</v>
      </c>
      <c r="N123" s="204" t="s">
        <v>1491</v>
      </c>
      <c r="O123" s="205" t="s">
        <v>20</v>
      </c>
      <c r="P123" s="205" t="s">
        <v>28</v>
      </c>
      <c r="Q123" s="205" t="s">
        <v>243</v>
      </c>
      <c r="R123" s="87" t="s">
        <v>101</v>
      </c>
      <c r="S123" s="84"/>
      <c r="T123" s="84"/>
      <c r="U123" s="84"/>
      <c r="V123" s="84"/>
      <c r="W123" s="4" t="str">
        <f t="shared" si="11"/>
        <v>Positive</v>
      </c>
      <c r="X123" s="206">
        <v>5276835</v>
      </c>
    </row>
    <row r="124" spans="1:24" ht="12" x14ac:dyDescent="0.2">
      <c r="A124" s="10" t="str">
        <f t="shared" si="7"/>
        <v>Реализация товаров и услуг</v>
      </c>
      <c r="B124" s="13">
        <f t="array" ref="B124">IFERROR(INDEX(CreditDAY[Credit Days Nominal],MATCH(M124&amp;Q124&amp;I124,CreditDAY[Customer]&amp;CreditDAY[Договор.Наименование]&amp;CreditDAY[Brand Temp],0)),0)</f>
        <v>65</v>
      </c>
      <c r="C124" s="10"/>
      <c r="D124" s="165">
        <f t="shared" si="8"/>
        <v>44413</v>
      </c>
      <c r="E124" s="16">
        <f t="shared" si="6"/>
        <v>44478.549201388887</v>
      </c>
      <c r="F124" s="23">
        <f t="shared" si="9"/>
        <v>-25.549201388887013</v>
      </c>
      <c r="G124" s="27" t="str">
        <f t="array" ref="G124">IF(K124&lt;0,"Advance",INDEX('Days Ranges'!$C$4:$C$12,MATCH(1,($F124&gt;='Days Ranges'!$A$4:$A$12)*($F124&lt;'Days Ranges'!$B$4:$B$12),0)))</f>
        <v>Current</v>
      </c>
      <c r="H124" s="27" t="str">
        <f t="array" ref="H124">IF(K124&lt;0,"Advance",INDEX('Days Ranges'!$D$4:$D$12,MATCH(1,($F124&gt;'Days Ranges'!$A$4:$A$12)*($F124&lt;'Days Ranges'!$B$4:$B$12),0)))</f>
        <v>Current</v>
      </c>
      <c r="I124" s="27" t="str">
        <f>IFERROR(IF(IFERROR(REPLACE(O124,FIND("ОПТ ",O124,1),4,""),O124)=0,VLOOKUP(MID(Q124,FIND(" ",Q124,1)+1,3),Brands!$B$2:$C$24,2,0),IFERROR(REPLACE(O124,FIND("ОПТ ",O124,1),4,""),O124)),"Check PLEASE")</f>
        <v>UGG</v>
      </c>
      <c r="J124" s="27" t="str">
        <f>VLOOKUP(I124,Brands!$E$2:$F$21,2,0)</f>
        <v>UGG</v>
      </c>
      <c r="K124" s="23">
        <f t="shared" si="10"/>
        <v>2612808</v>
      </c>
      <c r="L124" s="204" t="s">
        <v>1492</v>
      </c>
      <c r="M124" s="205" t="s">
        <v>240</v>
      </c>
      <c r="N124" s="204" t="s">
        <v>1493</v>
      </c>
      <c r="O124" s="205" t="s">
        <v>56</v>
      </c>
      <c r="P124" s="205" t="s">
        <v>28</v>
      </c>
      <c r="Q124" s="205" t="s">
        <v>243</v>
      </c>
      <c r="R124" s="87" t="s">
        <v>101</v>
      </c>
      <c r="S124" s="84"/>
      <c r="T124" s="84"/>
      <c r="U124" s="84"/>
      <c r="V124" s="84"/>
      <c r="W124" s="4" t="str">
        <f t="shared" si="11"/>
        <v>Positive</v>
      </c>
      <c r="X124" s="207">
        <v>2612808</v>
      </c>
    </row>
    <row r="125" spans="1:24" ht="12" x14ac:dyDescent="0.2">
      <c r="A125" s="10" t="str">
        <f t="shared" si="7"/>
        <v>Реализация товаров и услуг</v>
      </c>
      <c r="B125" s="13">
        <f t="array" ref="B125">IFERROR(INDEX(CreditDAY[Credit Days Nominal],MATCH(M125&amp;Q125&amp;I125,CreditDAY[Customer]&amp;CreditDAY[Договор.Наименование]&amp;CreditDAY[Brand Temp],0)),0)</f>
        <v>65</v>
      </c>
      <c r="C125" s="10"/>
      <c r="D125" s="165">
        <f t="shared" si="8"/>
        <v>44420</v>
      </c>
      <c r="E125" s="16">
        <f t="shared" si="6"/>
        <v>44485.567986111113</v>
      </c>
      <c r="F125" s="23">
        <f t="shared" si="9"/>
        <v>-32.567986111112987</v>
      </c>
      <c r="G125" s="27" t="str">
        <f t="array" ref="G125">IF(K125&lt;0,"Advance",INDEX('Days Ranges'!$C$4:$C$12,MATCH(1,($F125&gt;='Days Ranges'!$A$4:$A$12)*($F125&lt;'Days Ranges'!$B$4:$B$12),0)))</f>
        <v>Current</v>
      </c>
      <c r="H125" s="27" t="str">
        <f t="array" ref="H125">IF(K125&lt;0,"Advance",INDEX('Days Ranges'!$D$4:$D$12,MATCH(1,($F125&gt;'Days Ranges'!$A$4:$A$12)*($F125&lt;'Days Ranges'!$B$4:$B$12),0)))</f>
        <v>Current</v>
      </c>
      <c r="I125" s="27" t="str">
        <f>IFERROR(IF(IFERROR(REPLACE(O125,FIND("ОПТ ",O125,1),4,""),O125)=0,VLOOKUP(MID(Q125,FIND(" ",Q125,1)+1,3),Brands!$B$2:$C$24,2,0),IFERROR(REPLACE(O125,FIND("ОПТ ",O125,1),4,""),O125)),"Check PLEASE")</f>
        <v>Converse</v>
      </c>
      <c r="J125" s="27" t="str">
        <f>VLOOKUP(I125,Brands!$E$2:$F$21,2,0)</f>
        <v>Converse</v>
      </c>
      <c r="K125" s="23">
        <f t="shared" si="10"/>
        <v>4173210</v>
      </c>
      <c r="L125" s="204" t="s">
        <v>1525</v>
      </c>
      <c r="M125" s="205" t="s">
        <v>240</v>
      </c>
      <c r="N125" s="204" t="s">
        <v>1526</v>
      </c>
      <c r="O125" s="205" t="s">
        <v>20</v>
      </c>
      <c r="P125" s="205" t="s">
        <v>28</v>
      </c>
      <c r="Q125" s="205" t="s">
        <v>243</v>
      </c>
      <c r="R125" s="87" t="s">
        <v>243</v>
      </c>
      <c r="S125" s="84"/>
      <c r="T125" s="84"/>
      <c r="U125" s="84"/>
      <c r="V125" s="84"/>
      <c r="W125" s="4" t="str">
        <f t="shared" si="11"/>
        <v>Positive</v>
      </c>
      <c r="X125" s="206">
        <v>4173210</v>
      </c>
    </row>
    <row r="126" spans="1:24" ht="12" x14ac:dyDescent="0.2">
      <c r="A126" s="10" t="str">
        <f t="shared" si="7"/>
        <v>Платежное поручение входящее</v>
      </c>
      <c r="B126" s="13">
        <f t="array" ref="B126">IFERROR(INDEX(CreditDAY[Credit Days Nominal],MATCH(M126&amp;Q126&amp;I126,CreditDAY[Customer]&amp;CreditDAY[Договор.Наименование]&amp;CreditDAY[Brand Temp],0)),0)</f>
        <v>0</v>
      </c>
      <c r="C126" s="10"/>
      <c r="D126" s="165">
        <f t="shared" si="8"/>
        <v>44422</v>
      </c>
      <c r="E126" s="16">
        <f t="shared" si="6"/>
        <v>44422.708333333336</v>
      </c>
      <c r="F126" s="23">
        <f t="shared" si="9"/>
        <v>30.291666666664241</v>
      </c>
      <c r="G126" s="27" t="str">
        <f t="array" ref="G126">IF(K126&lt;0,"Advance",INDEX('Days Ranges'!$C$4:$C$12,MATCH(1,($F126&gt;='Days Ranges'!$A$4:$A$12)*($F126&lt;'Days Ranges'!$B$4:$B$12),0)))</f>
        <v>Advance</v>
      </c>
      <c r="H126" s="27" t="str">
        <f t="array" ref="H126">IF(K126&lt;0,"Advance",INDEX('Days Ranges'!$D$4:$D$12,MATCH(1,($F126&gt;'Days Ranges'!$A$4:$A$12)*($F126&lt;'Days Ranges'!$B$4:$B$12),0)))</f>
        <v>Advance</v>
      </c>
      <c r="I126" s="27" t="str">
        <f>IFERROR(IF(IFERROR(REPLACE(O126,FIND("ОПТ ",O126,1),4,""),O126)=0,VLOOKUP(MID(Q126,FIND(" ",Q126,1)+1,3),Brands!$B$2:$C$24,2,0),IFERROR(REPLACE(O126,FIND("ОПТ ",O126,1),4,""),O126)),"Check PLEASE")</f>
        <v>Сток Converse</v>
      </c>
      <c r="J126" s="27" t="str">
        <f>VLOOKUP(I126,Brands!$E$2:$F$21,2,0)</f>
        <v>Converse</v>
      </c>
      <c r="K126" s="23">
        <f t="shared" si="10"/>
        <v>-64.540000000000006</v>
      </c>
      <c r="L126" s="204" t="s">
        <v>1527</v>
      </c>
      <c r="M126" s="205" t="s">
        <v>328</v>
      </c>
      <c r="N126" s="204" t="s">
        <v>1528</v>
      </c>
      <c r="O126" s="205" t="s">
        <v>52</v>
      </c>
      <c r="P126" s="205" t="s">
        <v>36</v>
      </c>
      <c r="Q126" s="205" t="s">
        <v>906</v>
      </c>
      <c r="R126" s="87" t="s">
        <v>243</v>
      </c>
      <c r="S126" s="84"/>
      <c r="T126" s="84"/>
      <c r="U126" s="84"/>
      <c r="V126" s="84"/>
      <c r="W126" s="4" t="str">
        <f t="shared" si="11"/>
        <v>Negative</v>
      </c>
      <c r="X126" s="206">
        <v>-64.540000000000006</v>
      </c>
    </row>
    <row r="127" spans="1:24" ht="12" x14ac:dyDescent="0.2">
      <c r="A127" s="10" t="str">
        <f t="shared" si="7"/>
        <v>Реализация товаров и услуг</v>
      </c>
      <c r="B127" s="13">
        <f t="array" ref="B127">IFERROR(INDEX(CreditDAY[Credit Days Nominal],MATCH(M127&amp;Q127&amp;I127,CreditDAY[Customer]&amp;CreditDAY[Договор.Наименование]&amp;CreditDAY[Brand Temp],0)),0)</f>
        <v>73</v>
      </c>
      <c r="C127" s="10"/>
      <c r="D127" s="165">
        <f t="shared" si="8"/>
        <v>44424</v>
      </c>
      <c r="E127" s="16">
        <f t="shared" si="6"/>
        <v>44497.44462962963</v>
      </c>
      <c r="F127" s="23">
        <f t="shared" si="9"/>
        <v>-44.444629629630072</v>
      </c>
      <c r="G127" s="27" t="str">
        <f t="array" ref="G127">IF(K127&lt;0,"Advance",INDEX('Days Ranges'!$C$4:$C$12,MATCH(1,($F127&gt;='Days Ranges'!$A$4:$A$12)*($F127&lt;'Days Ranges'!$B$4:$B$12),0)))</f>
        <v>Current</v>
      </c>
      <c r="H127" s="27" t="str">
        <f t="array" ref="H127">IF(K127&lt;0,"Advance",INDEX('Days Ranges'!$D$4:$D$12,MATCH(1,($F127&gt;'Days Ranges'!$A$4:$A$12)*($F127&lt;'Days Ranges'!$B$4:$B$12),0)))</f>
        <v>Current</v>
      </c>
      <c r="I127" s="27" t="str">
        <f>IFERROR(IF(IFERROR(REPLACE(O127,FIND("ОПТ ",O127,1),4,""),O127)=0,VLOOKUP(MID(Q127,FIND(" ",Q127,1)+1,3),Brands!$B$2:$C$24,2,0),IFERROR(REPLACE(O127,FIND("ОПТ ",O127,1),4,""),O127)),"Check PLEASE")</f>
        <v>Converse</v>
      </c>
      <c r="J127" s="27" t="str">
        <f>VLOOKUP(I127,Brands!$E$2:$F$21,2,0)</f>
        <v>Converse</v>
      </c>
      <c r="K127" s="23">
        <f t="shared" si="10"/>
        <v>440214.4</v>
      </c>
      <c r="L127" s="204" t="s">
        <v>1529</v>
      </c>
      <c r="M127" s="205" t="s">
        <v>324</v>
      </c>
      <c r="N127" s="204" t="s">
        <v>1530</v>
      </c>
      <c r="O127" s="205" t="s">
        <v>20</v>
      </c>
      <c r="P127" s="205" t="s">
        <v>28</v>
      </c>
      <c r="Q127" s="205" t="s">
        <v>492</v>
      </c>
      <c r="R127" s="87" t="s">
        <v>1129</v>
      </c>
      <c r="S127" s="84"/>
      <c r="T127" s="84"/>
      <c r="U127" s="84"/>
      <c r="V127" s="84"/>
      <c r="W127" s="4" t="str">
        <f t="shared" si="11"/>
        <v>Positive</v>
      </c>
      <c r="X127" s="206">
        <v>440214.4</v>
      </c>
    </row>
    <row r="128" spans="1:24" ht="12" x14ac:dyDescent="0.2">
      <c r="A128" s="10" t="str">
        <f t="shared" si="7"/>
        <v>Реализация товаров и услуг</v>
      </c>
      <c r="B128" s="13">
        <f t="array" ref="B128">IFERROR(INDEX(CreditDAY[Credit Days Nominal],MATCH(M128&amp;Q128&amp;I128,CreditDAY[Customer]&amp;CreditDAY[Договор.Наименование]&amp;CreditDAY[Brand Temp],0)),0)</f>
        <v>65</v>
      </c>
      <c r="C128" s="10"/>
      <c r="D128" s="165">
        <f t="shared" si="8"/>
        <v>44428</v>
      </c>
      <c r="E128" s="16">
        <f t="shared" si="6"/>
        <v>44493</v>
      </c>
      <c r="F128" s="23">
        <f t="shared" si="9"/>
        <v>-40</v>
      </c>
      <c r="G128" s="27" t="str">
        <f t="array" ref="G128">IF(K128&lt;0,"Advance",INDEX('Days Ranges'!$C$4:$C$12,MATCH(1,($F128&gt;='Days Ranges'!$A$4:$A$12)*($F128&lt;'Days Ranges'!$B$4:$B$12),0)))</f>
        <v>Current</v>
      </c>
      <c r="H128" s="27" t="str">
        <f t="array" ref="H128">IF(K128&lt;0,"Advance",INDEX('Days Ranges'!$D$4:$D$12,MATCH(1,($F128&gt;'Days Ranges'!$A$4:$A$12)*($F128&lt;'Days Ranges'!$B$4:$B$12),0)))</f>
        <v>Current</v>
      </c>
      <c r="I128" s="27" t="str">
        <f>IFERROR(IF(IFERROR(REPLACE(O128,FIND("ОПТ ",O128,1),4,""),O128)=0,VLOOKUP(MID(Q128,FIND(" ",Q128,1)+1,3),Brands!$B$2:$C$24,2,0),IFERROR(REPLACE(O128,FIND("ОПТ ",O128,1),4,""),O128)),"Check PLEASE")</f>
        <v>Сток Converse</v>
      </c>
      <c r="J128" s="27" t="str">
        <f>VLOOKUP(I128,Brands!$E$2:$F$21,2,0)</f>
        <v>Converse</v>
      </c>
      <c r="K128" s="23">
        <f t="shared" si="10"/>
        <v>1305045</v>
      </c>
      <c r="L128" s="204" t="s">
        <v>1531</v>
      </c>
      <c r="M128" s="205" t="s">
        <v>240</v>
      </c>
      <c r="N128" s="204" t="s">
        <v>1549</v>
      </c>
      <c r="O128" s="205" t="s">
        <v>52</v>
      </c>
      <c r="P128" s="205" t="s">
        <v>28</v>
      </c>
      <c r="Q128" s="205" t="s">
        <v>243</v>
      </c>
      <c r="R128" s="87" t="s">
        <v>288</v>
      </c>
      <c r="S128" s="84"/>
      <c r="T128" s="84"/>
      <c r="U128" s="84"/>
      <c r="V128" s="84"/>
      <c r="W128" s="4" t="str">
        <f t="shared" si="11"/>
        <v>Positive</v>
      </c>
      <c r="X128" s="206">
        <v>1305045</v>
      </c>
    </row>
    <row r="129" spans="1:24" ht="12" x14ac:dyDescent="0.2">
      <c r="A129" s="22" t="str">
        <f t="shared" si="7"/>
        <v>Реализация товаров и услуг</v>
      </c>
      <c r="B129" s="13">
        <f t="array" ref="B129">IFERROR(INDEX(CreditDAY[Credit Days Nominal],MATCH(M129&amp;Q129&amp;I129,CreditDAY[Customer]&amp;CreditDAY[Договор.Наименование]&amp;CreditDAY[Brand Temp],0)),0)</f>
        <v>95</v>
      </c>
      <c r="C129" s="10"/>
      <c r="D129" s="165">
        <f t="shared" si="8"/>
        <v>44428</v>
      </c>
      <c r="E129" s="16">
        <f t="shared" si="6"/>
        <v>44523.481273148151</v>
      </c>
      <c r="F129" s="23">
        <f t="shared" si="9"/>
        <v>-70.481273148150649</v>
      </c>
      <c r="G129" s="27" t="str">
        <f t="array" ref="G129">IF(K129&lt;0,"Advance",INDEX('Days Ranges'!$C$4:$C$12,MATCH(1,($F129&gt;='Days Ranges'!$A$4:$A$12)*($F129&lt;'Days Ranges'!$B$4:$B$12),0)))</f>
        <v>Current</v>
      </c>
      <c r="H129" s="27" t="str">
        <f t="array" ref="H129">IF(K129&lt;0,"Advance",INDEX('Days Ranges'!$D$4:$D$12,MATCH(1,($F129&gt;'Days Ranges'!$A$4:$A$12)*($F129&lt;'Days Ranges'!$B$4:$B$12),0)))</f>
        <v>Current</v>
      </c>
      <c r="I129" s="27" t="str">
        <f>IFERROR(IF(IFERROR(REPLACE(O129,FIND("ОПТ ",O129,1),4,""),O129)=0,VLOOKUP(MID(Q129,FIND(" ",Q129,1)+1,3),Brands!$B$2:$C$24,2,0),IFERROR(REPLACE(O129,FIND("ОПТ ",O129,1),4,""),O129)),"Check PLEASE")</f>
        <v>Сток Saucony</v>
      </c>
      <c r="J129" s="27" t="str">
        <f>VLOOKUP(I129,Brands!$E$2:$F$21,2,0)</f>
        <v>Saucony</v>
      </c>
      <c r="K129" s="23">
        <f t="shared" si="10"/>
        <v>82992</v>
      </c>
      <c r="L129" s="204" t="s">
        <v>1532</v>
      </c>
      <c r="M129" s="205" t="s">
        <v>185</v>
      </c>
      <c r="N129" s="204" t="s">
        <v>1550</v>
      </c>
      <c r="O129" s="205" t="s">
        <v>35</v>
      </c>
      <c r="P129" s="205" t="s">
        <v>28</v>
      </c>
      <c r="Q129" s="205" t="s">
        <v>186</v>
      </c>
      <c r="R129" s="87" t="s">
        <v>288</v>
      </c>
      <c r="S129" s="84"/>
      <c r="T129" s="84"/>
      <c r="U129" s="84"/>
      <c r="V129" s="84"/>
      <c r="W129" s="4" t="str">
        <f t="shared" si="11"/>
        <v>Positive</v>
      </c>
      <c r="X129" s="206">
        <v>82992</v>
      </c>
    </row>
    <row r="130" spans="1:24" ht="12" x14ac:dyDescent="0.2">
      <c r="A130" s="22" t="str">
        <f t="shared" si="7"/>
        <v>Реализация товаров и услуг</v>
      </c>
      <c r="B130" s="13">
        <f t="array" ref="B130">IFERROR(INDEX(CreditDAY[Credit Days Nominal],MATCH(M130&amp;Q130&amp;I130,CreditDAY[Customer]&amp;CreditDAY[Договор.Наименование]&amp;CreditDAY[Brand Temp],0)),0)</f>
        <v>95</v>
      </c>
      <c r="C130" s="10"/>
      <c r="D130" s="165">
        <f t="shared" si="8"/>
        <v>44428</v>
      </c>
      <c r="E130" s="16">
        <f t="shared" si="6"/>
        <v>44523.483680555553</v>
      </c>
      <c r="F130" s="23">
        <f t="shared" si="9"/>
        <v>-70.483680555553292</v>
      </c>
      <c r="G130" s="27" t="str">
        <f t="array" ref="G130">IF(K130&lt;0,"Advance",INDEX('Days Ranges'!$C$4:$C$12,MATCH(1,($F130&gt;='Days Ranges'!$A$4:$A$12)*($F130&lt;'Days Ranges'!$B$4:$B$12),0)))</f>
        <v>Current</v>
      </c>
      <c r="H130" s="27" t="str">
        <f t="array" ref="H130">IF(K130&lt;0,"Advance",INDEX('Days Ranges'!$D$4:$D$12,MATCH(1,($F130&gt;'Days Ranges'!$A$4:$A$12)*($F130&lt;'Days Ranges'!$B$4:$B$12),0)))</f>
        <v>Current</v>
      </c>
      <c r="I130" s="27" t="str">
        <f>IFERROR(IF(IFERROR(REPLACE(O130,FIND("ОПТ ",O130,1),4,""),O130)=0,VLOOKUP(MID(Q130,FIND(" ",Q130,1)+1,3),Brands!$B$2:$C$24,2,0),IFERROR(REPLACE(O130,FIND("ОПТ ",O130,1),4,""),O130)),"Check PLEASE")</f>
        <v>Сток Saucony</v>
      </c>
      <c r="J130" s="27" t="str">
        <f>VLOOKUP(I130,Brands!$E$2:$F$21,2,0)</f>
        <v>Saucony</v>
      </c>
      <c r="K130" s="23">
        <f t="shared" si="10"/>
        <v>132080</v>
      </c>
      <c r="L130" s="204" t="s">
        <v>1533</v>
      </c>
      <c r="M130" s="205" t="s">
        <v>185</v>
      </c>
      <c r="N130" s="204" t="s">
        <v>1551</v>
      </c>
      <c r="O130" s="205" t="s">
        <v>35</v>
      </c>
      <c r="P130" s="205" t="s">
        <v>28</v>
      </c>
      <c r="Q130" s="205" t="s">
        <v>186</v>
      </c>
      <c r="R130" s="87" t="s">
        <v>288</v>
      </c>
      <c r="S130" s="84"/>
      <c r="T130" s="84"/>
      <c r="U130" s="84"/>
      <c r="V130" s="84"/>
      <c r="W130" s="4" t="str">
        <f t="shared" si="11"/>
        <v>Positive</v>
      </c>
      <c r="X130" s="206">
        <v>132080</v>
      </c>
    </row>
    <row r="131" spans="1:24" ht="12" x14ac:dyDescent="0.2">
      <c r="A131" s="22" t="str">
        <f t="shared" si="7"/>
        <v>Реализация товаров и услуг</v>
      </c>
      <c r="B131" s="13">
        <f t="array" ref="B131">IFERROR(INDEX(CreditDAY[Credit Days Nominal],MATCH(M131&amp;Q131&amp;I131,CreditDAY[Customer]&amp;CreditDAY[Договор.Наименование]&amp;CreditDAY[Brand Temp],0)),0)</f>
        <v>95</v>
      </c>
      <c r="C131" s="10"/>
      <c r="D131" s="165">
        <f t="shared" si="8"/>
        <v>44428</v>
      </c>
      <c r="E131" s="16">
        <f t="shared" si="6"/>
        <v>44523.48541666667</v>
      </c>
      <c r="F131" s="23">
        <f t="shared" si="9"/>
        <v>-70.485416666670062</v>
      </c>
      <c r="G131" s="27" t="str">
        <f t="array" ref="G131">IF(K131&lt;0,"Advance",INDEX('Days Ranges'!$C$4:$C$12,MATCH(1,($F131&gt;='Days Ranges'!$A$4:$A$12)*($F131&lt;'Days Ranges'!$B$4:$B$12),0)))</f>
        <v>Current</v>
      </c>
      <c r="H131" s="27" t="str">
        <f t="array" ref="H131">IF(K131&lt;0,"Advance",INDEX('Days Ranges'!$D$4:$D$12,MATCH(1,($F131&gt;'Days Ranges'!$A$4:$A$12)*($F131&lt;'Days Ranges'!$B$4:$B$12),0)))</f>
        <v>Current</v>
      </c>
      <c r="I131" s="27" t="str">
        <f>IFERROR(IF(IFERROR(REPLACE(O131,FIND("ОПТ ",O131,1),4,""),O131)=0,VLOOKUP(MID(Q131,FIND(" ",Q131,1)+1,3),Brands!$B$2:$C$24,2,0),IFERROR(REPLACE(O131,FIND("ОПТ ",O131,1),4,""),O131)),"Check PLEASE")</f>
        <v>Saucony</v>
      </c>
      <c r="J131" s="27" t="str">
        <f>VLOOKUP(I131,Brands!$E$2:$F$21,2,0)</f>
        <v>Saucony</v>
      </c>
      <c r="K131" s="23">
        <f t="shared" si="10"/>
        <v>187120</v>
      </c>
      <c r="L131" s="204" t="s">
        <v>1534</v>
      </c>
      <c r="M131" s="205" t="s">
        <v>185</v>
      </c>
      <c r="N131" s="204" t="s">
        <v>1552</v>
      </c>
      <c r="O131" s="205" t="s">
        <v>76</v>
      </c>
      <c r="P131" s="205" t="s">
        <v>28</v>
      </c>
      <c r="Q131" s="205" t="s">
        <v>186</v>
      </c>
      <c r="R131" s="87" t="s">
        <v>186</v>
      </c>
      <c r="S131" s="84"/>
      <c r="T131" s="84"/>
      <c r="U131" s="84"/>
      <c r="V131" s="84"/>
      <c r="W131" s="4" t="str">
        <f t="shared" si="11"/>
        <v>Positive</v>
      </c>
      <c r="X131" s="206">
        <v>187120</v>
      </c>
    </row>
    <row r="132" spans="1:24" ht="12" x14ac:dyDescent="0.2">
      <c r="A132" s="22" t="str">
        <f t="shared" si="7"/>
        <v>Реализация товаров и услуг</v>
      </c>
      <c r="B132" s="13">
        <f t="array" ref="B132">IFERROR(INDEX(CreditDAY[Credit Days Nominal],MATCH(M132&amp;Q132&amp;I132,CreditDAY[Customer]&amp;CreditDAY[Договор.Наименование]&amp;CreditDAY[Brand Temp],0)),0)</f>
        <v>95</v>
      </c>
      <c r="C132" s="10"/>
      <c r="D132" s="165">
        <f t="shared" si="8"/>
        <v>44428</v>
      </c>
      <c r="E132" s="16">
        <f t="shared" si="6"/>
        <v>44523.486446759256</v>
      </c>
      <c r="F132" s="23">
        <f t="shared" si="9"/>
        <v>-70.486446759256069</v>
      </c>
      <c r="G132" s="27" t="str">
        <f t="array" ref="G132">IF(K132&lt;0,"Advance",INDEX('Days Ranges'!$C$4:$C$12,MATCH(1,($F132&gt;='Days Ranges'!$A$4:$A$12)*($F132&lt;'Days Ranges'!$B$4:$B$12),0)))</f>
        <v>Current</v>
      </c>
      <c r="H132" s="27" t="str">
        <f t="array" ref="H132">IF(K132&lt;0,"Advance",INDEX('Days Ranges'!$D$4:$D$12,MATCH(1,($F132&gt;'Days Ranges'!$A$4:$A$12)*($F132&lt;'Days Ranges'!$B$4:$B$12),0)))</f>
        <v>Current</v>
      </c>
      <c r="I132" s="27" t="str">
        <f>IFERROR(IF(IFERROR(REPLACE(O132,FIND("ОПТ ",O132,1),4,""),O132)=0,VLOOKUP(MID(Q132,FIND(" ",Q132,1)+1,3),Brands!$B$2:$C$24,2,0),IFERROR(REPLACE(O132,FIND("ОПТ ",O132,1),4,""),O132)),"Check PLEASE")</f>
        <v>Saucony</v>
      </c>
      <c r="J132" s="27" t="str">
        <f>VLOOKUP(I132,Brands!$E$2:$F$21,2,0)</f>
        <v>Saucony</v>
      </c>
      <c r="K132" s="23">
        <f t="shared" si="10"/>
        <v>115400</v>
      </c>
      <c r="L132" s="204" t="s">
        <v>1535</v>
      </c>
      <c r="M132" s="205" t="s">
        <v>185</v>
      </c>
      <c r="N132" s="204" t="s">
        <v>1553</v>
      </c>
      <c r="O132" s="205" t="s">
        <v>76</v>
      </c>
      <c r="P132" s="205" t="s">
        <v>28</v>
      </c>
      <c r="Q132" s="205" t="s">
        <v>186</v>
      </c>
      <c r="R132" s="87" t="s">
        <v>186</v>
      </c>
      <c r="S132" s="84"/>
      <c r="T132" s="84"/>
      <c r="U132" s="84"/>
      <c r="V132" s="84"/>
      <c r="W132" s="4" t="str">
        <f t="shared" si="11"/>
        <v>Positive</v>
      </c>
      <c r="X132" s="206">
        <v>115400</v>
      </c>
    </row>
    <row r="133" spans="1:24" ht="12" x14ac:dyDescent="0.2">
      <c r="A133" s="22" t="str">
        <f t="shared" si="7"/>
        <v>Реализация товаров и услуг</v>
      </c>
      <c r="B133" s="13">
        <f t="array" ref="B133">IFERROR(INDEX(CreditDAY[Credit Days Nominal],MATCH(M133&amp;Q133&amp;I133,CreditDAY[Customer]&amp;CreditDAY[Договор.Наименование]&amp;CreditDAY[Brand Temp],0)),0)</f>
        <v>95</v>
      </c>
      <c r="C133" s="10"/>
      <c r="D133" s="165">
        <f t="shared" si="8"/>
        <v>44428</v>
      </c>
      <c r="E133" s="16">
        <f t="shared" si="6"/>
        <v>44523.493831018517</v>
      </c>
      <c r="F133" s="23">
        <f t="shared" si="9"/>
        <v>-70.493831018517085</v>
      </c>
      <c r="G133" s="27" t="str">
        <f t="array" ref="G133">IF(K133&lt;0,"Advance",INDEX('Days Ranges'!$C$4:$C$12,MATCH(1,($F133&gt;='Days Ranges'!$A$4:$A$12)*($F133&lt;'Days Ranges'!$B$4:$B$12),0)))</f>
        <v>Current</v>
      </c>
      <c r="H133" s="27" t="str">
        <f t="array" ref="H133">IF(K133&lt;0,"Advance",INDEX('Days Ranges'!$D$4:$D$12,MATCH(1,($F133&gt;'Days Ranges'!$A$4:$A$12)*($F133&lt;'Days Ranges'!$B$4:$B$12),0)))</f>
        <v>Current</v>
      </c>
      <c r="I133" s="27" t="str">
        <f>IFERROR(IF(IFERROR(REPLACE(O133,FIND("ОПТ ",O133,1),4,""),O133)=0,VLOOKUP(MID(Q133,FIND(" ",Q133,1)+1,3),Brands!$B$2:$C$24,2,0),IFERROR(REPLACE(O133,FIND("ОПТ ",O133,1),4,""),O133)),"Check PLEASE")</f>
        <v>Dr.Martens</v>
      </c>
      <c r="J133" s="27" t="str">
        <f>VLOOKUP(I133,Brands!$E$2:$F$21,2,0)</f>
        <v>Dr.Martens</v>
      </c>
      <c r="K133" s="23">
        <f t="shared" si="10"/>
        <v>132080</v>
      </c>
      <c r="L133" s="204" t="s">
        <v>1536</v>
      </c>
      <c r="M133" s="205" t="s">
        <v>185</v>
      </c>
      <c r="N133" s="204" t="s">
        <v>1554</v>
      </c>
      <c r="O133" s="205" t="s">
        <v>102</v>
      </c>
      <c r="P133" s="205" t="s">
        <v>28</v>
      </c>
      <c r="Q133" s="205" t="s">
        <v>186</v>
      </c>
      <c r="R133" s="87" t="s">
        <v>186</v>
      </c>
      <c r="S133" s="84"/>
      <c r="T133" s="84"/>
      <c r="U133" s="84"/>
      <c r="V133" s="84"/>
      <c r="W133" s="4" t="str">
        <f t="shared" si="11"/>
        <v>Positive</v>
      </c>
      <c r="X133" s="206">
        <v>132080</v>
      </c>
    </row>
    <row r="134" spans="1:24" ht="12" x14ac:dyDescent="0.2">
      <c r="A134" s="22" t="str">
        <f t="shared" si="7"/>
        <v>Реализация товаров и услуг</v>
      </c>
      <c r="B134" s="13">
        <f t="array" ref="B134">IFERROR(INDEX(CreditDAY[Credit Days Nominal],MATCH(M134&amp;Q134&amp;I134,CreditDAY[Customer]&amp;CreditDAY[Договор.Наименование]&amp;CreditDAY[Brand Temp],0)),0)</f>
        <v>95</v>
      </c>
      <c r="C134" s="10"/>
      <c r="D134" s="165">
        <f t="shared" si="8"/>
        <v>44428</v>
      </c>
      <c r="E134" s="16">
        <f t="shared" ref="E134:E197" si="12">N134+B134+C134</f>
        <v>44523.5</v>
      </c>
      <c r="F134" s="23">
        <f t="shared" si="9"/>
        <v>-70.5</v>
      </c>
      <c r="G134" s="27" t="str">
        <f t="array" ref="G134">IF(K134&lt;0,"Advance",INDEX('Days Ranges'!$C$4:$C$12,MATCH(1,($F134&gt;='Days Ranges'!$A$4:$A$12)*($F134&lt;'Days Ranges'!$B$4:$B$12),0)))</f>
        <v>Current</v>
      </c>
      <c r="H134" s="27" t="str">
        <f t="array" ref="H134">IF(K134&lt;0,"Advance",INDEX('Days Ranges'!$D$4:$D$12,MATCH(1,($F134&gt;'Days Ranges'!$A$4:$A$12)*($F134&lt;'Days Ranges'!$B$4:$B$12),0)))</f>
        <v>Current</v>
      </c>
      <c r="I134" s="27" t="str">
        <f>IFERROR(IF(IFERROR(REPLACE(O134,FIND("ОПТ ",O134,1),4,""),O134)=0,VLOOKUP(MID(Q134,FIND(" ",Q134,1)+1,3),Brands!$B$2:$C$24,2,0),IFERROR(REPLACE(O134,FIND("ОПТ ",O134,1),4,""),O134)),"Check PLEASE")</f>
        <v>Dr.Martens</v>
      </c>
      <c r="J134" s="27" t="str">
        <f>VLOOKUP(I134,Brands!$E$2:$F$21,2,0)</f>
        <v>Dr.Martens</v>
      </c>
      <c r="K134" s="23">
        <f t="shared" si="10"/>
        <v>354480</v>
      </c>
      <c r="L134" s="204" t="s">
        <v>1537</v>
      </c>
      <c r="M134" s="205" t="s">
        <v>185</v>
      </c>
      <c r="N134" s="204" t="s">
        <v>1555</v>
      </c>
      <c r="O134" s="205" t="s">
        <v>102</v>
      </c>
      <c r="P134" s="205" t="s">
        <v>28</v>
      </c>
      <c r="Q134" s="205" t="s">
        <v>186</v>
      </c>
      <c r="R134" s="87" t="s">
        <v>186</v>
      </c>
      <c r="S134" s="84"/>
      <c r="T134" s="84"/>
      <c r="U134" s="84"/>
      <c r="V134" s="84"/>
      <c r="W134" s="4" t="str">
        <f t="shared" si="11"/>
        <v>Positive</v>
      </c>
      <c r="X134" s="206">
        <v>354480</v>
      </c>
    </row>
    <row r="135" spans="1:24" ht="12" x14ac:dyDescent="0.2">
      <c r="A135" s="22" t="str">
        <f t="shared" ref="A135:A198" si="13">IFERROR(LEFT(L135,FIND("УТ",L135,1)-2),IF(ISERROR(FIND("Платежное",L135,1)),"Deposit","Платежное поручение входящее"))</f>
        <v>Реализация товаров и услуг</v>
      </c>
      <c r="B135" s="13">
        <f t="array" ref="B135">IFERROR(INDEX(CreditDAY[Credit Days Nominal],MATCH(M135&amp;Q135&amp;I135,CreditDAY[Customer]&amp;CreditDAY[Договор.Наименование]&amp;CreditDAY[Brand Temp],0)),0)</f>
        <v>95</v>
      </c>
      <c r="C135" s="10"/>
      <c r="D135" s="165">
        <f t="shared" ref="D135:D198" si="14">DATE(YEAR(N135),MONTH(N135),DAY(N135))</f>
        <v>44428</v>
      </c>
      <c r="E135" s="16">
        <f t="shared" si="12"/>
        <v>44523.51935185185</v>
      </c>
      <c r="F135" s="23">
        <f t="shared" ref="F135:F198" si="15">IFERROR($B$1-E135,100000)</f>
        <v>-70.519351851849933</v>
      </c>
      <c r="G135" s="27" t="str">
        <f t="array" ref="G135">IF(K135&lt;0,"Advance",INDEX('Days Ranges'!$C$4:$C$12,MATCH(1,($F135&gt;='Days Ranges'!$A$4:$A$12)*($F135&lt;'Days Ranges'!$B$4:$B$12),0)))</f>
        <v>Current</v>
      </c>
      <c r="H135" s="27" t="str">
        <f t="array" ref="H135">IF(K135&lt;0,"Advance",INDEX('Days Ranges'!$D$4:$D$12,MATCH(1,($F135&gt;'Days Ranges'!$A$4:$A$12)*($F135&lt;'Days Ranges'!$B$4:$B$12),0)))</f>
        <v>Current</v>
      </c>
      <c r="I135" s="27" t="str">
        <f>IFERROR(IF(IFERROR(REPLACE(O135,FIND("ОПТ ",O135,1),4,""),O135)=0,VLOOKUP(MID(Q135,FIND(" ",Q135,1)+1,3),Brands!$B$2:$C$24,2,0),IFERROR(REPLACE(O135,FIND("ОПТ ",O135,1),4,""),O135)),"Check PLEASE")</f>
        <v>Сток Converse</v>
      </c>
      <c r="J135" s="27" t="str">
        <f>VLOOKUP(I135,Brands!$E$2:$F$21,2,0)</f>
        <v>Converse</v>
      </c>
      <c r="K135" s="23">
        <f t="shared" ref="K135:K198" si="16">X135</f>
        <v>93677.5</v>
      </c>
      <c r="L135" s="204" t="s">
        <v>1538</v>
      </c>
      <c r="M135" s="205" t="s">
        <v>185</v>
      </c>
      <c r="N135" s="204" t="s">
        <v>1556</v>
      </c>
      <c r="O135" s="205" t="s">
        <v>52</v>
      </c>
      <c r="P135" s="205" t="s">
        <v>28</v>
      </c>
      <c r="Q135" s="205" t="s">
        <v>186</v>
      </c>
      <c r="R135" s="87" t="s">
        <v>186</v>
      </c>
      <c r="S135" s="84"/>
      <c r="T135" s="84"/>
      <c r="U135" s="84"/>
      <c r="V135" s="84"/>
      <c r="W135" s="4" t="str">
        <f t="shared" ref="W135:W198" si="17">IF(X135&lt;0,"Negative","Positive")</f>
        <v>Positive</v>
      </c>
      <c r="X135" s="206">
        <v>93677.5</v>
      </c>
    </row>
    <row r="136" spans="1:24" ht="12" x14ac:dyDescent="0.2">
      <c r="A136" s="22" t="str">
        <f t="shared" si="13"/>
        <v>Реализация товаров и услуг</v>
      </c>
      <c r="B136" s="13">
        <f t="array" ref="B136">IFERROR(INDEX(CreditDAY[Credit Days Nominal],MATCH(M136&amp;Q136&amp;I136,CreditDAY[Customer]&amp;CreditDAY[Договор.Наименование]&amp;CreditDAY[Brand Temp],0)),0)</f>
        <v>95</v>
      </c>
      <c r="C136" s="10"/>
      <c r="D136" s="165">
        <f t="shared" si="14"/>
        <v>44428</v>
      </c>
      <c r="E136" s="16">
        <f t="shared" si="12"/>
        <v>44523.523738425924</v>
      </c>
      <c r="F136" s="23">
        <f t="shared" si="15"/>
        <v>-70.523738425923511</v>
      </c>
      <c r="G136" s="27" t="str">
        <f t="array" ref="G136">IF(K136&lt;0,"Advance",INDEX('Days Ranges'!$C$4:$C$12,MATCH(1,($F136&gt;='Days Ranges'!$A$4:$A$12)*($F136&lt;'Days Ranges'!$B$4:$B$12),0)))</f>
        <v>Current</v>
      </c>
      <c r="H136" s="27" t="str">
        <f t="array" ref="H136">IF(K136&lt;0,"Advance",INDEX('Days Ranges'!$D$4:$D$12,MATCH(1,($F136&gt;'Days Ranges'!$A$4:$A$12)*($F136&lt;'Days Ranges'!$B$4:$B$12),0)))</f>
        <v>Current</v>
      </c>
      <c r="I136" s="27" t="str">
        <f>IFERROR(IF(IFERROR(REPLACE(O136,FIND("ОПТ ",O136,1),4,""),O136)=0,VLOOKUP(MID(Q136,FIND(" ",Q136,1)+1,3),Brands!$B$2:$C$24,2,0),IFERROR(REPLACE(O136,FIND("ОПТ ",O136,1),4,""),O136)),"Check PLEASE")</f>
        <v>Сток Converse</v>
      </c>
      <c r="J136" s="27" t="str">
        <f>VLOOKUP(I136,Brands!$E$2:$F$21,2,0)</f>
        <v>Converse</v>
      </c>
      <c r="K136" s="23">
        <f t="shared" si="16"/>
        <v>104877.5</v>
      </c>
      <c r="L136" s="204" t="s">
        <v>1539</v>
      </c>
      <c r="M136" s="205" t="s">
        <v>185</v>
      </c>
      <c r="N136" s="204" t="s">
        <v>1557</v>
      </c>
      <c r="O136" s="205" t="s">
        <v>52</v>
      </c>
      <c r="P136" s="205" t="s">
        <v>28</v>
      </c>
      <c r="Q136" s="205" t="s">
        <v>186</v>
      </c>
      <c r="R136" s="87" t="s">
        <v>186</v>
      </c>
      <c r="S136" s="84"/>
      <c r="T136" s="84"/>
      <c r="U136" s="84"/>
      <c r="V136" s="84"/>
      <c r="W136" s="4" t="str">
        <f t="shared" si="17"/>
        <v>Positive</v>
      </c>
      <c r="X136" s="206">
        <v>104877.5</v>
      </c>
    </row>
    <row r="137" spans="1:24" ht="12" x14ac:dyDescent="0.2">
      <c r="A137" s="10" t="str">
        <f t="shared" si="13"/>
        <v>Реализация товаров и услуг</v>
      </c>
      <c r="B137" s="13">
        <f t="array" ref="B137">IFERROR(INDEX(CreditDAY[Credit Days Nominal],MATCH(M137&amp;Q137&amp;I137,CreditDAY[Customer]&amp;CreditDAY[Договор.Наименование]&amp;CreditDAY[Brand Temp],0)),0)</f>
        <v>95</v>
      </c>
      <c r="C137" s="10"/>
      <c r="D137" s="165">
        <f t="shared" si="14"/>
        <v>44428</v>
      </c>
      <c r="E137" s="16">
        <f t="shared" si="12"/>
        <v>44523.529305555552</v>
      </c>
      <c r="F137" s="23">
        <f t="shared" si="15"/>
        <v>-70.529305555552128</v>
      </c>
      <c r="G137" s="27" t="str">
        <f t="array" ref="G137">IF(K137&lt;0,"Advance",INDEX('Days Ranges'!$C$4:$C$12,MATCH(1,($F137&gt;='Days Ranges'!$A$4:$A$12)*($F137&lt;'Days Ranges'!$B$4:$B$12),0)))</f>
        <v>Current</v>
      </c>
      <c r="H137" s="27" t="str">
        <f t="array" ref="H137">IF(K137&lt;0,"Advance",INDEX('Days Ranges'!$D$4:$D$12,MATCH(1,($F137&gt;'Days Ranges'!$A$4:$A$12)*($F137&lt;'Days Ranges'!$B$4:$B$12),0)))</f>
        <v>Current</v>
      </c>
      <c r="I137" s="27" t="str">
        <f>IFERROR(IF(IFERROR(REPLACE(O137,FIND("ОПТ ",O137,1),4,""),O137)=0,VLOOKUP(MID(Q137,FIND(" ",Q137,1)+1,3),Brands!$B$2:$C$24,2,0),IFERROR(REPLACE(O137,FIND("ОПТ ",O137,1),4,""),O137)),"Check PLEASE")</f>
        <v>Converse</v>
      </c>
      <c r="J137" s="27" t="str">
        <f>VLOOKUP(I137,Brands!$E$2:$F$21,2,0)</f>
        <v>Converse</v>
      </c>
      <c r="K137" s="23">
        <f t="shared" si="16"/>
        <v>33660</v>
      </c>
      <c r="L137" s="204" t="s">
        <v>1540</v>
      </c>
      <c r="M137" s="205" t="s">
        <v>185</v>
      </c>
      <c r="N137" s="204" t="s">
        <v>1558</v>
      </c>
      <c r="O137" s="205" t="s">
        <v>20</v>
      </c>
      <c r="P137" s="205" t="s">
        <v>28</v>
      </c>
      <c r="Q137" s="205" t="s">
        <v>186</v>
      </c>
      <c r="R137" s="87" t="s">
        <v>186</v>
      </c>
      <c r="S137" s="84"/>
      <c r="T137" s="84"/>
      <c r="U137" s="84"/>
      <c r="V137" s="84"/>
      <c r="W137" s="4" t="str">
        <f t="shared" si="17"/>
        <v>Positive</v>
      </c>
      <c r="X137" s="206">
        <v>33660</v>
      </c>
    </row>
    <row r="138" spans="1:24" ht="12" x14ac:dyDescent="0.2">
      <c r="A138" s="22" t="str">
        <f t="shared" si="13"/>
        <v>Реализация товаров и услуг</v>
      </c>
      <c r="B138" s="13">
        <f t="array" ref="B138">IFERROR(INDEX(CreditDAY[Credit Days Nominal],MATCH(M138&amp;Q138&amp;I138,CreditDAY[Customer]&amp;CreditDAY[Договор.Наименование]&amp;CreditDAY[Brand Temp],0)),0)</f>
        <v>95</v>
      </c>
      <c r="C138" s="10"/>
      <c r="D138" s="165">
        <f t="shared" si="14"/>
        <v>44428</v>
      </c>
      <c r="E138" s="16">
        <f t="shared" si="12"/>
        <v>44523.531712962962</v>
      </c>
      <c r="F138" s="23">
        <f t="shared" si="15"/>
        <v>-70.531712962962047</v>
      </c>
      <c r="G138" s="27" t="str">
        <f t="array" ref="G138">IF(K138&lt;0,"Advance",INDEX('Days Ranges'!$C$4:$C$12,MATCH(1,($F138&gt;='Days Ranges'!$A$4:$A$12)*($F138&lt;'Days Ranges'!$B$4:$B$12),0)))</f>
        <v>Current</v>
      </c>
      <c r="H138" s="27" t="str">
        <f t="array" ref="H138">IF(K138&lt;0,"Advance",INDEX('Days Ranges'!$D$4:$D$12,MATCH(1,($F138&gt;'Days Ranges'!$A$4:$A$12)*($F138&lt;'Days Ranges'!$B$4:$B$12),0)))</f>
        <v>Current</v>
      </c>
      <c r="I138" s="27" t="str">
        <f>IFERROR(IF(IFERROR(REPLACE(O138,FIND("ОПТ ",O138,1),4,""),O138)=0,VLOOKUP(MID(Q138,FIND(" ",Q138,1)+1,3),Brands!$B$2:$C$24,2,0),IFERROR(REPLACE(O138,FIND("ОПТ ",O138,1),4,""),O138)),"Check PLEASE")</f>
        <v>Сток Converse</v>
      </c>
      <c r="J138" s="27" t="str">
        <f>VLOOKUP(I138,Brands!$E$2:$F$21,2,0)</f>
        <v>Converse</v>
      </c>
      <c r="K138" s="23">
        <f t="shared" si="16"/>
        <v>297405</v>
      </c>
      <c r="L138" s="204" t="s">
        <v>1541</v>
      </c>
      <c r="M138" s="205" t="s">
        <v>185</v>
      </c>
      <c r="N138" s="204" t="s">
        <v>1559</v>
      </c>
      <c r="O138" s="205" t="s">
        <v>52</v>
      </c>
      <c r="P138" s="205" t="s">
        <v>28</v>
      </c>
      <c r="Q138" s="205" t="s">
        <v>186</v>
      </c>
      <c r="R138" s="87" t="s">
        <v>101</v>
      </c>
      <c r="S138" s="84"/>
      <c r="T138" s="84"/>
      <c r="U138" s="84"/>
      <c r="V138" s="84"/>
      <c r="W138" s="4" t="str">
        <f t="shared" si="17"/>
        <v>Positive</v>
      </c>
      <c r="X138" s="206">
        <v>297405</v>
      </c>
    </row>
    <row r="139" spans="1:24" ht="12" x14ac:dyDescent="0.2">
      <c r="A139" s="22" t="str">
        <f t="shared" si="13"/>
        <v>Реализация товаров и услуг</v>
      </c>
      <c r="B139" s="13">
        <f t="array" ref="B139">IFERROR(INDEX(CreditDAY[Credit Days Nominal],MATCH(M139&amp;Q139&amp;I139,CreditDAY[Customer]&amp;CreditDAY[Договор.Наименование]&amp;CreditDAY[Brand Temp],0)),0)</f>
        <v>95</v>
      </c>
      <c r="C139" s="10"/>
      <c r="D139" s="165">
        <f t="shared" si="14"/>
        <v>44428</v>
      </c>
      <c r="E139" s="16">
        <f t="shared" si="12"/>
        <v>44523.591354166667</v>
      </c>
      <c r="F139" s="23">
        <f t="shared" si="15"/>
        <v>-70.591354166666861</v>
      </c>
      <c r="G139" s="27" t="str">
        <f t="array" ref="G139">IF(K139&lt;0,"Advance",INDEX('Days Ranges'!$C$4:$C$12,MATCH(1,($F139&gt;='Days Ranges'!$A$4:$A$12)*($F139&lt;'Days Ranges'!$B$4:$B$12),0)))</f>
        <v>Current</v>
      </c>
      <c r="H139" s="27" t="str">
        <f t="array" ref="H139">IF(K139&lt;0,"Advance",INDEX('Days Ranges'!$D$4:$D$12,MATCH(1,($F139&gt;'Days Ranges'!$A$4:$A$12)*($F139&lt;'Days Ranges'!$B$4:$B$12),0)))</f>
        <v>Current</v>
      </c>
      <c r="I139" s="27" t="str">
        <f>IFERROR(IF(IFERROR(REPLACE(O139,FIND("ОПТ ",O139,1),4,""),O139)=0,VLOOKUP(MID(Q139,FIND(" ",Q139,1)+1,3),Brands!$B$2:$C$24,2,0),IFERROR(REPLACE(O139,FIND("ОПТ ",O139,1),4,""),O139)),"Check PLEASE")</f>
        <v>Сток Converse</v>
      </c>
      <c r="J139" s="27" t="str">
        <f>VLOOKUP(I139,Brands!$E$2:$F$21,2,0)</f>
        <v>Converse</v>
      </c>
      <c r="K139" s="23">
        <f t="shared" si="16"/>
        <v>81515</v>
      </c>
      <c r="L139" s="204" t="s">
        <v>1542</v>
      </c>
      <c r="M139" s="205" t="s">
        <v>185</v>
      </c>
      <c r="N139" s="204" t="s">
        <v>1560</v>
      </c>
      <c r="O139" s="205" t="s">
        <v>52</v>
      </c>
      <c r="P139" s="205" t="s">
        <v>28</v>
      </c>
      <c r="Q139" s="205" t="s">
        <v>186</v>
      </c>
      <c r="R139" s="87" t="s">
        <v>101</v>
      </c>
      <c r="S139" s="84"/>
      <c r="T139" s="84"/>
      <c r="U139" s="84"/>
      <c r="V139" s="84"/>
      <c r="W139" s="4" t="str">
        <f t="shared" si="17"/>
        <v>Positive</v>
      </c>
      <c r="X139" s="206">
        <v>81515</v>
      </c>
    </row>
    <row r="140" spans="1:24" ht="12" x14ac:dyDescent="0.2">
      <c r="A140" s="22" t="str">
        <f t="shared" si="13"/>
        <v>Реализация товаров и услуг</v>
      </c>
      <c r="B140" s="13">
        <f t="array" ref="B140">IFERROR(INDEX(CreditDAY[Credit Days Nominal],MATCH(M140&amp;Q140&amp;I140,CreditDAY[Customer]&amp;CreditDAY[Договор.Наименование]&amp;CreditDAY[Brand Temp],0)),0)</f>
        <v>65</v>
      </c>
      <c r="C140" s="10"/>
      <c r="D140" s="165">
        <f t="shared" si="14"/>
        <v>44431</v>
      </c>
      <c r="E140" s="16">
        <f t="shared" si="12"/>
        <v>44496.494247685187</v>
      </c>
      <c r="F140" s="23">
        <f t="shared" si="15"/>
        <v>-43.494247685186565</v>
      </c>
      <c r="G140" s="27" t="str">
        <f t="array" ref="G140">IF(K140&lt;0,"Advance",INDEX('Days Ranges'!$C$4:$C$12,MATCH(1,($F140&gt;='Days Ranges'!$A$4:$A$12)*($F140&lt;'Days Ranges'!$B$4:$B$12),0)))</f>
        <v>Current</v>
      </c>
      <c r="H140" s="27" t="str">
        <f t="array" ref="H140">IF(K140&lt;0,"Advance",INDEX('Days Ranges'!$D$4:$D$12,MATCH(1,($F140&gt;'Days Ranges'!$A$4:$A$12)*($F140&lt;'Days Ranges'!$B$4:$B$12),0)))</f>
        <v>Current</v>
      </c>
      <c r="I140" s="27" t="str">
        <f>IFERROR(IF(IFERROR(REPLACE(O140,FIND("ОПТ ",O140,1),4,""),O140)=0,VLOOKUP(MID(Q140,FIND(" ",Q140,1)+1,3),Brands!$B$2:$C$24,2,0),IFERROR(REPLACE(O140,FIND("ОПТ ",O140,1),4,""),O140)),"Check PLEASE")</f>
        <v>UGG</v>
      </c>
      <c r="J140" s="27" t="str">
        <f>VLOOKUP(I140,Brands!$E$2:$F$21,2,0)</f>
        <v>UGG</v>
      </c>
      <c r="K140" s="23">
        <f t="shared" si="16"/>
        <v>6765792</v>
      </c>
      <c r="L140" s="204" t="s">
        <v>1543</v>
      </c>
      <c r="M140" s="205" t="s">
        <v>240</v>
      </c>
      <c r="N140" s="204" t="s">
        <v>1561</v>
      </c>
      <c r="O140" s="205" t="s">
        <v>56</v>
      </c>
      <c r="P140" s="205" t="s">
        <v>28</v>
      </c>
      <c r="Q140" s="205" t="s">
        <v>243</v>
      </c>
      <c r="R140" s="87" t="s">
        <v>293</v>
      </c>
      <c r="S140" s="84"/>
      <c r="T140" s="84"/>
      <c r="U140" s="84"/>
      <c r="V140" s="84"/>
      <c r="W140" s="4" t="str">
        <f t="shared" si="17"/>
        <v>Positive</v>
      </c>
      <c r="X140" s="206">
        <v>6765792</v>
      </c>
    </row>
    <row r="141" spans="1:24" ht="12" x14ac:dyDescent="0.2">
      <c r="A141" s="10" t="str">
        <f t="shared" si="13"/>
        <v>Реализация товаров и услуг</v>
      </c>
      <c r="B141" s="13">
        <f t="array" ref="B141">IFERROR(INDEX(CreditDAY[Credit Days Nominal],MATCH(M141&amp;Q141&amp;I141,CreditDAY[Customer]&amp;CreditDAY[Договор.Наименование]&amp;CreditDAY[Brand Temp],0)),0)</f>
        <v>65</v>
      </c>
      <c r="C141" s="10"/>
      <c r="D141" s="165">
        <f t="shared" si="14"/>
        <v>44431</v>
      </c>
      <c r="E141" s="16">
        <f t="shared" si="12"/>
        <v>44496.49622685185</v>
      </c>
      <c r="F141" s="23">
        <f t="shared" si="15"/>
        <v>-43.496226851850224</v>
      </c>
      <c r="G141" s="27" t="str">
        <f t="array" ref="G141">IF(K141&lt;0,"Advance",INDEX('Days Ranges'!$C$4:$C$12,MATCH(1,($F141&gt;='Days Ranges'!$A$4:$A$12)*($F141&lt;'Days Ranges'!$B$4:$B$12),0)))</f>
        <v>Current</v>
      </c>
      <c r="H141" s="27" t="str">
        <f t="array" ref="H141">IF(K141&lt;0,"Advance",INDEX('Days Ranges'!$D$4:$D$12,MATCH(1,($F141&gt;'Days Ranges'!$A$4:$A$12)*($F141&lt;'Days Ranges'!$B$4:$B$12),0)))</f>
        <v>Current</v>
      </c>
      <c r="I141" s="27" t="str">
        <f>IFERROR(IF(IFERROR(REPLACE(O141,FIND("ОПТ ",O141,1),4,""),O141)=0,VLOOKUP(MID(Q141,FIND(" ",Q141,1)+1,3),Brands!$B$2:$C$24,2,0),IFERROR(REPLACE(O141,FIND("ОПТ ",O141,1),4,""),O141)),"Check PLEASE")</f>
        <v>UGG</v>
      </c>
      <c r="J141" s="27" t="str">
        <f>VLOOKUP(I141,Brands!$E$2:$F$21,2,0)</f>
        <v>UGG</v>
      </c>
      <c r="K141" s="23">
        <f t="shared" si="16"/>
        <v>10590272</v>
      </c>
      <c r="L141" s="204" t="s">
        <v>1544</v>
      </c>
      <c r="M141" s="205" t="s">
        <v>240</v>
      </c>
      <c r="N141" s="204" t="s">
        <v>1562</v>
      </c>
      <c r="O141" s="205" t="s">
        <v>56</v>
      </c>
      <c r="P141" s="205" t="s">
        <v>28</v>
      </c>
      <c r="Q141" s="205" t="s">
        <v>243</v>
      </c>
      <c r="R141" s="87" t="s">
        <v>278</v>
      </c>
      <c r="S141" s="84"/>
      <c r="T141" s="84"/>
      <c r="U141" s="84"/>
      <c r="V141" s="84"/>
      <c r="W141" s="4" t="str">
        <f t="shared" si="17"/>
        <v>Positive</v>
      </c>
      <c r="X141" s="207">
        <v>10590272</v>
      </c>
    </row>
    <row r="142" spans="1:24" ht="12" x14ac:dyDescent="0.2">
      <c r="A142" s="22" t="str">
        <f t="shared" si="13"/>
        <v>Реализация товаров и услуг</v>
      </c>
      <c r="B142" s="13">
        <f t="array" ref="B142">IFERROR(INDEX(CreditDAY[Credit Days Nominal],MATCH(M142&amp;Q142&amp;I142,CreditDAY[Customer]&amp;CreditDAY[Договор.Наименование]&amp;CreditDAY[Brand Temp],0)),0)</f>
        <v>65</v>
      </c>
      <c r="C142" s="10"/>
      <c r="D142" s="165">
        <f t="shared" si="14"/>
        <v>44431</v>
      </c>
      <c r="E142" s="16">
        <f t="shared" si="12"/>
        <v>44496.497372685182</v>
      </c>
      <c r="F142" s="23">
        <f t="shared" si="15"/>
        <v>-43.497372685182199</v>
      </c>
      <c r="G142" s="27" t="str">
        <f t="array" ref="G142">IF(K142&lt;0,"Advance",INDEX('Days Ranges'!$C$4:$C$12,MATCH(1,($F142&gt;='Days Ranges'!$A$4:$A$12)*($F142&lt;'Days Ranges'!$B$4:$B$12),0)))</f>
        <v>Current</v>
      </c>
      <c r="H142" s="27" t="str">
        <f t="array" ref="H142">IF(K142&lt;0,"Advance",INDEX('Days Ranges'!$D$4:$D$12,MATCH(1,($F142&gt;'Days Ranges'!$A$4:$A$12)*($F142&lt;'Days Ranges'!$B$4:$B$12),0)))</f>
        <v>Current</v>
      </c>
      <c r="I142" s="27" t="str">
        <f>IFERROR(IF(IFERROR(REPLACE(O142,FIND("ОПТ ",O142,1),4,""),O142)=0,VLOOKUP(MID(Q142,FIND(" ",Q142,1)+1,3),Brands!$B$2:$C$24,2,0),IFERROR(REPLACE(O142,FIND("ОПТ ",O142,1),4,""),O142)),"Check PLEASE")</f>
        <v>UGG</v>
      </c>
      <c r="J142" s="27" t="str">
        <f>VLOOKUP(I142,Brands!$E$2:$F$21,2,0)</f>
        <v>UGG</v>
      </c>
      <c r="K142" s="23">
        <f t="shared" si="16"/>
        <v>348480</v>
      </c>
      <c r="L142" s="204" t="s">
        <v>1545</v>
      </c>
      <c r="M142" s="205" t="s">
        <v>240</v>
      </c>
      <c r="N142" s="204" t="s">
        <v>1563</v>
      </c>
      <c r="O142" s="205" t="s">
        <v>56</v>
      </c>
      <c r="P142" s="205" t="s">
        <v>28</v>
      </c>
      <c r="Q142" s="205" t="s">
        <v>243</v>
      </c>
      <c r="R142" s="87" t="s">
        <v>278</v>
      </c>
      <c r="S142" s="84"/>
      <c r="T142" s="84"/>
      <c r="U142" s="84"/>
      <c r="V142" s="84"/>
      <c r="W142" s="4" t="str">
        <f t="shared" si="17"/>
        <v>Positive</v>
      </c>
      <c r="X142" s="206">
        <v>348480</v>
      </c>
    </row>
    <row r="143" spans="1:24" ht="12" x14ac:dyDescent="0.2">
      <c r="A143" s="22" t="str">
        <f t="shared" si="13"/>
        <v>Реализация товаров и услуг</v>
      </c>
      <c r="B143" s="13">
        <f t="array" ref="B143">IFERROR(INDEX(CreditDAY[Credit Days Nominal],MATCH(M143&amp;Q143&amp;I143,CreditDAY[Customer]&amp;CreditDAY[Договор.Наименование]&amp;CreditDAY[Brand Temp],0)),0)</f>
        <v>65</v>
      </c>
      <c r="C143" s="10"/>
      <c r="D143" s="165">
        <f t="shared" si="14"/>
        <v>44431</v>
      </c>
      <c r="E143" s="16">
        <f t="shared" si="12"/>
        <v>44496.500092592592</v>
      </c>
      <c r="F143" s="23">
        <f t="shared" si="15"/>
        <v>-43.500092592592409</v>
      </c>
      <c r="G143" s="27" t="str">
        <f t="array" ref="G143">IF(K143&lt;0,"Advance",INDEX('Days Ranges'!$C$4:$C$12,MATCH(1,($F143&gt;='Days Ranges'!$A$4:$A$12)*($F143&lt;'Days Ranges'!$B$4:$B$12),0)))</f>
        <v>Current</v>
      </c>
      <c r="H143" s="27" t="str">
        <f t="array" ref="H143">IF(K143&lt;0,"Advance",INDEX('Days Ranges'!$D$4:$D$12,MATCH(1,($F143&gt;'Days Ranges'!$A$4:$A$12)*($F143&lt;'Days Ranges'!$B$4:$B$12),0)))</f>
        <v>Current</v>
      </c>
      <c r="I143" s="27" t="str">
        <f>IFERROR(IF(IFERROR(REPLACE(O143,FIND("ОПТ ",O143,1),4,""),O143)=0,VLOOKUP(MID(Q143,FIND(" ",Q143,1)+1,3),Brands!$B$2:$C$24,2,0),IFERROR(REPLACE(O143,FIND("ОПТ ",O143,1),4,""),O143)),"Check PLEASE")</f>
        <v>UGG</v>
      </c>
      <c r="J143" s="27" t="str">
        <f>VLOOKUP(I143,Brands!$E$2:$F$21,2,0)</f>
        <v>UGG</v>
      </c>
      <c r="K143" s="23">
        <f t="shared" si="16"/>
        <v>1496176</v>
      </c>
      <c r="L143" s="204" t="s">
        <v>1546</v>
      </c>
      <c r="M143" s="205" t="s">
        <v>240</v>
      </c>
      <c r="N143" s="204" t="s">
        <v>1564</v>
      </c>
      <c r="O143" s="205" t="s">
        <v>56</v>
      </c>
      <c r="P143" s="205" t="s">
        <v>28</v>
      </c>
      <c r="Q143" s="205" t="s">
        <v>243</v>
      </c>
      <c r="R143" s="87" t="s">
        <v>278</v>
      </c>
      <c r="S143" s="84"/>
      <c r="T143" s="84"/>
      <c r="U143" s="84"/>
      <c r="V143" s="84"/>
      <c r="W143" s="4" t="str">
        <f t="shared" si="17"/>
        <v>Positive</v>
      </c>
      <c r="X143" s="206">
        <v>1496176</v>
      </c>
    </row>
    <row r="144" spans="1:24" ht="12" x14ac:dyDescent="0.2">
      <c r="A144" s="22" t="str">
        <f t="shared" si="13"/>
        <v>Реализация товаров и услуг</v>
      </c>
      <c r="B144" s="13">
        <f t="array" ref="B144">IFERROR(INDEX(CreditDAY[Credit Days Nominal],MATCH(M144&amp;Q144&amp;I144,CreditDAY[Customer]&amp;CreditDAY[Договор.Наименование]&amp;CreditDAY[Brand Temp],0)),0)</f>
        <v>65</v>
      </c>
      <c r="C144" s="10"/>
      <c r="D144" s="165">
        <f t="shared" si="14"/>
        <v>44431</v>
      </c>
      <c r="E144" s="16">
        <f t="shared" si="12"/>
        <v>44496.501319444447</v>
      </c>
      <c r="F144" s="23">
        <f t="shared" si="15"/>
        <v>-43.50131944444729</v>
      </c>
      <c r="G144" s="27" t="str">
        <f t="array" ref="G144">IF(K144&lt;0,"Advance",INDEX('Days Ranges'!$C$4:$C$12,MATCH(1,($F144&gt;='Days Ranges'!$A$4:$A$12)*($F144&lt;'Days Ranges'!$B$4:$B$12),0)))</f>
        <v>Current</v>
      </c>
      <c r="H144" s="27" t="str">
        <f t="array" ref="H144">IF(K144&lt;0,"Advance",INDEX('Days Ranges'!$D$4:$D$12,MATCH(1,($F144&gt;'Days Ranges'!$A$4:$A$12)*($F144&lt;'Days Ranges'!$B$4:$B$12),0)))</f>
        <v>Current</v>
      </c>
      <c r="I144" s="27" t="str">
        <f>IFERROR(IF(IFERROR(REPLACE(O144,FIND("ОПТ ",O144,1),4,""),O144)=0,VLOOKUP(MID(Q144,FIND(" ",Q144,1)+1,3),Brands!$B$2:$C$24,2,0),IFERROR(REPLACE(O144,FIND("ОПТ ",O144,1),4,""),O144)),"Check PLEASE")</f>
        <v>Dr.Martens</v>
      </c>
      <c r="J144" s="27" t="str">
        <f>VLOOKUP(I144,Brands!$E$2:$F$21,2,0)</f>
        <v>Dr.Martens</v>
      </c>
      <c r="K144" s="23">
        <f t="shared" si="16"/>
        <v>10728585</v>
      </c>
      <c r="L144" s="204" t="s">
        <v>1547</v>
      </c>
      <c r="M144" s="205" t="s">
        <v>240</v>
      </c>
      <c r="N144" s="204" t="s">
        <v>1565</v>
      </c>
      <c r="O144" s="205" t="s">
        <v>102</v>
      </c>
      <c r="P144" s="205" t="s">
        <v>28</v>
      </c>
      <c r="Q144" s="205" t="s">
        <v>243</v>
      </c>
      <c r="R144" s="87" t="s">
        <v>278</v>
      </c>
      <c r="S144" s="84"/>
      <c r="T144" s="84"/>
      <c r="U144" s="84"/>
      <c r="V144" s="84"/>
      <c r="W144" s="4" t="str">
        <f t="shared" si="17"/>
        <v>Positive</v>
      </c>
      <c r="X144" s="206">
        <v>10728585</v>
      </c>
    </row>
    <row r="145" spans="1:24" ht="12" x14ac:dyDescent="0.2">
      <c r="A145" s="22" t="str">
        <f t="shared" si="13"/>
        <v>Реализация товаров и услуг</v>
      </c>
      <c r="B145" s="13">
        <f t="array" ref="B145">IFERROR(INDEX(CreditDAY[Credit Days Nominal],MATCH(M145&amp;Q145&amp;I145,CreditDAY[Customer]&amp;CreditDAY[Договор.Наименование]&amp;CreditDAY[Brand Temp],0)),0)</f>
        <v>95</v>
      </c>
      <c r="C145" s="10"/>
      <c r="D145" s="165">
        <f t="shared" si="14"/>
        <v>44432</v>
      </c>
      <c r="E145" s="16">
        <f t="shared" si="12"/>
        <v>44527.496087962965</v>
      </c>
      <c r="F145" s="23">
        <f t="shared" si="15"/>
        <v>-74.496087962965248</v>
      </c>
      <c r="G145" s="27" t="str">
        <f t="array" ref="G145">IF(K145&lt;0,"Advance",INDEX('Days Ranges'!$C$4:$C$12,MATCH(1,($F145&gt;='Days Ranges'!$A$4:$A$12)*($F145&lt;'Days Ranges'!$B$4:$B$12),0)))</f>
        <v>Current</v>
      </c>
      <c r="H145" s="27" t="str">
        <f t="array" ref="H145">IF(K145&lt;0,"Advance",INDEX('Days Ranges'!$D$4:$D$12,MATCH(1,($F145&gt;'Days Ranges'!$A$4:$A$12)*($F145&lt;'Days Ranges'!$B$4:$B$12),0)))</f>
        <v>Current</v>
      </c>
      <c r="I145" s="27" t="str">
        <f>IFERROR(IF(IFERROR(REPLACE(O145,FIND("ОПТ ",O145,1),4,""),O145)=0,VLOOKUP(MID(Q145,FIND(" ",Q145,1)+1,3),Brands!$B$2:$C$24,2,0),IFERROR(REPLACE(O145,FIND("ОПТ ",O145,1),4,""),O145)),"Check PLEASE")</f>
        <v>Сток Converse</v>
      </c>
      <c r="J145" s="27" t="str">
        <f>VLOOKUP(I145,Brands!$E$2:$F$21,2,0)</f>
        <v>Converse</v>
      </c>
      <c r="K145" s="23">
        <f t="shared" si="16"/>
        <v>279414</v>
      </c>
      <c r="L145" s="204" t="s">
        <v>1566</v>
      </c>
      <c r="M145" s="205" t="s">
        <v>285</v>
      </c>
      <c r="N145" s="204" t="s">
        <v>1567</v>
      </c>
      <c r="O145" s="205" t="s">
        <v>52</v>
      </c>
      <c r="P145" s="205" t="s">
        <v>28</v>
      </c>
      <c r="Q145" s="205" t="s">
        <v>288</v>
      </c>
      <c r="R145" s="87" t="s">
        <v>75</v>
      </c>
      <c r="S145" s="84"/>
      <c r="T145" s="84"/>
      <c r="U145" s="84"/>
      <c r="V145" s="84"/>
      <c r="W145" s="4" t="str">
        <f t="shared" si="17"/>
        <v>Positive</v>
      </c>
      <c r="X145" s="206">
        <v>279414</v>
      </c>
    </row>
    <row r="146" spans="1:24" ht="12" x14ac:dyDescent="0.2">
      <c r="A146" s="22" t="str">
        <f t="shared" si="13"/>
        <v>Реализация товаров и услуг</v>
      </c>
      <c r="B146" s="13">
        <f t="array" ref="B146">IFERROR(INDEX(CreditDAY[Credit Days Nominal],MATCH(M146&amp;Q146&amp;I146,CreditDAY[Customer]&amp;CreditDAY[Договор.Наименование]&amp;CreditDAY[Brand Temp],0)),0)</f>
        <v>95</v>
      </c>
      <c r="C146" s="10"/>
      <c r="D146" s="165">
        <f t="shared" si="14"/>
        <v>44432</v>
      </c>
      <c r="E146" s="16">
        <f t="shared" si="12"/>
        <v>44527.49732638889</v>
      </c>
      <c r="F146" s="23">
        <f t="shared" si="15"/>
        <v>-74.497326388889633</v>
      </c>
      <c r="G146" s="27" t="str">
        <f t="array" ref="G146">IF(K146&lt;0,"Advance",INDEX('Days Ranges'!$C$4:$C$12,MATCH(1,($F146&gt;='Days Ranges'!$A$4:$A$12)*($F146&lt;'Days Ranges'!$B$4:$B$12),0)))</f>
        <v>Current</v>
      </c>
      <c r="H146" s="27" t="str">
        <f t="array" ref="H146">IF(K146&lt;0,"Advance",INDEX('Days Ranges'!$D$4:$D$12,MATCH(1,($F146&gt;'Days Ranges'!$A$4:$A$12)*($F146&lt;'Days Ranges'!$B$4:$B$12),0)))</f>
        <v>Current</v>
      </c>
      <c r="I146" s="27" t="str">
        <f>IFERROR(IF(IFERROR(REPLACE(O146,FIND("ОПТ ",O146,1),4,""),O146)=0,VLOOKUP(MID(Q146,FIND(" ",Q146,1)+1,3),Brands!$B$2:$C$24,2,0),IFERROR(REPLACE(O146,FIND("ОПТ ",O146,1),4,""),O146)),"Check PLEASE")</f>
        <v>Converse</v>
      </c>
      <c r="J146" s="27" t="str">
        <f>VLOOKUP(I146,Brands!$E$2:$F$21,2,0)</f>
        <v>Converse</v>
      </c>
      <c r="K146" s="23">
        <f t="shared" si="16"/>
        <v>355911</v>
      </c>
      <c r="L146" s="204" t="s">
        <v>1568</v>
      </c>
      <c r="M146" s="205" t="s">
        <v>285</v>
      </c>
      <c r="N146" s="204" t="s">
        <v>1569</v>
      </c>
      <c r="O146" s="205" t="s">
        <v>20</v>
      </c>
      <c r="P146" s="205" t="s">
        <v>28</v>
      </c>
      <c r="Q146" s="205" t="s">
        <v>288</v>
      </c>
      <c r="R146" s="87" t="s">
        <v>75</v>
      </c>
      <c r="S146" s="84"/>
      <c r="T146" s="84"/>
      <c r="U146" s="84"/>
      <c r="V146" s="84"/>
      <c r="W146" s="4" t="str">
        <f t="shared" si="17"/>
        <v>Positive</v>
      </c>
      <c r="X146" s="206">
        <v>355911</v>
      </c>
    </row>
    <row r="147" spans="1:24" ht="12" x14ac:dyDescent="0.2">
      <c r="A147" s="22" t="str">
        <f t="shared" si="13"/>
        <v>Реализация товаров и услуг</v>
      </c>
      <c r="B147" s="13">
        <f t="array" ref="B147">IFERROR(INDEX(CreditDAY[Credit Days Nominal],MATCH(M147&amp;Q147&amp;I147,CreditDAY[Customer]&amp;CreditDAY[Договор.Наименование]&amp;CreditDAY[Brand Temp],0)),0)</f>
        <v>65</v>
      </c>
      <c r="C147" s="10"/>
      <c r="D147" s="165">
        <f t="shared" si="14"/>
        <v>44433</v>
      </c>
      <c r="E147" s="16">
        <f t="shared" si="12"/>
        <v>44498.566238425927</v>
      </c>
      <c r="F147" s="23">
        <f t="shared" si="15"/>
        <v>-45.566238425926713</v>
      </c>
      <c r="G147" s="27" t="str">
        <f t="array" ref="G147">IF(K147&lt;0,"Advance",INDEX('Days Ranges'!$C$4:$C$12,MATCH(1,($F147&gt;='Days Ranges'!$A$4:$A$12)*($F147&lt;'Days Ranges'!$B$4:$B$12),0)))</f>
        <v>Current</v>
      </c>
      <c r="H147" s="27" t="str">
        <f t="array" ref="H147">IF(K147&lt;0,"Advance",INDEX('Days Ranges'!$D$4:$D$12,MATCH(1,($F147&gt;'Days Ranges'!$A$4:$A$12)*($F147&lt;'Days Ranges'!$B$4:$B$12),0)))</f>
        <v>Current</v>
      </c>
      <c r="I147" s="27" t="str">
        <f>IFERROR(IF(IFERROR(REPLACE(O147,FIND("ОПТ ",O147,1),4,""),O147)=0,VLOOKUP(MID(Q147,FIND(" ",Q147,1)+1,3),Brands!$B$2:$C$24,2,0),IFERROR(REPLACE(O147,FIND("ОПТ ",O147,1),4,""),O147)),"Check PLEASE")</f>
        <v>Converse</v>
      </c>
      <c r="J147" s="27" t="str">
        <f>VLOOKUP(I147,Brands!$E$2:$F$21,2,0)</f>
        <v>Converse</v>
      </c>
      <c r="K147" s="23">
        <f t="shared" si="16"/>
        <v>2282290</v>
      </c>
      <c r="L147" s="204" t="s">
        <v>1570</v>
      </c>
      <c r="M147" s="205" t="s">
        <v>99</v>
      </c>
      <c r="N147" s="204" t="s">
        <v>1571</v>
      </c>
      <c r="O147" s="205" t="s">
        <v>20</v>
      </c>
      <c r="P147" s="205" t="s">
        <v>28</v>
      </c>
      <c r="Q147" s="205" t="s">
        <v>101</v>
      </c>
      <c r="R147" s="87" t="s">
        <v>75</v>
      </c>
      <c r="S147" s="84"/>
      <c r="T147" s="84"/>
      <c r="U147" s="84"/>
      <c r="V147" s="84"/>
      <c r="W147" s="4" t="str">
        <f t="shared" si="17"/>
        <v>Positive</v>
      </c>
      <c r="X147" s="206">
        <v>2282290</v>
      </c>
    </row>
    <row r="148" spans="1:24" ht="12" x14ac:dyDescent="0.2">
      <c r="A148" s="22" t="str">
        <f t="shared" si="13"/>
        <v>Реализация товаров и услуг</v>
      </c>
      <c r="B148" s="13">
        <f t="array" ref="B148">IFERROR(INDEX(CreditDAY[Credit Days Nominal],MATCH(M148&amp;Q148&amp;I148,CreditDAY[Customer]&amp;CreditDAY[Договор.Наименование]&amp;CreditDAY[Brand Temp],0)),0)</f>
        <v>65</v>
      </c>
      <c r="C148" s="10"/>
      <c r="D148" s="165">
        <f t="shared" si="14"/>
        <v>44433</v>
      </c>
      <c r="E148" s="16">
        <f t="shared" si="12"/>
        <v>44498.72216435185</v>
      </c>
      <c r="F148" s="23">
        <f t="shared" si="15"/>
        <v>-45.722164351849642</v>
      </c>
      <c r="G148" s="27" t="str">
        <f t="array" ref="G148">IF(K148&lt;0,"Advance",INDEX('Days Ranges'!$C$4:$C$12,MATCH(1,($F148&gt;='Days Ranges'!$A$4:$A$12)*($F148&lt;'Days Ranges'!$B$4:$B$12),0)))</f>
        <v>Current</v>
      </c>
      <c r="H148" s="27" t="str">
        <f t="array" ref="H148">IF(K148&lt;0,"Advance",INDEX('Days Ranges'!$D$4:$D$12,MATCH(1,($F148&gt;'Days Ranges'!$A$4:$A$12)*($F148&lt;'Days Ranges'!$B$4:$B$12),0)))</f>
        <v>Current</v>
      </c>
      <c r="I148" s="27" t="str">
        <f>IFERROR(IF(IFERROR(REPLACE(O148,FIND("ОПТ ",O148,1),4,""),O148)=0,VLOOKUP(MID(Q148,FIND(" ",Q148,1)+1,3),Brands!$B$2:$C$24,2,0),IFERROR(REPLACE(O148,FIND("ОПТ ",O148,1),4,""),O148)),"Check PLEASE")</f>
        <v>Converse</v>
      </c>
      <c r="J148" s="27" t="str">
        <f>VLOOKUP(I148,Brands!$E$2:$F$21,2,0)</f>
        <v>Converse</v>
      </c>
      <c r="K148" s="23">
        <f t="shared" si="16"/>
        <v>332267.2</v>
      </c>
      <c r="L148" s="204" t="s">
        <v>1572</v>
      </c>
      <c r="M148" s="205" t="s">
        <v>99</v>
      </c>
      <c r="N148" s="204" t="s">
        <v>1573</v>
      </c>
      <c r="O148" s="205" t="s">
        <v>20</v>
      </c>
      <c r="P148" s="205" t="s">
        <v>28</v>
      </c>
      <c r="Q148" s="205" t="s">
        <v>101</v>
      </c>
      <c r="R148" s="87" t="s">
        <v>243</v>
      </c>
      <c r="S148" s="84"/>
      <c r="T148" s="84"/>
      <c r="U148" s="84"/>
      <c r="V148" s="84"/>
      <c r="W148" s="4" t="str">
        <f t="shared" si="17"/>
        <v>Positive</v>
      </c>
      <c r="X148" s="206">
        <v>332267.2</v>
      </c>
    </row>
    <row r="149" spans="1:24" ht="12" x14ac:dyDescent="0.2">
      <c r="A149" s="22" t="str">
        <f t="shared" si="13"/>
        <v>Реализация товаров и услуг</v>
      </c>
      <c r="B149" s="13">
        <f t="array" ref="B149">IFERROR(INDEX(CreditDAY[Credit Days Nominal],MATCH(M149&amp;Q149&amp;I149,CreditDAY[Customer]&amp;CreditDAY[Договор.Наименование]&amp;CreditDAY[Brand Temp],0)),0)</f>
        <v>45</v>
      </c>
      <c r="C149" s="10"/>
      <c r="D149" s="165">
        <f t="shared" si="14"/>
        <v>44434</v>
      </c>
      <c r="E149" s="16">
        <f t="shared" si="12"/>
        <v>44479.481909722221</v>
      </c>
      <c r="F149" s="23">
        <f t="shared" si="15"/>
        <v>-26.481909722220735</v>
      </c>
      <c r="G149" s="27" t="str">
        <f t="array" ref="G149">IF(K149&lt;0,"Advance",INDEX('Days Ranges'!$C$4:$C$12,MATCH(1,($F149&gt;='Days Ranges'!$A$4:$A$12)*($F149&lt;'Days Ranges'!$B$4:$B$12),0)))</f>
        <v>Current</v>
      </c>
      <c r="H149" s="27" t="str">
        <f t="array" ref="H149">IF(K149&lt;0,"Advance",INDEX('Days Ranges'!$D$4:$D$12,MATCH(1,($F149&gt;'Days Ranges'!$A$4:$A$12)*($F149&lt;'Days Ranges'!$B$4:$B$12),0)))</f>
        <v>Current</v>
      </c>
      <c r="I149" s="27" t="str">
        <f>IFERROR(IF(IFERROR(REPLACE(O149,FIND("ОПТ ",O149,1),4,""),O149)=0,VLOOKUP(MID(Q149,FIND(" ",Q149,1)+1,3),Brands!$B$2:$C$24,2,0),IFERROR(REPLACE(O149,FIND("ОПТ ",O149,1),4,""),O149)),"Check PLEASE")</f>
        <v>Dr.Martens</v>
      </c>
      <c r="J149" s="27" t="str">
        <f>VLOOKUP(I149,Brands!$E$2:$F$21,2,0)</f>
        <v>Dr.Martens</v>
      </c>
      <c r="K149" s="23">
        <f t="shared" si="16"/>
        <v>384048</v>
      </c>
      <c r="L149" s="204" t="s">
        <v>1574</v>
      </c>
      <c r="M149" s="205" t="s">
        <v>298</v>
      </c>
      <c r="N149" s="204" t="s">
        <v>1575</v>
      </c>
      <c r="O149" s="205" t="s">
        <v>102</v>
      </c>
      <c r="P149" s="205" t="s">
        <v>28</v>
      </c>
      <c r="Q149" s="205" t="s">
        <v>1576</v>
      </c>
      <c r="R149" s="87" t="s">
        <v>243</v>
      </c>
      <c r="S149" s="84"/>
      <c r="T149" s="84"/>
      <c r="U149" s="84"/>
      <c r="V149" s="84"/>
      <c r="W149" s="4" t="str">
        <f t="shared" si="17"/>
        <v>Positive</v>
      </c>
      <c r="X149" s="206">
        <v>384048</v>
      </c>
    </row>
    <row r="150" spans="1:24" ht="12" x14ac:dyDescent="0.2">
      <c r="A150" s="22" t="str">
        <f t="shared" si="13"/>
        <v>Реализация товаров и услуг</v>
      </c>
      <c r="B150" s="13">
        <f t="array" ref="B150">IFERROR(INDEX(CreditDAY[Credit Days Nominal],MATCH(M150&amp;Q150&amp;I150,CreditDAY[Customer]&amp;CreditDAY[Договор.Наименование]&amp;CreditDAY[Brand Temp],0)),0)</f>
        <v>45</v>
      </c>
      <c r="C150" s="10"/>
      <c r="D150" s="165">
        <f t="shared" si="14"/>
        <v>44434</v>
      </c>
      <c r="E150" s="16">
        <f t="shared" si="12"/>
        <v>44479.482870370368</v>
      </c>
      <c r="F150" s="23">
        <f t="shared" si="15"/>
        <v>-26.482870370367891</v>
      </c>
      <c r="G150" s="27" t="str">
        <f t="array" ref="G150">IF(K150&lt;0,"Advance",INDEX('Days Ranges'!$C$4:$C$12,MATCH(1,($F150&gt;='Days Ranges'!$A$4:$A$12)*($F150&lt;'Days Ranges'!$B$4:$B$12),0)))</f>
        <v>Current</v>
      </c>
      <c r="H150" s="27" t="str">
        <f t="array" ref="H150">IF(K150&lt;0,"Advance",INDEX('Days Ranges'!$D$4:$D$12,MATCH(1,($F150&gt;'Days Ranges'!$A$4:$A$12)*($F150&lt;'Days Ranges'!$B$4:$B$12),0)))</f>
        <v>Current</v>
      </c>
      <c r="I150" s="27" t="str">
        <f>IFERROR(IF(IFERROR(REPLACE(O150,FIND("ОПТ ",O150,1),4,""),O150)=0,VLOOKUP(MID(Q150,FIND(" ",Q150,1)+1,3),Brands!$B$2:$C$24,2,0),IFERROR(REPLACE(O150,FIND("ОПТ ",O150,1),4,""),O150)),"Check PLEASE")</f>
        <v>UGG</v>
      </c>
      <c r="J150" s="27" t="str">
        <f>VLOOKUP(I150,Brands!$E$2:$F$21,2,0)</f>
        <v>UGG</v>
      </c>
      <c r="K150" s="23">
        <f t="shared" si="16"/>
        <v>502600</v>
      </c>
      <c r="L150" s="204" t="s">
        <v>1577</v>
      </c>
      <c r="M150" s="205" t="s">
        <v>298</v>
      </c>
      <c r="N150" s="204" t="s">
        <v>1578</v>
      </c>
      <c r="O150" s="205" t="s">
        <v>56</v>
      </c>
      <c r="P150" s="205" t="s">
        <v>28</v>
      </c>
      <c r="Q150" s="205" t="s">
        <v>1576</v>
      </c>
      <c r="R150" s="87" t="s">
        <v>293</v>
      </c>
      <c r="S150" s="84"/>
      <c r="T150" s="84"/>
      <c r="U150" s="84"/>
      <c r="V150" s="84"/>
      <c r="W150" s="4" t="str">
        <f t="shared" si="17"/>
        <v>Positive</v>
      </c>
      <c r="X150" s="206">
        <v>502600</v>
      </c>
    </row>
    <row r="151" spans="1:24" ht="12" x14ac:dyDescent="0.2">
      <c r="A151" s="22" t="str">
        <f t="shared" si="13"/>
        <v>Реализация товаров и услуг</v>
      </c>
      <c r="B151" s="13">
        <f t="array" ref="B151">IFERROR(INDEX(CreditDAY[Credit Days Nominal],MATCH(M151&amp;Q151&amp;I151,CreditDAY[Customer]&amp;CreditDAY[Договор.Наименование]&amp;CreditDAY[Brand Temp],0)),0)</f>
        <v>95</v>
      </c>
      <c r="C151" s="10"/>
      <c r="D151" s="165">
        <f t="shared" si="14"/>
        <v>44435</v>
      </c>
      <c r="E151" s="16">
        <f t="shared" si="12"/>
        <v>44530.414872685185</v>
      </c>
      <c r="F151" s="23">
        <f t="shared" si="15"/>
        <v>-77.414872685185401</v>
      </c>
      <c r="G151" s="27" t="str">
        <f t="array" ref="G151">IF(K151&lt;0,"Advance",INDEX('Days Ranges'!$C$4:$C$12,MATCH(1,($F151&gt;='Days Ranges'!$A$4:$A$12)*($F151&lt;'Days Ranges'!$B$4:$B$12),0)))</f>
        <v>Current</v>
      </c>
      <c r="H151" s="27" t="str">
        <f t="array" ref="H151">IF(K151&lt;0,"Advance",INDEX('Days Ranges'!$D$4:$D$12,MATCH(1,($F151&gt;'Days Ranges'!$A$4:$A$12)*($F151&lt;'Days Ranges'!$B$4:$B$12),0)))</f>
        <v>Current</v>
      </c>
      <c r="I151" s="27" t="str">
        <f>IFERROR(IF(IFERROR(REPLACE(O151,FIND("ОПТ ",O151,1),4,""),O151)=0,VLOOKUP(MID(Q151,FIND(" ",Q151,1)+1,3),Brands!$B$2:$C$24,2,0),IFERROR(REPLACE(O151,FIND("ОПТ ",O151,1),4,""),O151)),"Check PLEASE")</f>
        <v>Converse</v>
      </c>
      <c r="J151" s="27" t="str">
        <f>VLOOKUP(I151,Brands!$E$2:$F$21,2,0)</f>
        <v>Converse</v>
      </c>
      <c r="K151" s="23">
        <f t="shared" si="16"/>
        <v>7556605</v>
      </c>
      <c r="L151" s="204" t="s">
        <v>1579</v>
      </c>
      <c r="M151" s="205" t="s">
        <v>285</v>
      </c>
      <c r="N151" s="204" t="s">
        <v>1580</v>
      </c>
      <c r="O151" s="205" t="s">
        <v>20</v>
      </c>
      <c r="P151" s="205" t="s">
        <v>28</v>
      </c>
      <c r="Q151" s="205" t="s">
        <v>288</v>
      </c>
      <c r="R151" s="87" t="s">
        <v>293</v>
      </c>
      <c r="S151" s="84"/>
      <c r="T151" s="84"/>
      <c r="U151" s="84"/>
      <c r="V151" s="84"/>
      <c r="W151" s="4" t="str">
        <f t="shared" si="17"/>
        <v>Positive</v>
      </c>
      <c r="X151" s="206">
        <v>7556605</v>
      </c>
    </row>
    <row r="152" spans="1:24" ht="12" x14ac:dyDescent="0.2">
      <c r="A152" s="22" t="str">
        <f t="shared" si="13"/>
        <v>Реализация товаров и услуг</v>
      </c>
      <c r="B152" s="13">
        <f t="array" ref="B152">IFERROR(INDEX(CreditDAY[Credit Days Nominal],MATCH(M152&amp;Q152&amp;I152,CreditDAY[Customer]&amp;CreditDAY[Договор.Наименование]&amp;CreditDAY[Brand Temp],0)),0)</f>
        <v>95</v>
      </c>
      <c r="C152" s="10"/>
      <c r="D152" s="165">
        <f t="shared" si="14"/>
        <v>44435</v>
      </c>
      <c r="E152" s="16">
        <f t="shared" si="12"/>
        <v>44530.475787037038</v>
      </c>
      <c r="F152" s="23">
        <f t="shared" si="15"/>
        <v>-77.475787037037662</v>
      </c>
      <c r="G152" s="27" t="str">
        <f t="array" ref="G152">IF(K152&lt;0,"Advance",INDEX('Days Ranges'!$C$4:$C$12,MATCH(1,($F152&gt;='Days Ranges'!$A$4:$A$12)*($F152&lt;'Days Ranges'!$B$4:$B$12),0)))</f>
        <v>Current</v>
      </c>
      <c r="H152" s="27" t="str">
        <f t="array" ref="H152">IF(K152&lt;0,"Advance",INDEX('Days Ranges'!$D$4:$D$12,MATCH(1,($F152&gt;'Days Ranges'!$A$4:$A$12)*($F152&lt;'Days Ranges'!$B$4:$B$12),0)))</f>
        <v>Current</v>
      </c>
      <c r="I152" s="27" t="str">
        <f>IFERROR(IF(IFERROR(REPLACE(O152,FIND("ОПТ ",O152,1),4,""),O152)=0,VLOOKUP(MID(Q152,FIND(" ",Q152,1)+1,3),Brands!$B$2:$C$24,2,0),IFERROR(REPLACE(O152,FIND("ОПТ ",O152,1),4,""),O152)),"Check PLEASE")</f>
        <v>Dr.Martens</v>
      </c>
      <c r="J152" s="27" t="str">
        <f>VLOOKUP(I152,Brands!$E$2:$F$21,2,0)</f>
        <v>Dr.Martens</v>
      </c>
      <c r="K152" s="23">
        <f t="shared" si="16"/>
        <v>6373080</v>
      </c>
      <c r="L152" s="204" t="s">
        <v>1581</v>
      </c>
      <c r="M152" s="205" t="s">
        <v>285</v>
      </c>
      <c r="N152" s="204" t="s">
        <v>1582</v>
      </c>
      <c r="O152" s="205" t="s">
        <v>102</v>
      </c>
      <c r="P152" s="205" t="s">
        <v>28</v>
      </c>
      <c r="Q152" s="205" t="s">
        <v>288</v>
      </c>
      <c r="R152" s="87" t="s">
        <v>288</v>
      </c>
      <c r="S152" s="84"/>
      <c r="T152" s="84"/>
      <c r="U152" s="84"/>
      <c r="V152" s="84"/>
      <c r="W152" s="4" t="str">
        <f t="shared" si="17"/>
        <v>Positive</v>
      </c>
      <c r="X152" s="206">
        <v>6373080</v>
      </c>
    </row>
    <row r="153" spans="1:24" ht="12" x14ac:dyDescent="0.2">
      <c r="A153" s="22" t="str">
        <f t="shared" si="13"/>
        <v>Реализация товаров и услуг</v>
      </c>
      <c r="B153" s="13">
        <f t="array" ref="B153">IFERROR(INDEX(CreditDAY[Credit Days Nominal],MATCH(M153&amp;Q153&amp;I153,CreditDAY[Customer]&amp;CreditDAY[Договор.Наименование]&amp;CreditDAY[Brand Temp],0)),0)</f>
        <v>73</v>
      </c>
      <c r="C153" s="10"/>
      <c r="D153" s="165">
        <f t="shared" si="14"/>
        <v>44435</v>
      </c>
      <c r="E153" s="16">
        <f t="shared" si="12"/>
        <v>44508.480034722219</v>
      </c>
      <c r="F153" s="23">
        <f t="shared" si="15"/>
        <v>-55.480034722218988</v>
      </c>
      <c r="G153" s="27" t="str">
        <f t="array" ref="G153">IF(K153&lt;0,"Advance",INDEX('Days Ranges'!$C$4:$C$12,MATCH(1,($F153&gt;='Days Ranges'!$A$4:$A$12)*($F153&lt;'Days Ranges'!$B$4:$B$12),0)))</f>
        <v>Current</v>
      </c>
      <c r="H153" s="27" t="str">
        <f t="array" ref="H153">IF(K153&lt;0,"Advance",INDEX('Days Ranges'!$D$4:$D$12,MATCH(1,($F153&gt;'Days Ranges'!$A$4:$A$12)*($F153&lt;'Days Ranges'!$B$4:$B$12),0)))</f>
        <v>Current</v>
      </c>
      <c r="I153" s="27" t="str">
        <f>IFERROR(IF(IFERROR(REPLACE(O153,FIND("ОПТ ",O153,1),4,""),O153)=0,VLOOKUP(MID(Q153,FIND(" ",Q153,1)+1,3),Brands!$B$2:$C$24,2,0),IFERROR(REPLACE(O153,FIND("ОПТ ",O153,1),4,""),O153)),"Check PLEASE")</f>
        <v>Сток Converse</v>
      </c>
      <c r="J153" s="27" t="str">
        <f>VLOOKUP(I153,Brands!$E$2:$F$21,2,0)</f>
        <v>Converse</v>
      </c>
      <c r="K153" s="23">
        <f t="shared" si="16"/>
        <v>71687</v>
      </c>
      <c r="L153" s="204" t="s">
        <v>1583</v>
      </c>
      <c r="M153" s="205" t="s">
        <v>324</v>
      </c>
      <c r="N153" s="204" t="s">
        <v>1584</v>
      </c>
      <c r="O153" s="205" t="s">
        <v>52</v>
      </c>
      <c r="P153" s="205" t="s">
        <v>28</v>
      </c>
      <c r="Q153" s="205" t="s">
        <v>492</v>
      </c>
      <c r="R153" s="87" t="s">
        <v>906</v>
      </c>
      <c r="S153" s="84"/>
      <c r="T153" s="84"/>
      <c r="U153" s="84"/>
      <c r="V153" s="84"/>
      <c r="W153" s="4" t="str">
        <f t="shared" si="17"/>
        <v>Positive</v>
      </c>
      <c r="X153" s="206">
        <v>71687</v>
      </c>
    </row>
    <row r="154" spans="1:24" ht="12" x14ac:dyDescent="0.2">
      <c r="A154" s="22" t="str">
        <f t="shared" si="13"/>
        <v>Реализация товаров и услуг</v>
      </c>
      <c r="B154" s="13">
        <f t="array" ref="B154">IFERROR(INDEX(CreditDAY[Credit Days Nominal],MATCH(M154&amp;Q154&amp;I154,CreditDAY[Customer]&amp;CreditDAY[Договор.Наименование]&amp;CreditDAY[Brand Temp],0)),0)</f>
        <v>73</v>
      </c>
      <c r="C154" s="10"/>
      <c r="D154" s="165">
        <f t="shared" si="14"/>
        <v>44435</v>
      </c>
      <c r="E154" s="16">
        <f t="shared" si="12"/>
        <v>44508.48065972222</v>
      </c>
      <c r="F154" s="23">
        <f t="shared" si="15"/>
        <v>-55.480659722219571</v>
      </c>
      <c r="G154" s="27" t="str">
        <f t="array" ref="G154">IF(K154&lt;0,"Advance",INDEX('Days Ranges'!$C$4:$C$12,MATCH(1,($F154&gt;='Days Ranges'!$A$4:$A$12)*($F154&lt;'Days Ranges'!$B$4:$B$12),0)))</f>
        <v>Current</v>
      </c>
      <c r="H154" s="27" t="str">
        <f t="array" ref="H154">IF(K154&lt;0,"Advance",INDEX('Days Ranges'!$D$4:$D$12,MATCH(1,($F154&gt;'Days Ranges'!$A$4:$A$12)*($F154&lt;'Days Ranges'!$B$4:$B$12),0)))</f>
        <v>Current</v>
      </c>
      <c r="I154" s="27" t="str">
        <f>IFERROR(IF(IFERROR(REPLACE(O154,FIND("ОПТ ",O154,1),4,""),O154)=0,VLOOKUP(MID(Q154,FIND(" ",Q154,1)+1,3),Brands!$B$2:$C$24,2,0),IFERROR(REPLACE(O154,FIND("ОПТ ",O154,1),4,""),O154)),"Check PLEASE")</f>
        <v>Dr.Martens</v>
      </c>
      <c r="J154" s="27" t="str">
        <f>VLOOKUP(I154,Brands!$E$2:$F$21,2,0)</f>
        <v>Dr.Martens</v>
      </c>
      <c r="K154" s="23">
        <f t="shared" si="16"/>
        <v>95040</v>
      </c>
      <c r="L154" s="204" t="s">
        <v>1585</v>
      </c>
      <c r="M154" s="205" t="s">
        <v>324</v>
      </c>
      <c r="N154" s="204" t="s">
        <v>1586</v>
      </c>
      <c r="O154" s="205" t="s">
        <v>102</v>
      </c>
      <c r="P154" s="205" t="s">
        <v>28</v>
      </c>
      <c r="Q154" s="205" t="s">
        <v>492</v>
      </c>
      <c r="R154" s="87" t="s">
        <v>17</v>
      </c>
      <c r="S154" s="84"/>
      <c r="T154" s="84"/>
      <c r="U154" s="84"/>
      <c r="V154" s="84"/>
      <c r="W154" s="4" t="str">
        <f t="shared" si="17"/>
        <v>Positive</v>
      </c>
      <c r="X154" s="206">
        <v>95040</v>
      </c>
    </row>
    <row r="155" spans="1:24" ht="12" x14ac:dyDescent="0.2">
      <c r="A155" s="22" t="str">
        <f t="shared" si="13"/>
        <v>Реализация товаров и услуг</v>
      </c>
      <c r="B155" s="13">
        <f t="array" ref="B155">IFERROR(INDEX(CreditDAY[Credit Days Nominal],MATCH(M155&amp;Q155&amp;I155,CreditDAY[Customer]&amp;CreditDAY[Договор.Наименование]&amp;CreditDAY[Brand Temp],0)),0)</f>
        <v>73</v>
      </c>
      <c r="C155" s="10"/>
      <c r="D155" s="165">
        <f t="shared" si="14"/>
        <v>44435</v>
      </c>
      <c r="E155" s="16">
        <f t="shared" si="12"/>
        <v>44508.481412037036</v>
      </c>
      <c r="F155" s="23">
        <f t="shared" si="15"/>
        <v>-55.481412037035625</v>
      </c>
      <c r="G155" s="27" t="str">
        <f t="array" ref="G155">IF(K155&lt;0,"Advance",INDEX('Days Ranges'!$C$4:$C$12,MATCH(1,($F155&gt;='Days Ranges'!$A$4:$A$12)*($F155&lt;'Days Ranges'!$B$4:$B$12),0)))</f>
        <v>Current</v>
      </c>
      <c r="H155" s="27" t="str">
        <f t="array" ref="H155">IF(K155&lt;0,"Advance",INDEX('Days Ranges'!$D$4:$D$12,MATCH(1,($F155&gt;'Days Ranges'!$A$4:$A$12)*($F155&lt;'Days Ranges'!$B$4:$B$12),0)))</f>
        <v>Current</v>
      </c>
      <c r="I155" s="27" t="str">
        <f>IFERROR(IF(IFERROR(REPLACE(O155,FIND("ОПТ ",O155,1),4,""),O155)=0,VLOOKUP(MID(Q155,FIND(" ",Q155,1)+1,3),Brands!$B$2:$C$24,2,0),IFERROR(REPLACE(O155,FIND("ОПТ ",O155,1),4,""),O155)),"Check PLEASE")</f>
        <v>Converse</v>
      </c>
      <c r="J155" s="27" t="str">
        <f>VLOOKUP(I155,Brands!$E$2:$F$21,2,0)</f>
        <v>Converse</v>
      </c>
      <c r="K155" s="23">
        <f t="shared" si="16"/>
        <v>78204</v>
      </c>
      <c r="L155" s="204" t="s">
        <v>1587</v>
      </c>
      <c r="M155" s="205" t="s">
        <v>324</v>
      </c>
      <c r="N155" s="204" t="s">
        <v>1588</v>
      </c>
      <c r="O155" s="205" t="s">
        <v>20</v>
      </c>
      <c r="P155" s="205" t="s">
        <v>28</v>
      </c>
      <c r="Q155" s="205" t="s">
        <v>492</v>
      </c>
      <c r="R155" s="87" t="s">
        <v>17</v>
      </c>
      <c r="S155" s="84"/>
      <c r="T155" s="84"/>
      <c r="U155" s="84"/>
      <c r="V155" s="84"/>
      <c r="W155" s="4" t="str">
        <f t="shared" si="17"/>
        <v>Positive</v>
      </c>
      <c r="X155" s="206">
        <v>78204</v>
      </c>
    </row>
    <row r="156" spans="1:24" ht="12" x14ac:dyDescent="0.2">
      <c r="A156" s="22" t="str">
        <f t="shared" si="13"/>
        <v>Реализация товаров и услуг</v>
      </c>
      <c r="B156" s="13">
        <f t="array" ref="B156">IFERROR(INDEX(CreditDAY[Credit Days Nominal],MATCH(M156&amp;Q156&amp;I156,CreditDAY[Customer]&amp;CreditDAY[Договор.Наименование]&amp;CreditDAY[Brand Temp],0)),0)</f>
        <v>73</v>
      </c>
      <c r="C156" s="10"/>
      <c r="D156" s="165">
        <f t="shared" si="14"/>
        <v>44435</v>
      </c>
      <c r="E156" s="16">
        <f t="shared" si="12"/>
        <v>44508.481990740744</v>
      </c>
      <c r="F156" s="23">
        <f t="shared" si="15"/>
        <v>-55.48199074074364</v>
      </c>
      <c r="G156" s="27" t="str">
        <f t="array" ref="G156">IF(K156&lt;0,"Advance",INDEX('Days Ranges'!$C$4:$C$12,MATCH(1,($F156&gt;='Days Ranges'!$A$4:$A$12)*($F156&lt;'Days Ranges'!$B$4:$B$12),0)))</f>
        <v>Current</v>
      </c>
      <c r="H156" s="27" t="str">
        <f t="array" ref="H156">IF(K156&lt;0,"Advance",INDEX('Days Ranges'!$D$4:$D$12,MATCH(1,($F156&gt;'Days Ranges'!$A$4:$A$12)*($F156&lt;'Days Ranges'!$B$4:$B$12),0)))</f>
        <v>Current</v>
      </c>
      <c r="I156" s="27" t="str">
        <f>IFERROR(IF(IFERROR(REPLACE(O156,FIND("ОПТ ",O156,1),4,""),O156)=0,VLOOKUP(MID(Q156,FIND(" ",Q156,1)+1,3),Brands!$B$2:$C$24,2,0),IFERROR(REPLACE(O156,FIND("ОПТ ",O156,1),4,""),O156)),"Check PLEASE")</f>
        <v>Сток Dr.Martens</v>
      </c>
      <c r="J156" s="27" t="str">
        <f>VLOOKUP(I156,Brands!$E$2:$F$21,2,0)</f>
        <v>Dr.Martens</v>
      </c>
      <c r="K156" s="23">
        <f t="shared" si="16"/>
        <v>53424</v>
      </c>
      <c r="L156" s="204" t="s">
        <v>1589</v>
      </c>
      <c r="M156" s="205" t="s">
        <v>324</v>
      </c>
      <c r="N156" s="204" t="s">
        <v>1590</v>
      </c>
      <c r="O156" s="205" t="s">
        <v>107</v>
      </c>
      <c r="P156" s="205" t="s">
        <v>28</v>
      </c>
      <c r="Q156" s="205" t="s">
        <v>492</v>
      </c>
      <c r="R156" s="87" t="s">
        <v>17</v>
      </c>
      <c r="S156" s="84"/>
      <c r="T156" s="84"/>
      <c r="U156" s="84"/>
      <c r="V156" s="84"/>
      <c r="W156" s="4" t="str">
        <f t="shared" si="17"/>
        <v>Positive</v>
      </c>
      <c r="X156" s="206">
        <v>53424</v>
      </c>
    </row>
    <row r="157" spans="1:24" ht="12" x14ac:dyDescent="0.2">
      <c r="A157" s="22" t="str">
        <f t="shared" si="13"/>
        <v>Реализация товаров и услуг</v>
      </c>
      <c r="B157" s="13">
        <f t="array" ref="B157">IFERROR(INDEX(CreditDAY[Credit Days Nominal],MATCH(M157&amp;Q157&amp;I157,CreditDAY[Customer]&amp;CreditDAY[Договор.Наименование]&amp;CreditDAY[Brand Temp],0)),0)</f>
        <v>73</v>
      </c>
      <c r="C157" s="10"/>
      <c r="D157" s="165">
        <f t="shared" si="14"/>
        <v>44435</v>
      </c>
      <c r="E157" s="16">
        <f t="shared" si="12"/>
        <v>44508.482673611114</v>
      </c>
      <c r="F157" s="23">
        <f t="shared" si="15"/>
        <v>-55.482673611113569</v>
      </c>
      <c r="G157" s="27" t="str">
        <f t="array" ref="G157">IF(K157&lt;0,"Advance",INDEX('Days Ranges'!$C$4:$C$12,MATCH(1,($F157&gt;='Days Ranges'!$A$4:$A$12)*($F157&lt;'Days Ranges'!$B$4:$B$12),0)))</f>
        <v>Current</v>
      </c>
      <c r="H157" s="27" t="str">
        <f t="array" ref="H157">IF(K157&lt;0,"Advance",INDEX('Days Ranges'!$D$4:$D$12,MATCH(1,($F157&gt;'Days Ranges'!$A$4:$A$12)*($F157&lt;'Days Ranges'!$B$4:$B$12),0)))</f>
        <v>Current</v>
      </c>
      <c r="I157" s="27" t="str">
        <f>IFERROR(IF(IFERROR(REPLACE(O157,FIND("ОПТ ",O157,1),4,""),O157)=0,VLOOKUP(MID(Q157,FIND(" ",Q157,1)+1,3),Brands!$B$2:$C$24,2,0),IFERROR(REPLACE(O157,FIND("ОПТ ",O157,1),4,""),O157)),"Check PLEASE")</f>
        <v>Сток Dr.Martens</v>
      </c>
      <c r="J157" s="27" t="str">
        <f>VLOOKUP(I157,Brands!$E$2:$F$21,2,0)</f>
        <v>Dr.Martens</v>
      </c>
      <c r="K157" s="23">
        <f t="shared" si="16"/>
        <v>30480</v>
      </c>
      <c r="L157" s="204" t="s">
        <v>1591</v>
      </c>
      <c r="M157" s="205" t="s">
        <v>324</v>
      </c>
      <c r="N157" s="204" t="s">
        <v>1592</v>
      </c>
      <c r="O157" s="205" t="s">
        <v>107</v>
      </c>
      <c r="P157" s="205" t="s">
        <v>28</v>
      </c>
      <c r="Q157" s="205" t="s">
        <v>492</v>
      </c>
      <c r="R157" s="87" t="s">
        <v>17</v>
      </c>
      <c r="S157" s="84"/>
      <c r="T157" s="84"/>
      <c r="U157" s="84"/>
      <c r="V157" s="84"/>
      <c r="W157" s="4" t="str">
        <f t="shared" si="17"/>
        <v>Positive</v>
      </c>
      <c r="X157" s="206">
        <v>30480</v>
      </c>
    </row>
    <row r="158" spans="1:24" ht="12" x14ac:dyDescent="0.2">
      <c r="A158" s="22" t="str">
        <f t="shared" si="13"/>
        <v>Платежное поручение входящее</v>
      </c>
      <c r="B158" s="13">
        <f t="array" ref="B158">IFERROR(INDEX(CreditDAY[Credit Days Nominal],MATCH(M158&amp;Q158&amp;I158,CreditDAY[Customer]&amp;CreditDAY[Договор.Наименование]&amp;CreditDAY[Brand Temp],0)),0)</f>
        <v>0</v>
      </c>
      <c r="C158" s="10"/>
      <c r="D158" s="165">
        <f t="shared" si="14"/>
        <v>44435</v>
      </c>
      <c r="E158" s="16">
        <f t="shared" si="12"/>
        <v>44435.708333333336</v>
      </c>
      <c r="F158" s="23">
        <f t="shared" si="15"/>
        <v>17.291666666664241</v>
      </c>
      <c r="G158" s="27" t="str">
        <f t="array" ref="G158">IF(K158&lt;0,"Advance",INDEX('Days Ranges'!$C$4:$C$12,MATCH(1,($F158&gt;='Days Ranges'!$A$4:$A$12)*($F158&lt;'Days Ranges'!$B$4:$B$12),0)))</f>
        <v>Advance</v>
      </c>
      <c r="H158" s="27" t="str">
        <f t="array" ref="H158">IF(K158&lt;0,"Advance",INDEX('Days Ranges'!$D$4:$D$12,MATCH(1,($F158&gt;'Days Ranges'!$A$4:$A$12)*($F158&lt;'Days Ranges'!$B$4:$B$12),0)))</f>
        <v>Advance</v>
      </c>
      <c r="I158" s="27" t="str">
        <f>IFERROR(IF(IFERROR(REPLACE(O158,FIND("ОПТ ",O158,1),4,""),O158)=0,VLOOKUP(MID(Q158,FIND(" ",Q158,1)+1,3),Brands!$B$2:$C$24,2,0),IFERROR(REPLACE(O158,FIND("ОПТ ",O158,1),4,""),O158)),"Check PLEASE")</f>
        <v>Сток Converse</v>
      </c>
      <c r="J158" s="27" t="str">
        <f>VLOOKUP(I158,Brands!$E$2:$F$21,2,0)</f>
        <v>Converse</v>
      </c>
      <c r="K158" s="23">
        <f t="shared" si="16"/>
        <v>-245.97</v>
      </c>
      <c r="L158" s="204" t="s">
        <v>1594</v>
      </c>
      <c r="M158" s="205" t="s">
        <v>158</v>
      </c>
      <c r="N158" s="204" t="s">
        <v>1593</v>
      </c>
      <c r="O158" s="205" t="s">
        <v>52</v>
      </c>
      <c r="P158" s="205" t="s">
        <v>36</v>
      </c>
      <c r="Q158" s="205" t="s">
        <v>160</v>
      </c>
      <c r="R158" s="87" t="s">
        <v>17</v>
      </c>
      <c r="S158" s="84"/>
      <c r="T158" s="84"/>
      <c r="U158" s="84"/>
      <c r="V158" s="84"/>
      <c r="W158" s="4" t="str">
        <f t="shared" si="17"/>
        <v>Negative</v>
      </c>
      <c r="X158" s="206">
        <v>-245.97</v>
      </c>
    </row>
    <row r="159" spans="1:24" ht="12" x14ac:dyDescent="0.2">
      <c r="A159" s="22" t="str">
        <f t="shared" si="13"/>
        <v>Платежное поручение входящее</v>
      </c>
      <c r="B159" s="13">
        <f t="array" ref="B159">IFERROR(INDEX(CreditDAY[Credit Days Nominal],MATCH(M159&amp;Q159&amp;I159,CreditDAY[Customer]&amp;CreditDAY[Договор.Наименование]&amp;CreditDAY[Brand Temp],0)),0)</f>
        <v>0</v>
      </c>
      <c r="C159" s="10"/>
      <c r="D159" s="165">
        <f t="shared" si="14"/>
        <v>44435</v>
      </c>
      <c r="E159" s="16">
        <f t="shared" si="12"/>
        <v>44435.708333333336</v>
      </c>
      <c r="F159" s="23">
        <f t="shared" si="15"/>
        <v>17.291666666664241</v>
      </c>
      <c r="G159" s="27" t="str">
        <f t="array" ref="G159">IF(K159&lt;0,"Advance",INDEX('Days Ranges'!$C$4:$C$12,MATCH(1,($F159&gt;='Days Ranges'!$A$4:$A$12)*($F159&lt;'Days Ranges'!$B$4:$B$12),0)))</f>
        <v>Advance</v>
      </c>
      <c r="H159" s="27" t="str">
        <f t="array" ref="H159">IF(K159&lt;0,"Advance",INDEX('Days Ranges'!$D$4:$D$12,MATCH(1,($F159&gt;'Days Ranges'!$A$4:$A$12)*($F159&lt;'Days Ranges'!$B$4:$B$12),0)))</f>
        <v>Advance</v>
      </c>
      <c r="I159" s="27" t="str">
        <f>IFERROR(IF(IFERROR(REPLACE(O159,FIND("ОПТ ",O159,1),4,""),O159)=0,VLOOKUP(MID(Q159,FIND(" ",Q159,1)+1,3),Brands!$B$2:$C$24,2,0),IFERROR(REPLACE(O159,FIND("ОПТ ",O159,1),4,""),O159)),"Check PLEASE")</f>
        <v>Сток Havaianas</v>
      </c>
      <c r="J159" s="27" t="str">
        <f>VLOOKUP(I159,Brands!$E$2:$F$21,2,0)</f>
        <v>Havaianas</v>
      </c>
      <c r="K159" s="23">
        <f t="shared" si="16"/>
        <v>-869.5</v>
      </c>
      <c r="L159" s="204" t="s">
        <v>1595</v>
      </c>
      <c r="M159" s="205" t="s">
        <v>1596</v>
      </c>
      <c r="N159" s="204" t="s">
        <v>1593</v>
      </c>
      <c r="O159" s="205" t="s">
        <v>85</v>
      </c>
      <c r="P159" s="205" t="s">
        <v>36</v>
      </c>
      <c r="Q159" s="205" t="s">
        <v>1597</v>
      </c>
      <c r="R159" s="87" t="s">
        <v>186</v>
      </c>
      <c r="S159" s="84"/>
      <c r="T159" s="84"/>
      <c r="U159" s="84"/>
      <c r="V159" s="84"/>
      <c r="W159" s="4" t="str">
        <f t="shared" si="17"/>
        <v>Negative</v>
      </c>
      <c r="X159" s="206">
        <v>-869.5</v>
      </c>
    </row>
    <row r="160" spans="1:24" ht="12" x14ac:dyDescent="0.2">
      <c r="A160" s="22" t="str">
        <f t="shared" si="13"/>
        <v>Отчет комиссионера о продажах</v>
      </c>
      <c r="B160" s="13">
        <f t="array" ref="B160">IFERROR(INDEX(CreditDAY[Credit Days Nominal],MATCH(M160&amp;Q160&amp;I160,CreditDAY[Customer]&amp;CreditDAY[Договор.Наименование]&amp;CreditDAY[Brand Temp],0)),0)</f>
        <v>45</v>
      </c>
      <c r="C160" s="10"/>
      <c r="D160" s="165">
        <f t="shared" si="14"/>
        <v>44439</v>
      </c>
      <c r="E160" s="16">
        <f t="shared" si="12"/>
        <v>44484.617337962962</v>
      </c>
      <c r="F160" s="23">
        <f t="shared" si="15"/>
        <v>-31.617337962961756</v>
      </c>
      <c r="G160" s="27" t="str">
        <f t="array" ref="G160">IF(K160&lt;0,"Advance",INDEX('Days Ranges'!$C$4:$C$12,MATCH(1,($F160&gt;='Days Ranges'!$A$4:$A$12)*($F160&lt;'Days Ranges'!$B$4:$B$12),0)))</f>
        <v>Current</v>
      </c>
      <c r="H160" s="27" t="str">
        <f t="array" ref="H160">IF(K160&lt;0,"Advance",INDEX('Days Ranges'!$D$4:$D$12,MATCH(1,($F160&gt;'Days Ranges'!$A$4:$A$12)*($F160&lt;'Days Ranges'!$B$4:$B$12),0)))</f>
        <v>Current</v>
      </c>
      <c r="I160" s="27" t="str">
        <f>IFERROR(IF(IFERROR(REPLACE(O160,FIND("ОПТ ",O160,1),4,""),O160)=0,VLOOKUP(MID(Q160,FIND(" ",Q160,1)+1,3),Brands!$B$2:$C$24,2,0),IFERROR(REPLACE(O160,FIND("ОПТ ",O160,1),4,""),O160)),"Check PLEASE")</f>
        <v>Сток Converse</v>
      </c>
      <c r="J160" s="27" t="str">
        <f>VLOOKUP(I160,Brands!$E$2:$F$21,2,0)</f>
        <v>Converse</v>
      </c>
      <c r="K160" s="23">
        <f t="shared" si="16"/>
        <v>32647.66</v>
      </c>
      <c r="L160" s="204" t="s">
        <v>1598</v>
      </c>
      <c r="M160" s="205" t="s">
        <v>277</v>
      </c>
      <c r="N160" s="204" t="s">
        <v>1599</v>
      </c>
      <c r="O160" s="205" t="s">
        <v>52</v>
      </c>
      <c r="P160" s="205"/>
      <c r="Q160" s="205" t="s">
        <v>278</v>
      </c>
      <c r="R160" s="87" t="s">
        <v>186</v>
      </c>
      <c r="S160" s="84"/>
      <c r="T160" s="84"/>
      <c r="U160" s="84"/>
      <c r="V160" s="84"/>
      <c r="W160" s="4" t="str">
        <f t="shared" si="17"/>
        <v>Positive</v>
      </c>
      <c r="X160" s="206">
        <v>32647.66</v>
      </c>
    </row>
    <row r="161" spans="1:24" ht="12" x14ac:dyDescent="0.2">
      <c r="A161" s="22" t="str">
        <f t="shared" si="13"/>
        <v>Отчет комиссионера о продажах</v>
      </c>
      <c r="B161" s="13">
        <f t="array" ref="B161">IFERROR(INDEX(CreditDAY[Credit Days Nominal],MATCH(M161&amp;Q161&amp;I161,CreditDAY[Customer]&amp;CreditDAY[Договор.Наименование]&amp;CreditDAY[Brand Temp],0)),0)</f>
        <v>45</v>
      </c>
      <c r="C161" s="10"/>
      <c r="D161" s="165">
        <f t="shared" si="14"/>
        <v>44439</v>
      </c>
      <c r="E161" s="16">
        <f t="shared" si="12"/>
        <v>44484.617893518516</v>
      </c>
      <c r="F161" s="23">
        <f t="shared" si="15"/>
        <v>-31.617893518516212</v>
      </c>
      <c r="G161" s="27" t="str">
        <f t="array" ref="G161">IF(K161&lt;0,"Advance",INDEX('Days Ranges'!$C$4:$C$12,MATCH(1,($F161&gt;='Days Ranges'!$A$4:$A$12)*($F161&lt;'Days Ranges'!$B$4:$B$12),0)))</f>
        <v>Current</v>
      </c>
      <c r="H161" s="27" t="str">
        <f t="array" ref="H161">IF(K161&lt;0,"Advance",INDEX('Days Ranges'!$D$4:$D$12,MATCH(1,($F161&gt;'Days Ranges'!$A$4:$A$12)*($F161&lt;'Days Ranges'!$B$4:$B$12),0)))</f>
        <v>Current</v>
      </c>
      <c r="I161" s="27" t="str">
        <f>IFERROR(IF(IFERROR(REPLACE(O161,FIND("ОПТ ",O161,1),4,""),O161)=0,VLOOKUP(MID(Q161,FIND(" ",Q161,1)+1,3),Brands!$B$2:$C$24,2,0),IFERROR(REPLACE(O161,FIND("ОПТ ",O161,1),4,""),O161)),"Check PLEASE")</f>
        <v>Сток Dr.Martens</v>
      </c>
      <c r="J161" s="27" t="str">
        <f>VLOOKUP(I161,Brands!$E$2:$F$21,2,0)</f>
        <v>Dr.Martens</v>
      </c>
      <c r="K161" s="23">
        <f t="shared" si="16"/>
        <v>12623</v>
      </c>
      <c r="L161" s="204" t="s">
        <v>1600</v>
      </c>
      <c r="M161" s="205" t="s">
        <v>277</v>
      </c>
      <c r="N161" s="204" t="s">
        <v>1601</v>
      </c>
      <c r="O161" s="205" t="s">
        <v>107</v>
      </c>
      <c r="P161" s="205"/>
      <c r="Q161" s="205" t="s">
        <v>278</v>
      </c>
      <c r="R161" s="87" t="s">
        <v>293</v>
      </c>
      <c r="S161" s="84"/>
      <c r="T161" s="84"/>
      <c r="U161" s="84"/>
      <c r="V161" s="84"/>
      <c r="W161" s="4" t="str">
        <f t="shared" si="17"/>
        <v>Positive</v>
      </c>
      <c r="X161" s="206">
        <v>12623</v>
      </c>
    </row>
    <row r="162" spans="1:24" ht="12" x14ac:dyDescent="0.2">
      <c r="A162" s="22" t="str">
        <f t="shared" si="13"/>
        <v>Отчет комиссионера о продажах</v>
      </c>
      <c r="B162" s="13">
        <f t="array" ref="B162">IFERROR(INDEX(CreditDAY[Credit Days Nominal],MATCH(M162&amp;Q162&amp;I162,CreditDAY[Customer]&amp;CreditDAY[Договор.Наименование]&amp;CreditDAY[Brand Temp],0)),0)</f>
        <v>45</v>
      </c>
      <c r="C162" s="10"/>
      <c r="D162" s="165">
        <f t="shared" si="14"/>
        <v>44439</v>
      </c>
      <c r="E162" s="16">
        <f t="shared" si="12"/>
        <v>44484.618587962963</v>
      </c>
      <c r="F162" s="23">
        <f t="shared" si="15"/>
        <v>-31.61858796296292</v>
      </c>
      <c r="G162" s="27" t="str">
        <f t="array" ref="G162">IF(K162&lt;0,"Advance",INDEX('Days Ranges'!$C$4:$C$12,MATCH(1,($F162&gt;='Days Ranges'!$A$4:$A$12)*($F162&lt;'Days Ranges'!$B$4:$B$12),0)))</f>
        <v>Current</v>
      </c>
      <c r="H162" s="27" t="str">
        <f t="array" ref="H162">IF(K162&lt;0,"Advance",INDEX('Days Ranges'!$D$4:$D$12,MATCH(1,($F162&gt;'Days Ranges'!$A$4:$A$12)*($F162&lt;'Days Ranges'!$B$4:$B$12),0)))</f>
        <v>Current</v>
      </c>
      <c r="I162" s="27" t="str">
        <f>IFERROR(IF(IFERROR(REPLACE(O162,FIND("ОПТ ",O162,1),4,""),O162)=0,VLOOKUP(MID(Q162,FIND(" ",Q162,1)+1,3),Brands!$B$2:$C$24,2,0),IFERROR(REPLACE(O162,FIND("ОПТ ",O162,1),4,""),O162)),"Check PLEASE")</f>
        <v>Сток Saucony</v>
      </c>
      <c r="J162" s="27" t="str">
        <f>VLOOKUP(I162,Brands!$E$2:$F$21,2,0)</f>
        <v>Saucony</v>
      </c>
      <c r="K162" s="23">
        <f t="shared" si="16"/>
        <v>112767.7</v>
      </c>
      <c r="L162" s="204" t="s">
        <v>1602</v>
      </c>
      <c r="M162" s="205" t="s">
        <v>277</v>
      </c>
      <c r="N162" s="204" t="s">
        <v>1603</v>
      </c>
      <c r="O162" s="205" t="s">
        <v>35</v>
      </c>
      <c r="P162" s="205"/>
      <c r="Q162" s="205" t="s">
        <v>278</v>
      </c>
      <c r="R162" s="87" t="s">
        <v>186</v>
      </c>
      <c r="S162" s="84"/>
      <c r="T162" s="84"/>
      <c r="U162" s="84"/>
      <c r="V162" s="84"/>
      <c r="W162" s="4" t="str">
        <f t="shared" si="17"/>
        <v>Positive</v>
      </c>
      <c r="X162" s="206">
        <v>112767.7</v>
      </c>
    </row>
    <row r="163" spans="1:24" ht="12" x14ac:dyDescent="0.2">
      <c r="A163" s="22" t="str">
        <f t="shared" si="13"/>
        <v>Отчет комиссионера о продажах</v>
      </c>
      <c r="B163" s="13">
        <f t="array" ref="B163">IFERROR(INDEX(CreditDAY[Credit Days Nominal],MATCH(M163&amp;Q163&amp;I163,CreditDAY[Customer]&amp;CreditDAY[Договор.Наименование]&amp;CreditDAY[Brand Temp],0)),0)</f>
        <v>45</v>
      </c>
      <c r="C163" s="10"/>
      <c r="D163" s="165">
        <f t="shared" si="14"/>
        <v>44439</v>
      </c>
      <c r="E163" s="16">
        <f t="shared" si="12"/>
        <v>44484.619120370371</v>
      </c>
      <c r="F163" s="23">
        <f t="shared" si="15"/>
        <v>-31.619120370371093</v>
      </c>
      <c r="G163" s="27" t="str">
        <f t="array" ref="G163">IF(K163&lt;0,"Advance",INDEX('Days Ranges'!$C$4:$C$12,MATCH(1,($F163&gt;='Days Ranges'!$A$4:$A$12)*($F163&lt;'Days Ranges'!$B$4:$B$12),0)))</f>
        <v>Current</v>
      </c>
      <c r="H163" s="27" t="str">
        <f t="array" ref="H163">IF(K163&lt;0,"Advance",INDEX('Days Ranges'!$D$4:$D$12,MATCH(1,($F163&gt;'Days Ranges'!$A$4:$A$12)*($F163&lt;'Days Ranges'!$B$4:$B$12),0)))</f>
        <v>Current</v>
      </c>
      <c r="I163" s="27" t="str">
        <f>IFERROR(IF(IFERROR(REPLACE(O163,FIND("ОПТ ",O163,1),4,""),O163)=0,VLOOKUP(MID(Q163,FIND(" ",Q163,1)+1,3),Brands!$B$2:$C$24,2,0),IFERROR(REPLACE(O163,FIND("ОПТ ",O163,1),4,""),O163)),"Check PLEASE")</f>
        <v>Сток UGG</v>
      </c>
      <c r="J163" s="27" t="str">
        <f>VLOOKUP(I163,Brands!$E$2:$F$21,2,0)</f>
        <v>UGG</v>
      </c>
      <c r="K163" s="23">
        <f t="shared" si="16"/>
        <v>119944.8</v>
      </c>
      <c r="L163" s="204" t="s">
        <v>1604</v>
      </c>
      <c r="M163" s="205" t="s">
        <v>277</v>
      </c>
      <c r="N163" s="204" t="s">
        <v>1605</v>
      </c>
      <c r="O163" s="205" t="s">
        <v>88</v>
      </c>
      <c r="P163" s="205"/>
      <c r="Q163" s="205" t="s">
        <v>278</v>
      </c>
      <c r="R163" s="87" t="s">
        <v>186</v>
      </c>
      <c r="S163" s="84"/>
      <c r="T163" s="84"/>
      <c r="U163" s="84"/>
      <c r="V163" s="84"/>
      <c r="W163" s="4" t="str">
        <f t="shared" si="17"/>
        <v>Positive</v>
      </c>
      <c r="X163" s="206">
        <v>119944.8</v>
      </c>
    </row>
    <row r="164" spans="1:24" ht="12" x14ac:dyDescent="0.2">
      <c r="A164" s="22" t="str">
        <f t="shared" si="13"/>
        <v>Отчет комиссионера о продажах</v>
      </c>
      <c r="B164" s="13">
        <f t="array" ref="B164">IFERROR(INDEX(CreditDAY[Credit Days Nominal],MATCH(M164&amp;Q164&amp;I164,CreditDAY[Customer]&amp;CreditDAY[Договор.Наименование]&amp;CreditDAY[Brand Temp],0)),0)</f>
        <v>38</v>
      </c>
      <c r="C164" s="10"/>
      <c r="D164" s="165">
        <f t="shared" si="14"/>
        <v>44439</v>
      </c>
      <c r="E164" s="16">
        <f t="shared" si="12"/>
        <v>44477.674085648148</v>
      </c>
      <c r="F164" s="23">
        <f t="shared" si="15"/>
        <v>-24.674085648148321</v>
      </c>
      <c r="G164" s="27" t="str">
        <f t="array" ref="G164">IF(K164&lt;0,"Advance",INDEX('Days Ranges'!$C$4:$C$12,MATCH(1,($F164&gt;='Days Ranges'!$A$4:$A$12)*($F164&lt;'Days Ranges'!$B$4:$B$12),0)))</f>
        <v>Current</v>
      </c>
      <c r="H164" s="27" t="str">
        <f t="array" ref="H164">IF(K164&lt;0,"Advance",INDEX('Days Ranges'!$D$4:$D$12,MATCH(1,($F164&gt;'Days Ranges'!$A$4:$A$12)*($F164&lt;'Days Ranges'!$B$4:$B$12),0)))</f>
        <v>Current</v>
      </c>
      <c r="I164" s="27" t="str">
        <f>IFERROR(IF(IFERROR(REPLACE(O164,FIND("ОПТ ",O164,1),4,""),O164)=0,VLOOKUP(MID(Q164,FIND(" ",Q164,1)+1,3),Brands!$B$2:$C$24,2,0),IFERROR(REPLACE(O164,FIND("ОПТ ",O164,1),4,""),O164)),"Check PLEASE")</f>
        <v>Сток Saucony</v>
      </c>
      <c r="J164" s="27" t="str">
        <f>VLOOKUP(I164,Brands!$E$2:$F$21,2,0)</f>
        <v>Saucony</v>
      </c>
      <c r="K164" s="23">
        <f t="shared" si="16"/>
        <v>1509504.37</v>
      </c>
      <c r="L164" s="204" t="s">
        <v>1606</v>
      </c>
      <c r="M164" s="205" t="s">
        <v>69</v>
      </c>
      <c r="N164" s="204" t="s">
        <v>1607</v>
      </c>
      <c r="O164" s="205" t="s">
        <v>35</v>
      </c>
      <c r="P164" s="205"/>
      <c r="Q164" s="205" t="s">
        <v>75</v>
      </c>
      <c r="R164" s="87" t="s">
        <v>186</v>
      </c>
      <c r="S164" s="84"/>
      <c r="T164" s="84"/>
      <c r="U164" s="84"/>
      <c r="V164" s="84"/>
      <c r="W164" s="4" t="str">
        <f t="shared" si="17"/>
        <v>Positive</v>
      </c>
      <c r="X164" s="206">
        <v>1509504.37</v>
      </c>
    </row>
    <row r="165" spans="1:24" ht="12" x14ac:dyDescent="0.2">
      <c r="A165" s="22" t="str">
        <f t="shared" si="13"/>
        <v>Отчет комиссионера о продажах</v>
      </c>
      <c r="B165" s="13">
        <f t="array" ref="B165">IFERROR(INDEX(CreditDAY[Credit Days Nominal],MATCH(M165&amp;Q165&amp;I165,CreditDAY[Customer]&amp;CreditDAY[Договор.Наименование]&amp;CreditDAY[Brand Temp],0)),0)</f>
        <v>38</v>
      </c>
      <c r="C165" s="10"/>
      <c r="D165" s="165">
        <f t="shared" si="14"/>
        <v>44439</v>
      </c>
      <c r="E165" s="16">
        <f t="shared" si="12"/>
        <v>44477.67664351852</v>
      </c>
      <c r="F165" s="23">
        <f t="shared" si="15"/>
        <v>-24.676643518519995</v>
      </c>
      <c r="G165" s="27" t="str">
        <f t="array" ref="G165">IF(K165&lt;0,"Advance",INDEX('Days Ranges'!$C$4:$C$12,MATCH(1,($F165&gt;='Days Ranges'!$A$4:$A$12)*($F165&lt;'Days Ranges'!$B$4:$B$12),0)))</f>
        <v>Current</v>
      </c>
      <c r="H165" s="27" t="str">
        <f t="array" ref="H165">IF(K165&lt;0,"Advance",INDEX('Days Ranges'!$D$4:$D$12,MATCH(1,($F165&gt;'Days Ranges'!$A$4:$A$12)*($F165&lt;'Days Ranges'!$B$4:$B$12),0)))</f>
        <v>Current</v>
      </c>
      <c r="I165" s="27" t="str">
        <f>IFERROR(IF(IFERROR(REPLACE(O165,FIND("ОПТ ",O165,1),4,""),O165)=0,VLOOKUP(MID(Q165,FIND(" ",Q165,1)+1,3),Brands!$B$2:$C$24,2,0),IFERROR(REPLACE(O165,FIND("ОПТ ",O165,1),4,""),O165)),"Check PLEASE")</f>
        <v>Сток Havaianas</v>
      </c>
      <c r="J165" s="27" t="str">
        <f>VLOOKUP(I165,Brands!$E$2:$F$21,2,0)</f>
        <v>Havaianas</v>
      </c>
      <c r="K165" s="23">
        <f t="shared" si="16"/>
        <v>548708.49</v>
      </c>
      <c r="L165" s="204" t="s">
        <v>1608</v>
      </c>
      <c r="M165" s="205" t="s">
        <v>69</v>
      </c>
      <c r="N165" s="204" t="s">
        <v>1609</v>
      </c>
      <c r="O165" s="205" t="s">
        <v>85</v>
      </c>
      <c r="P165" s="205"/>
      <c r="Q165" s="205" t="s">
        <v>75</v>
      </c>
      <c r="R165" s="87" t="s">
        <v>186</v>
      </c>
      <c r="S165" s="84"/>
      <c r="T165" s="84"/>
      <c r="U165" s="84"/>
      <c r="V165" s="84"/>
      <c r="W165" s="4" t="str">
        <f t="shared" si="17"/>
        <v>Positive</v>
      </c>
      <c r="X165" s="206">
        <v>548708.49</v>
      </c>
    </row>
    <row r="166" spans="1:24" ht="12" x14ac:dyDescent="0.2">
      <c r="A166" s="22" t="str">
        <f t="shared" si="13"/>
        <v>Отчет комиссионера о продажах</v>
      </c>
      <c r="B166" s="13">
        <f t="array" ref="B166">IFERROR(INDEX(CreditDAY[Credit Days Nominal],MATCH(M166&amp;Q166&amp;I166,CreditDAY[Customer]&amp;CreditDAY[Договор.Наименование]&amp;CreditDAY[Brand Temp],0)),0)</f>
        <v>38</v>
      </c>
      <c r="C166" s="10"/>
      <c r="D166" s="165">
        <f t="shared" si="14"/>
        <v>44439</v>
      </c>
      <c r="E166" s="16">
        <f t="shared" si="12"/>
        <v>44477.688032407408</v>
      </c>
      <c r="F166" s="23">
        <f t="shared" si="15"/>
        <v>-24.688032407408173</v>
      </c>
      <c r="G166" s="27" t="str">
        <f t="array" ref="G166">IF(K166&lt;0,"Advance",INDEX('Days Ranges'!$C$4:$C$12,MATCH(1,($F166&gt;='Days Ranges'!$A$4:$A$12)*($F166&lt;'Days Ranges'!$B$4:$B$12),0)))</f>
        <v>Current</v>
      </c>
      <c r="H166" s="27" t="str">
        <f t="array" ref="H166">IF(K166&lt;0,"Advance",INDEX('Days Ranges'!$D$4:$D$12,MATCH(1,($F166&gt;'Days Ranges'!$A$4:$A$12)*($F166&lt;'Days Ranges'!$B$4:$B$12),0)))</f>
        <v>Current</v>
      </c>
      <c r="I166" s="27" t="str">
        <f>IFERROR(IF(IFERROR(REPLACE(O166,FIND("ОПТ ",O166,1),4,""),O166)=0,VLOOKUP(MID(Q166,FIND(" ",Q166,1)+1,3),Brands!$B$2:$C$24,2,0),IFERROR(REPLACE(O166,FIND("ОПТ ",O166,1),4,""),O166)),"Check PLEASE")</f>
        <v>Сток Converse</v>
      </c>
      <c r="J166" s="27" t="str">
        <f>VLOOKUP(I166,Brands!$E$2:$F$21,2,0)</f>
        <v>Converse</v>
      </c>
      <c r="K166" s="23">
        <f t="shared" si="16"/>
        <v>7064949.4800000004</v>
      </c>
      <c r="L166" s="204" t="s">
        <v>1610</v>
      </c>
      <c r="M166" s="205" t="s">
        <v>69</v>
      </c>
      <c r="N166" s="204" t="s">
        <v>1611</v>
      </c>
      <c r="O166" s="205" t="s">
        <v>52</v>
      </c>
      <c r="P166" s="205"/>
      <c r="Q166" s="205" t="s">
        <v>75</v>
      </c>
      <c r="R166" s="87" t="s">
        <v>243</v>
      </c>
      <c r="S166" s="84"/>
      <c r="T166" s="84"/>
      <c r="U166" s="84"/>
      <c r="V166" s="84"/>
      <c r="W166" s="4" t="str">
        <f t="shared" si="17"/>
        <v>Positive</v>
      </c>
      <c r="X166" s="206">
        <v>7064949.4800000004</v>
      </c>
    </row>
    <row r="167" spans="1:24" ht="12" x14ac:dyDescent="0.2">
      <c r="A167" s="22" t="str">
        <f t="shared" si="13"/>
        <v>Отчет комиссионера о продажах</v>
      </c>
      <c r="B167" s="13">
        <f t="array" ref="B167">IFERROR(INDEX(CreditDAY[Credit Days Nominal],MATCH(M167&amp;Q167&amp;I167,CreditDAY[Customer]&amp;CreditDAY[Договор.Наименование]&amp;CreditDAY[Brand Temp],0)),0)</f>
        <v>38</v>
      </c>
      <c r="C167" s="10"/>
      <c r="D167" s="165">
        <f t="shared" si="14"/>
        <v>44439</v>
      </c>
      <c r="E167" s="16">
        <f t="shared" si="12"/>
        <v>44477.691076388888</v>
      </c>
      <c r="F167" s="23">
        <f t="shared" si="15"/>
        <v>-24.691076388888177</v>
      </c>
      <c r="G167" s="27" t="str">
        <f t="array" ref="G167">IF(K167&lt;0,"Advance",INDEX('Days Ranges'!$C$4:$C$12,MATCH(1,($F167&gt;='Days Ranges'!$A$4:$A$12)*($F167&lt;'Days Ranges'!$B$4:$B$12),0)))</f>
        <v>Current</v>
      </c>
      <c r="H167" s="27" t="str">
        <f t="array" ref="H167">IF(K167&lt;0,"Advance",INDEX('Days Ranges'!$D$4:$D$12,MATCH(1,($F167&gt;'Days Ranges'!$A$4:$A$12)*($F167&lt;'Days Ranges'!$B$4:$B$12),0)))</f>
        <v>Current</v>
      </c>
      <c r="I167" s="27" t="str">
        <f>IFERROR(IF(IFERROR(REPLACE(O167,FIND("ОПТ ",O167,1),4,""),O167)=0,VLOOKUP(MID(Q167,FIND(" ",Q167,1)+1,3),Brands!$B$2:$C$24,2,0),IFERROR(REPLACE(O167,FIND("ОПТ ",O167,1),4,""),O167)),"Check PLEASE")</f>
        <v>Сток Converse</v>
      </c>
      <c r="J167" s="27" t="str">
        <f>VLOOKUP(I167,Brands!$E$2:$F$21,2,0)</f>
        <v>Converse</v>
      </c>
      <c r="K167" s="23">
        <f t="shared" si="16"/>
        <v>58791.37</v>
      </c>
      <c r="L167" s="204" t="s">
        <v>1612</v>
      </c>
      <c r="M167" s="205" t="s">
        <v>69</v>
      </c>
      <c r="N167" s="204" t="s">
        <v>1613</v>
      </c>
      <c r="O167" s="205" t="s">
        <v>52</v>
      </c>
      <c r="P167" s="205"/>
      <c r="Q167" s="205" t="s">
        <v>75</v>
      </c>
      <c r="R167" s="87" t="s">
        <v>186</v>
      </c>
      <c r="S167" s="84"/>
      <c r="T167" s="84"/>
      <c r="U167" s="84"/>
      <c r="V167" s="84"/>
      <c r="W167" s="4" t="str">
        <f t="shared" si="17"/>
        <v>Positive</v>
      </c>
      <c r="X167" s="206">
        <v>58791.37</v>
      </c>
    </row>
    <row r="168" spans="1:24" ht="12" x14ac:dyDescent="0.2">
      <c r="A168" s="22" t="str">
        <f t="shared" si="13"/>
        <v>Отчет комиссионера о продажах</v>
      </c>
      <c r="B168" s="13">
        <f t="array" ref="B168">IFERROR(INDEX(CreditDAY[Credit Days Nominal],MATCH(M168&amp;Q168&amp;I168,CreditDAY[Customer]&amp;CreditDAY[Договор.Наименование]&amp;CreditDAY[Brand Temp],0)),0)</f>
        <v>38</v>
      </c>
      <c r="C168" s="10"/>
      <c r="D168" s="165">
        <f t="shared" si="14"/>
        <v>44439</v>
      </c>
      <c r="E168" s="16">
        <f t="shared" si="12"/>
        <v>44477.698993055557</v>
      </c>
      <c r="F168" s="23">
        <f t="shared" si="15"/>
        <v>-24.698993055557366</v>
      </c>
      <c r="G168" s="27" t="str">
        <f t="array" ref="G168">IF(K168&lt;0,"Advance",INDEX('Days Ranges'!$C$4:$C$12,MATCH(1,($F168&gt;='Days Ranges'!$A$4:$A$12)*($F168&lt;'Days Ranges'!$B$4:$B$12),0)))</f>
        <v>Current</v>
      </c>
      <c r="H168" s="27" t="str">
        <f t="array" ref="H168">IF(K168&lt;0,"Advance",INDEX('Days Ranges'!$D$4:$D$12,MATCH(1,($F168&gt;'Days Ranges'!$A$4:$A$12)*($F168&lt;'Days Ranges'!$B$4:$B$12),0)))</f>
        <v>Current</v>
      </c>
      <c r="I168" s="27" t="str">
        <f>IFERROR(IF(IFERROR(REPLACE(O168,FIND("ОПТ ",O168,1),4,""),O168)=0,VLOOKUP(MID(Q168,FIND(" ",Q168,1)+1,3),Brands!$B$2:$C$24,2,0),IFERROR(REPLACE(O168,FIND("ОПТ ",O168,1),4,""),O168)),"Check PLEASE")</f>
        <v>Сток Havaianas</v>
      </c>
      <c r="J168" s="27" t="str">
        <f>VLOOKUP(I168,Brands!$E$2:$F$21,2,0)</f>
        <v>Havaianas</v>
      </c>
      <c r="K168" s="23">
        <f t="shared" si="16"/>
        <v>67841.850000000006</v>
      </c>
      <c r="L168" s="204" t="s">
        <v>1614</v>
      </c>
      <c r="M168" s="205" t="s">
        <v>69</v>
      </c>
      <c r="N168" s="204" t="s">
        <v>1615</v>
      </c>
      <c r="O168" s="205" t="s">
        <v>85</v>
      </c>
      <c r="P168" s="205"/>
      <c r="Q168" s="205" t="s">
        <v>75</v>
      </c>
      <c r="R168" s="87" t="s">
        <v>186</v>
      </c>
      <c r="S168" s="84"/>
      <c r="T168" s="84"/>
      <c r="U168" s="84"/>
      <c r="V168" s="84"/>
      <c r="W168" s="4" t="str">
        <f t="shared" si="17"/>
        <v>Positive</v>
      </c>
      <c r="X168" s="206">
        <v>67841.850000000006</v>
      </c>
    </row>
    <row r="169" spans="1:24" ht="12" x14ac:dyDescent="0.2">
      <c r="A169" s="22" t="str">
        <f t="shared" si="13"/>
        <v>Отчет комиссионера о продажах</v>
      </c>
      <c r="B169" s="13">
        <f t="array" ref="B169">IFERROR(INDEX(CreditDAY[Credit Days Nominal],MATCH(M169&amp;Q169&amp;I169,CreditDAY[Customer]&amp;CreditDAY[Договор.Наименование]&amp;CreditDAY[Brand Temp],0)),0)</f>
        <v>38</v>
      </c>
      <c r="C169" s="10"/>
      <c r="D169" s="165">
        <f t="shared" si="14"/>
        <v>44439</v>
      </c>
      <c r="E169" s="16">
        <f t="shared" si="12"/>
        <v>44477.714548611111</v>
      </c>
      <c r="F169" s="23">
        <f t="shared" si="15"/>
        <v>-24.71454861111124</v>
      </c>
      <c r="G169" s="27" t="str">
        <f t="array" ref="G169">IF(K169&lt;0,"Advance",INDEX('Days Ranges'!$C$4:$C$12,MATCH(1,($F169&gt;='Days Ranges'!$A$4:$A$12)*($F169&lt;'Days Ranges'!$B$4:$B$12),0)))</f>
        <v>Current</v>
      </c>
      <c r="H169" s="27" t="str">
        <f t="array" ref="H169">IF(K169&lt;0,"Advance",INDEX('Days Ranges'!$D$4:$D$12,MATCH(1,($F169&gt;'Days Ranges'!$A$4:$A$12)*($F169&lt;'Days Ranges'!$B$4:$B$12),0)))</f>
        <v>Current</v>
      </c>
      <c r="I169" s="27" t="str">
        <f>IFERROR(IF(IFERROR(REPLACE(O169,FIND("ОПТ ",O169,1),4,""),O169)=0,VLOOKUP(MID(Q169,FIND(" ",Q169,1)+1,3),Brands!$B$2:$C$24,2,0),IFERROR(REPLACE(O169,FIND("ОПТ ",O169,1),4,""),O169)),"Check PLEASE")</f>
        <v>Сток Havaianas</v>
      </c>
      <c r="J169" s="27" t="str">
        <f>VLOOKUP(I169,Brands!$E$2:$F$21,2,0)</f>
        <v>Havaianas</v>
      </c>
      <c r="K169" s="23">
        <f t="shared" si="16"/>
        <v>29488.71</v>
      </c>
      <c r="L169" s="204" t="s">
        <v>1617</v>
      </c>
      <c r="M169" s="205" t="s">
        <v>69</v>
      </c>
      <c r="N169" s="204" t="s">
        <v>1618</v>
      </c>
      <c r="O169" s="205" t="s">
        <v>85</v>
      </c>
      <c r="P169" s="205"/>
      <c r="Q169" s="205" t="s">
        <v>75</v>
      </c>
      <c r="R169" s="87" t="s">
        <v>186</v>
      </c>
      <c r="S169" s="84"/>
      <c r="T169" s="84"/>
      <c r="U169" s="84"/>
      <c r="V169" s="84"/>
      <c r="W169" s="4" t="str">
        <f t="shared" si="17"/>
        <v>Positive</v>
      </c>
      <c r="X169" s="206">
        <v>29488.71</v>
      </c>
    </row>
    <row r="170" spans="1:24" ht="12" x14ac:dyDescent="0.2">
      <c r="A170" s="22" t="str">
        <f t="shared" si="13"/>
        <v>Отчет комиссионера о продажах</v>
      </c>
      <c r="B170" s="13">
        <f t="array" ref="B170">IFERROR(INDEX(CreditDAY[Credit Days Nominal],MATCH(M170&amp;Q170&amp;I170,CreditDAY[Customer]&amp;CreditDAY[Договор.Наименование]&amp;CreditDAY[Brand Temp],0)),0)</f>
        <v>38</v>
      </c>
      <c r="C170" s="10"/>
      <c r="D170" s="165">
        <f t="shared" si="14"/>
        <v>44439</v>
      </c>
      <c r="E170" s="16">
        <f t="shared" si="12"/>
        <v>44477.738298611112</v>
      </c>
      <c r="F170" s="23">
        <f t="shared" si="15"/>
        <v>-24.738298611111531</v>
      </c>
      <c r="G170" s="27" t="str">
        <f t="array" ref="G170">IF(K170&lt;0,"Advance",INDEX('Days Ranges'!$C$4:$C$12,MATCH(1,($F170&gt;='Days Ranges'!$A$4:$A$12)*($F170&lt;'Days Ranges'!$B$4:$B$12),0)))</f>
        <v>Current</v>
      </c>
      <c r="H170" s="27" t="str">
        <f t="array" ref="H170">IF(K170&lt;0,"Advance",INDEX('Days Ranges'!$D$4:$D$12,MATCH(1,($F170&gt;'Days Ranges'!$A$4:$A$12)*($F170&lt;'Days Ranges'!$B$4:$B$12),0)))</f>
        <v>Current</v>
      </c>
      <c r="I170" s="27" t="str">
        <f>IFERROR(IF(IFERROR(REPLACE(O170,FIND("ОПТ ",O170,1),4,""),O170)=0,VLOOKUP(MID(Q170,FIND(" ",Q170,1)+1,3),Brands!$B$2:$C$24,2,0),IFERROR(REPLACE(O170,FIND("ОПТ ",O170,1),4,""),O170)),"Check PLEASE")</f>
        <v>Сток Saucony</v>
      </c>
      <c r="J170" s="27" t="str">
        <f>VLOOKUP(I170,Brands!$E$2:$F$21,2,0)</f>
        <v>Saucony</v>
      </c>
      <c r="K170" s="23">
        <f t="shared" si="16"/>
        <v>153970.73000000001</v>
      </c>
      <c r="L170" s="204" t="s">
        <v>1619</v>
      </c>
      <c r="M170" s="205" t="s">
        <v>69</v>
      </c>
      <c r="N170" s="204" t="s">
        <v>1620</v>
      </c>
      <c r="O170" s="205" t="s">
        <v>35</v>
      </c>
      <c r="P170" s="205"/>
      <c r="Q170" s="205" t="s">
        <v>75</v>
      </c>
      <c r="R170" s="87" t="s">
        <v>186</v>
      </c>
      <c r="S170" s="84"/>
      <c r="T170" s="84"/>
      <c r="U170" s="84"/>
      <c r="V170" s="84"/>
      <c r="W170" s="4" t="str">
        <f t="shared" si="17"/>
        <v>Positive</v>
      </c>
      <c r="X170" s="206">
        <v>153970.73000000001</v>
      </c>
    </row>
    <row r="171" spans="1:24" ht="12" x14ac:dyDescent="0.2">
      <c r="A171" s="22" t="str">
        <f t="shared" si="13"/>
        <v>Отчет комиссионера о продажах</v>
      </c>
      <c r="B171" s="13">
        <f t="array" ref="B171">IFERROR(INDEX(CreditDAY[Credit Days Nominal],MATCH(M171&amp;Q171&amp;I171,CreditDAY[Customer]&amp;CreditDAY[Договор.Наименование]&amp;CreditDAY[Brand Temp],0)),0)</f>
        <v>38</v>
      </c>
      <c r="C171" s="10"/>
      <c r="D171" s="165">
        <f t="shared" si="14"/>
        <v>44439</v>
      </c>
      <c r="E171" s="16">
        <f t="shared" si="12"/>
        <v>44477.748310185183</v>
      </c>
      <c r="F171" s="23">
        <f t="shared" si="15"/>
        <v>-24.748310185183072</v>
      </c>
      <c r="G171" s="27" t="str">
        <f t="array" ref="G171">IF(K171&lt;0,"Advance",INDEX('Days Ranges'!$C$4:$C$12,MATCH(1,($F171&gt;='Days Ranges'!$A$4:$A$12)*($F171&lt;'Days Ranges'!$B$4:$B$12),0)))</f>
        <v>Current</v>
      </c>
      <c r="H171" s="27" t="str">
        <f t="array" ref="H171">IF(K171&lt;0,"Advance",INDEX('Days Ranges'!$D$4:$D$12,MATCH(1,($F171&gt;'Days Ranges'!$A$4:$A$12)*($F171&lt;'Days Ranges'!$B$4:$B$12),0)))</f>
        <v>Current</v>
      </c>
      <c r="I171" s="27" t="str">
        <f>IFERROR(IF(IFERROR(REPLACE(O171,FIND("ОПТ ",O171,1),4,""),O171)=0,VLOOKUP(MID(Q171,FIND(" ",Q171,1)+1,3),Brands!$B$2:$C$24,2,0),IFERROR(REPLACE(O171,FIND("ОПТ ",O171,1),4,""),O171)),"Check PLEASE")</f>
        <v>Сток Saucony</v>
      </c>
      <c r="J171" s="27" t="str">
        <f>VLOOKUP(I171,Brands!$E$2:$F$21,2,0)</f>
        <v>Saucony</v>
      </c>
      <c r="K171" s="23">
        <f t="shared" si="16"/>
        <v>78844.87</v>
      </c>
      <c r="L171" s="204" t="s">
        <v>1621</v>
      </c>
      <c r="M171" s="205" t="s">
        <v>69</v>
      </c>
      <c r="N171" s="204" t="s">
        <v>1622</v>
      </c>
      <c r="O171" s="205" t="s">
        <v>35</v>
      </c>
      <c r="P171" s="205"/>
      <c r="Q171" s="205" t="s">
        <v>75</v>
      </c>
      <c r="R171" s="87" t="s">
        <v>243</v>
      </c>
      <c r="S171" s="84"/>
      <c r="T171" s="84"/>
      <c r="U171" s="84"/>
      <c r="V171" s="84"/>
      <c r="W171" s="4" t="str">
        <f t="shared" si="17"/>
        <v>Positive</v>
      </c>
      <c r="X171" s="206">
        <v>78844.87</v>
      </c>
    </row>
    <row r="172" spans="1:24" ht="12" x14ac:dyDescent="0.2">
      <c r="A172" s="22" t="str">
        <f t="shared" si="13"/>
        <v>Реализация товаров и услуг</v>
      </c>
      <c r="B172" s="13">
        <f t="array" ref="B172">IFERROR(INDEX(CreditDAY[Credit Days Nominal],MATCH(M172&amp;Q172&amp;I172,CreditDAY[Customer]&amp;CreditDAY[Договор.Наименование]&amp;CreditDAY[Brand Temp],0)),0)</f>
        <v>65</v>
      </c>
      <c r="C172" s="10"/>
      <c r="D172" s="165">
        <f t="shared" si="14"/>
        <v>44440</v>
      </c>
      <c r="E172" s="16">
        <f t="shared" si="12"/>
        <v>44505</v>
      </c>
      <c r="F172" s="23">
        <f t="shared" si="15"/>
        <v>-52</v>
      </c>
      <c r="G172" s="27" t="str">
        <f t="array" ref="G172">IF(K172&lt;0,"Advance",INDEX('Days Ranges'!$C$4:$C$12,MATCH(1,($F172&gt;='Days Ranges'!$A$4:$A$12)*($F172&lt;'Days Ranges'!$B$4:$B$12),0)))</f>
        <v>Advance</v>
      </c>
      <c r="H172" s="27" t="str">
        <f t="array" ref="H172">IF(K172&lt;0,"Advance",INDEX('Days Ranges'!$D$4:$D$12,MATCH(1,($F172&gt;'Days Ranges'!$A$4:$A$12)*($F172&lt;'Days Ranges'!$B$4:$B$12),0)))</f>
        <v>Advance</v>
      </c>
      <c r="I172" s="27" t="str">
        <f>IFERROR(IF(IFERROR(REPLACE(O172,FIND("ОПТ ",O172,1),4,""),O172)=0,VLOOKUP(MID(Q172,FIND(" ",Q172,1)+1,3),Brands!$B$2:$C$24,2,0),IFERROR(REPLACE(O172,FIND("ОПТ ",O172,1),4,""),O172)),"Check PLEASE")</f>
        <v>Сток Dr.Martens</v>
      </c>
      <c r="J172" s="27" t="str">
        <f>VLOOKUP(I172,Brands!$E$2:$F$21,2,0)</f>
        <v>Dr.Martens</v>
      </c>
      <c r="K172" s="23">
        <f t="shared" si="16"/>
        <v>-35978.400000000001</v>
      </c>
      <c r="L172" s="204" t="s">
        <v>1623</v>
      </c>
      <c r="M172" s="205" t="s">
        <v>240</v>
      </c>
      <c r="N172" s="204" t="s">
        <v>1624</v>
      </c>
      <c r="O172" s="205" t="s">
        <v>107</v>
      </c>
      <c r="P172" s="205" t="s">
        <v>28</v>
      </c>
      <c r="Q172" s="205" t="s">
        <v>243</v>
      </c>
      <c r="R172" s="87" t="s">
        <v>939</v>
      </c>
      <c r="S172" s="84"/>
      <c r="T172" s="84"/>
      <c r="U172" s="84"/>
      <c r="V172" s="84"/>
      <c r="W172" s="4" t="str">
        <f t="shared" si="17"/>
        <v>Negative</v>
      </c>
      <c r="X172" s="206">
        <v>-35978.400000000001</v>
      </c>
    </row>
    <row r="173" spans="1:24" ht="12" x14ac:dyDescent="0.2">
      <c r="A173" s="22" t="str">
        <f t="shared" si="13"/>
        <v>Реализация товаров и услуг</v>
      </c>
      <c r="B173" s="13">
        <f t="array" ref="B173">IFERROR(INDEX(CreditDAY[Credit Days Nominal],MATCH(M173&amp;Q173&amp;I173,CreditDAY[Customer]&amp;CreditDAY[Договор.Наименование]&amp;CreditDAY[Brand Temp],0)),0)</f>
        <v>65</v>
      </c>
      <c r="C173" s="10"/>
      <c r="D173" s="165">
        <f t="shared" si="14"/>
        <v>44440</v>
      </c>
      <c r="E173" s="16">
        <f t="shared" si="12"/>
        <v>44505</v>
      </c>
      <c r="F173" s="23">
        <f t="shared" si="15"/>
        <v>-52</v>
      </c>
      <c r="G173" s="27" t="str">
        <f t="array" ref="G173">IF(K173&lt;0,"Advance",INDEX('Days Ranges'!$C$4:$C$12,MATCH(1,($F173&gt;='Days Ranges'!$A$4:$A$12)*($F173&lt;'Days Ranges'!$B$4:$B$12),0)))</f>
        <v>Current</v>
      </c>
      <c r="H173" s="27" t="str">
        <f t="array" ref="H173">IF(K173&lt;0,"Advance",INDEX('Days Ranges'!$D$4:$D$12,MATCH(1,($F173&gt;'Days Ranges'!$A$4:$A$12)*($F173&lt;'Days Ranges'!$B$4:$B$12),0)))</f>
        <v>Current</v>
      </c>
      <c r="I173" s="27" t="str">
        <f>IFERROR(IF(IFERROR(REPLACE(O173,FIND("ОПТ ",O173,1),4,""),O173)=0,VLOOKUP(MID(Q173,FIND(" ",Q173,1)+1,3),Brands!$B$2:$C$24,2,0),IFERROR(REPLACE(O173,FIND("ОПТ ",O173,1),4,""),O173)),"Check PLEASE")</f>
        <v>Dr.Martens</v>
      </c>
      <c r="J173" s="27" t="str">
        <f>VLOOKUP(I173,Brands!$E$2:$F$21,2,0)</f>
        <v>Dr.Martens</v>
      </c>
      <c r="K173" s="23">
        <f t="shared" si="16"/>
        <v>6174630</v>
      </c>
      <c r="L173" s="204" t="s">
        <v>1625</v>
      </c>
      <c r="M173" s="205" t="s">
        <v>240</v>
      </c>
      <c r="N173" s="204" t="s">
        <v>1624</v>
      </c>
      <c r="O173" s="205" t="s">
        <v>102</v>
      </c>
      <c r="P173" s="205" t="s">
        <v>28</v>
      </c>
      <c r="Q173" s="205" t="s">
        <v>243</v>
      </c>
      <c r="R173" s="87" t="s">
        <v>243</v>
      </c>
      <c r="S173" s="84"/>
      <c r="T173" s="84"/>
      <c r="U173" s="84"/>
      <c r="V173" s="84"/>
      <c r="W173" s="4" t="str">
        <f t="shared" si="17"/>
        <v>Positive</v>
      </c>
      <c r="X173" s="206">
        <v>6174630</v>
      </c>
    </row>
    <row r="174" spans="1:24" ht="12" x14ac:dyDescent="0.2">
      <c r="A174" s="22" t="str">
        <f t="shared" si="13"/>
        <v>Реализация товаров и услуг</v>
      </c>
      <c r="B174" s="13">
        <f t="array" ref="B174">IFERROR(INDEX(CreditDAY[Credit Days Nominal],MATCH(M174&amp;Q174&amp;I174,CreditDAY[Customer]&amp;CreditDAY[Договор.Наименование]&amp;CreditDAY[Brand Temp],0)),0)</f>
        <v>65</v>
      </c>
      <c r="C174" s="10"/>
      <c r="D174" s="165">
        <f t="shared" si="14"/>
        <v>44440</v>
      </c>
      <c r="E174" s="16">
        <f t="shared" si="12"/>
        <v>44505</v>
      </c>
      <c r="F174" s="23">
        <f t="shared" si="15"/>
        <v>-52</v>
      </c>
      <c r="G174" s="27" t="str">
        <f t="array" ref="G174">IF(K174&lt;0,"Advance",INDEX('Days Ranges'!$C$4:$C$12,MATCH(1,($F174&gt;='Days Ranges'!$A$4:$A$12)*($F174&lt;'Days Ranges'!$B$4:$B$12),0)))</f>
        <v>Current</v>
      </c>
      <c r="H174" s="27" t="str">
        <f t="array" ref="H174">IF(K174&lt;0,"Advance",INDEX('Days Ranges'!$D$4:$D$12,MATCH(1,($F174&gt;'Days Ranges'!$A$4:$A$12)*($F174&lt;'Days Ranges'!$B$4:$B$12),0)))</f>
        <v>Current</v>
      </c>
      <c r="I174" s="27" t="str">
        <f>IFERROR(IF(IFERROR(REPLACE(O174,FIND("ОПТ ",O174,1),4,""),O174)=0,VLOOKUP(MID(Q174,FIND(" ",Q174,1)+1,3),Brands!$B$2:$C$24,2,0),IFERROR(REPLACE(O174,FIND("ОПТ ",O174,1),4,""),O174)),"Check PLEASE")</f>
        <v>Dr.Martens</v>
      </c>
      <c r="J174" s="27" t="str">
        <f>VLOOKUP(I174,Brands!$E$2:$F$21,2,0)</f>
        <v>Dr.Martens</v>
      </c>
      <c r="K174" s="23">
        <f t="shared" si="16"/>
        <v>4907385</v>
      </c>
      <c r="L174" s="204" t="s">
        <v>1626</v>
      </c>
      <c r="M174" s="205" t="s">
        <v>240</v>
      </c>
      <c r="N174" s="204" t="s">
        <v>1624</v>
      </c>
      <c r="O174" s="205" t="s">
        <v>102</v>
      </c>
      <c r="P174" s="205" t="s">
        <v>28</v>
      </c>
      <c r="Q174" s="205" t="s">
        <v>243</v>
      </c>
      <c r="R174" s="87" t="s">
        <v>284</v>
      </c>
      <c r="S174" s="84"/>
      <c r="T174" s="84"/>
      <c r="U174" s="84"/>
      <c r="V174" s="84"/>
      <c r="W174" s="4" t="str">
        <f t="shared" si="17"/>
        <v>Positive</v>
      </c>
      <c r="X174" s="206">
        <v>4907385</v>
      </c>
    </row>
    <row r="175" spans="1:24" ht="12" x14ac:dyDescent="0.2">
      <c r="A175" s="22" t="str">
        <f t="shared" si="13"/>
        <v>Реализация товаров и услуг</v>
      </c>
      <c r="B175" s="13">
        <f t="array" ref="B175">IFERROR(INDEX(CreditDAY[Credit Days Nominal],MATCH(M175&amp;Q175&amp;I175,CreditDAY[Customer]&amp;CreditDAY[Договор.Наименование]&amp;CreditDAY[Brand Temp],0)),0)</f>
        <v>65</v>
      </c>
      <c r="C175" s="10"/>
      <c r="D175" s="165">
        <f t="shared" si="14"/>
        <v>44440</v>
      </c>
      <c r="E175" s="16">
        <f t="shared" si="12"/>
        <v>44505</v>
      </c>
      <c r="F175" s="23">
        <f t="shared" si="15"/>
        <v>-52</v>
      </c>
      <c r="G175" s="27" t="str">
        <f t="array" ref="G175">IF(K175&lt;0,"Advance",INDEX('Days Ranges'!$C$4:$C$12,MATCH(1,($F175&gt;='Days Ranges'!$A$4:$A$12)*($F175&lt;'Days Ranges'!$B$4:$B$12),0)))</f>
        <v>Current</v>
      </c>
      <c r="H175" s="27" t="str">
        <f t="array" ref="H175">IF(K175&lt;0,"Advance",INDEX('Days Ranges'!$D$4:$D$12,MATCH(1,($F175&gt;'Days Ranges'!$A$4:$A$12)*($F175&lt;'Days Ranges'!$B$4:$B$12),0)))</f>
        <v>Current</v>
      </c>
      <c r="I175" s="27" t="str">
        <f>IFERROR(IF(IFERROR(REPLACE(O175,FIND("ОПТ ",O175,1),4,""),O175)=0,VLOOKUP(MID(Q175,FIND(" ",Q175,1)+1,3),Brands!$B$2:$C$24,2,0),IFERROR(REPLACE(O175,FIND("ОПТ ",O175,1),4,""),O175)),"Check PLEASE")</f>
        <v>Сток Converse</v>
      </c>
      <c r="J175" s="27" t="str">
        <f>VLOOKUP(I175,Brands!$E$2:$F$21,2,0)</f>
        <v>Converse</v>
      </c>
      <c r="K175" s="23">
        <f t="shared" si="16"/>
        <v>100080</v>
      </c>
      <c r="L175" s="208" t="s">
        <v>1627</v>
      </c>
      <c r="M175" s="205" t="s">
        <v>240</v>
      </c>
      <c r="N175" s="208" t="s">
        <v>1624</v>
      </c>
      <c r="O175" s="205" t="s">
        <v>52</v>
      </c>
      <c r="P175" s="205" t="s">
        <v>28</v>
      </c>
      <c r="Q175" s="205" t="s">
        <v>1628</v>
      </c>
      <c r="R175" s="87" t="s">
        <v>284</v>
      </c>
      <c r="S175" s="84"/>
      <c r="T175" s="84"/>
      <c r="U175" s="84"/>
      <c r="V175" s="84"/>
      <c r="W175" s="4" t="str">
        <f t="shared" si="17"/>
        <v>Positive</v>
      </c>
      <c r="X175" s="206">
        <v>100080</v>
      </c>
    </row>
    <row r="176" spans="1:24" ht="12" x14ac:dyDescent="0.2">
      <c r="A176" s="22" t="str">
        <f t="shared" si="13"/>
        <v>Реализация товаров и услуг</v>
      </c>
      <c r="B176" s="13">
        <f t="array" ref="B176">IFERROR(INDEX(CreditDAY[Credit Days Nominal],MATCH(M176&amp;Q176&amp;I176,CreditDAY[Customer]&amp;CreditDAY[Договор.Наименование]&amp;CreditDAY[Brand Temp],0)),0)</f>
        <v>65</v>
      </c>
      <c r="C176" s="10"/>
      <c r="D176" s="165">
        <f t="shared" si="14"/>
        <v>44440</v>
      </c>
      <c r="E176" s="16">
        <f t="shared" si="12"/>
        <v>44505</v>
      </c>
      <c r="F176" s="23">
        <f t="shared" si="15"/>
        <v>-52</v>
      </c>
      <c r="G176" s="27" t="str">
        <f t="array" ref="G176">IF(K176&lt;0,"Advance",INDEX('Days Ranges'!$C$4:$C$12,MATCH(1,($F176&gt;='Days Ranges'!$A$4:$A$12)*($F176&lt;'Days Ranges'!$B$4:$B$12),0)))</f>
        <v>Current</v>
      </c>
      <c r="H176" s="27" t="str">
        <f t="array" ref="H176">IF(K176&lt;0,"Advance",INDEX('Days Ranges'!$D$4:$D$12,MATCH(1,($F176&gt;'Days Ranges'!$A$4:$A$12)*($F176&lt;'Days Ranges'!$B$4:$B$12),0)))</f>
        <v>Current</v>
      </c>
      <c r="I176" s="27" t="str">
        <f>IFERROR(IF(IFERROR(REPLACE(O176,FIND("ОПТ ",O176,1),4,""),O176)=0,VLOOKUP(MID(Q176,FIND(" ",Q176,1)+1,3),Brands!$B$2:$C$24,2,0),IFERROR(REPLACE(O176,FIND("ОПТ ",O176,1),4,""),O176)),"Check PLEASE")</f>
        <v>Сток Converse</v>
      </c>
      <c r="J176" s="27" t="str">
        <f>VLOOKUP(I176,Brands!$E$2:$F$21,2,0)</f>
        <v>Converse</v>
      </c>
      <c r="K176" s="23">
        <f t="shared" si="16"/>
        <v>459495</v>
      </c>
      <c r="L176" s="208" t="s">
        <v>1629</v>
      </c>
      <c r="M176" s="205" t="s">
        <v>240</v>
      </c>
      <c r="N176" s="208" t="s">
        <v>1624</v>
      </c>
      <c r="O176" s="205" t="s">
        <v>52</v>
      </c>
      <c r="P176" s="205" t="s">
        <v>28</v>
      </c>
      <c r="Q176" s="205" t="s">
        <v>243</v>
      </c>
      <c r="R176" s="87" t="s">
        <v>126</v>
      </c>
      <c r="S176" s="84"/>
      <c r="T176" s="84"/>
      <c r="U176" s="84"/>
      <c r="V176" s="84"/>
      <c r="W176" s="4" t="str">
        <f t="shared" si="17"/>
        <v>Positive</v>
      </c>
      <c r="X176" s="206">
        <v>459495</v>
      </c>
    </row>
    <row r="177" spans="1:24" ht="12" x14ac:dyDescent="0.2">
      <c r="A177" s="22" t="str">
        <f t="shared" si="13"/>
        <v>Реализация товаров и услуг</v>
      </c>
      <c r="B177" s="13">
        <f t="array" ref="B177">IFERROR(INDEX(CreditDAY[Credit Days Nominal],MATCH(M177&amp;Q177&amp;I177,CreditDAY[Customer]&amp;CreditDAY[Договор.Наименование]&amp;CreditDAY[Brand Temp],0)),0)</f>
        <v>65</v>
      </c>
      <c r="C177" s="10"/>
      <c r="D177" s="165">
        <f t="shared" si="14"/>
        <v>44440</v>
      </c>
      <c r="E177" s="16">
        <f t="shared" si="12"/>
        <v>44505</v>
      </c>
      <c r="F177" s="23">
        <f t="shared" si="15"/>
        <v>-52</v>
      </c>
      <c r="G177" s="27" t="str">
        <f t="array" ref="G177">IF(K177&lt;0,"Advance",INDEX('Days Ranges'!$C$4:$C$12,MATCH(1,($F177&gt;='Days Ranges'!$A$4:$A$12)*($F177&lt;'Days Ranges'!$B$4:$B$12),0)))</f>
        <v>Current</v>
      </c>
      <c r="H177" s="27" t="str">
        <f t="array" ref="H177">IF(K177&lt;0,"Advance",INDEX('Days Ranges'!$D$4:$D$12,MATCH(1,($F177&gt;'Days Ranges'!$A$4:$A$12)*($F177&lt;'Days Ranges'!$B$4:$B$12),0)))</f>
        <v>Current</v>
      </c>
      <c r="I177" s="27" t="str">
        <f>IFERROR(IF(IFERROR(REPLACE(O177,FIND("ОПТ ",O177,1),4,""),O177)=0,VLOOKUP(MID(Q177,FIND(" ",Q177,1)+1,3),Brands!$B$2:$C$24,2,0),IFERROR(REPLACE(O177,FIND("ОПТ ",O177,1),4,""),O177)),"Check PLEASE")</f>
        <v>Сток Converse</v>
      </c>
      <c r="J177" s="27" t="str">
        <f>VLOOKUP(I177,Brands!$E$2:$F$21,2,0)</f>
        <v>Converse</v>
      </c>
      <c r="K177" s="23">
        <f t="shared" si="16"/>
        <v>711990</v>
      </c>
      <c r="L177" s="208" t="s">
        <v>1630</v>
      </c>
      <c r="M177" s="205" t="s">
        <v>240</v>
      </c>
      <c r="N177" s="208" t="s">
        <v>1624</v>
      </c>
      <c r="O177" s="205" t="s">
        <v>52</v>
      </c>
      <c r="P177" s="205" t="s">
        <v>28</v>
      </c>
      <c r="Q177" s="205" t="s">
        <v>243</v>
      </c>
      <c r="R177" s="87" t="s">
        <v>243</v>
      </c>
      <c r="S177" s="84"/>
      <c r="T177" s="84"/>
      <c r="U177" s="84"/>
      <c r="V177" s="84"/>
      <c r="W177" s="4" t="str">
        <f t="shared" si="17"/>
        <v>Positive</v>
      </c>
      <c r="X177" s="206">
        <v>711990</v>
      </c>
    </row>
    <row r="178" spans="1:24" ht="12" x14ac:dyDescent="0.2">
      <c r="A178" s="10" t="str">
        <f t="shared" si="13"/>
        <v>Реализация товаров и услуг</v>
      </c>
      <c r="B178" s="13">
        <f t="array" ref="B178">IFERROR(INDEX(CreditDAY[Credit Days Nominal],MATCH(M178&amp;Q178&amp;I178,CreditDAY[Customer]&amp;CreditDAY[Договор.Наименование]&amp;CreditDAY[Brand Temp],0)),0)</f>
        <v>95</v>
      </c>
      <c r="C178" s="10"/>
      <c r="D178" s="165">
        <f t="shared" si="14"/>
        <v>44441</v>
      </c>
      <c r="E178" s="16">
        <f t="shared" si="12"/>
        <v>44536.593530092592</v>
      </c>
      <c r="F178" s="23">
        <f t="shared" si="15"/>
        <v>-83.593530092592118</v>
      </c>
      <c r="G178" s="27" t="str">
        <f t="array" ref="G178">IF(K178&lt;0,"Advance",INDEX('Days Ranges'!$C$4:$C$12,MATCH(1,($F178&gt;='Days Ranges'!$A$4:$A$12)*($F178&lt;'Days Ranges'!$B$4:$B$12),0)))</f>
        <v>Current</v>
      </c>
      <c r="H178" s="27" t="str">
        <f t="array" ref="H178">IF(K178&lt;0,"Advance",INDEX('Days Ranges'!$D$4:$D$12,MATCH(1,($F178&gt;'Days Ranges'!$A$4:$A$12)*($F178&lt;'Days Ranges'!$B$4:$B$12),0)))</f>
        <v>Current</v>
      </c>
      <c r="I178" s="27" t="str">
        <f>IFERROR(IF(IFERROR(REPLACE(O178,FIND("ОПТ ",O178,1),4,""),O178)=0,VLOOKUP(MID(Q178,FIND(" ",Q178,1)+1,3),Brands!$B$2:$C$24,2,0),IFERROR(REPLACE(O178,FIND("ОПТ ",O178,1),4,""),O178)),"Check PLEASE")</f>
        <v>Dr.Martens</v>
      </c>
      <c r="J178" s="27" t="str">
        <f>VLOOKUP(I178,Brands!$E$2:$F$21,2,0)</f>
        <v>Dr.Martens</v>
      </c>
      <c r="K178" s="23">
        <f t="shared" si="16"/>
        <v>424800</v>
      </c>
      <c r="L178" s="208" t="s">
        <v>1633</v>
      </c>
      <c r="M178" s="205" t="s">
        <v>185</v>
      </c>
      <c r="N178" s="208" t="s">
        <v>1634</v>
      </c>
      <c r="O178" s="205" t="s">
        <v>102</v>
      </c>
      <c r="P178" s="205" t="s">
        <v>28</v>
      </c>
      <c r="Q178" s="205" t="s">
        <v>186</v>
      </c>
      <c r="R178" s="87" t="s">
        <v>108</v>
      </c>
      <c r="S178" s="84"/>
      <c r="T178" s="84"/>
      <c r="U178" s="84"/>
      <c r="V178" s="84"/>
      <c r="W178" s="4" t="str">
        <f t="shared" si="17"/>
        <v>Positive</v>
      </c>
      <c r="X178" s="206">
        <v>424800</v>
      </c>
    </row>
    <row r="179" spans="1:24" ht="12" x14ac:dyDescent="0.2">
      <c r="A179" s="22" t="str">
        <f t="shared" si="13"/>
        <v>Реализация товаров и услуг</v>
      </c>
      <c r="B179" s="13">
        <f t="array" ref="B179">IFERROR(INDEX(CreditDAY[Credit Days Nominal],MATCH(M179&amp;Q179&amp;I179,CreditDAY[Customer]&amp;CreditDAY[Договор.Наименование]&amp;CreditDAY[Brand Temp],0)),0)</f>
        <v>95</v>
      </c>
      <c r="C179" s="10"/>
      <c r="D179" s="165">
        <f t="shared" si="14"/>
        <v>44441</v>
      </c>
      <c r="E179" s="16">
        <f t="shared" si="12"/>
        <v>44536.596597222226</v>
      </c>
      <c r="F179" s="23">
        <f t="shared" si="15"/>
        <v>-83.596597222225682</v>
      </c>
      <c r="G179" s="27" t="str">
        <f t="array" ref="G179">IF(K179&lt;0,"Advance",INDEX('Days Ranges'!$C$4:$C$12,MATCH(1,($F179&gt;='Days Ranges'!$A$4:$A$12)*($F179&lt;'Days Ranges'!$B$4:$B$12),0)))</f>
        <v>Current</v>
      </c>
      <c r="H179" s="27" t="str">
        <f t="array" ref="H179">IF(K179&lt;0,"Advance",INDEX('Days Ranges'!$D$4:$D$12,MATCH(1,($F179&gt;'Days Ranges'!$A$4:$A$12)*($F179&lt;'Days Ranges'!$B$4:$B$12),0)))</f>
        <v>Current</v>
      </c>
      <c r="I179" s="27" t="str">
        <f>IFERROR(IF(IFERROR(REPLACE(O179,FIND("ОПТ ",O179,1),4,""),O179)=0,VLOOKUP(MID(Q179,FIND(" ",Q179,1)+1,3),Brands!$B$2:$C$24,2,0),IFERROR(REPLACE(O179,FIND("ОПТ ",O179,1),4,""),O179)),"Check PLEASE")</f>
        <v>Dr.Martens</v>
      </c>
      <c r="J179" s="27" t="str">
        <f>VLOOKUP(I179,Brands!$E$2:$F$21,2,0)</f>
        <v>Dr.Martens</v>
      </c>
      <c r="K179" s="23">
        <f t="shared" si="16"/>
        <v>424800</v>
      </c>
      <c r="L179" s="208" t="s">
        <v>1635</v>
      </c>
      <c r="M179" s="205" t="s">
        <v>185</v>
      </c>
      <c r="N179" s="208" t="s">
        <v>1636</v>
      </c>
      <c r="O179" s="205" t="s">
        <v>102</v>
      </c>
      <c r="P179" s="205" t="s">
        <v>28</v>
      </c>
      <c r="Q179" s="205" t="s">
        <v>186</v>
      </c>
      <c r="R179" s="87" t="s">
        <v>293</v>
      </c>
      <c r="S179" s="84"/>
      <c r="T179" s="84"/>
      <c r="U179" s="84"/>
      <c r="V179" s="84"/>
      <c r="W179" s="4" t="str">
        <f t="shared" si="17"/>
        <v>Positive</v>
      </c>
      <c r="X179" s="206">
        <v>424800</v>
      </c>
    </row>
    <row r="180" spans="1:24" ht="12" x14ac:dyDescent="0.2">
      <c r="A180" s="22" t="str">
        <f t="shared" si="13"/>
        <v>Реализация товаров и услуг</v>
      </c>
      <c r="B180" s="13">
        <f t="array" ref="B180">IFERROR(INDEX(CreditDAY[Credit Days Nominal],MATCH(M180&amp;Q180&amp;I180,CreditDAY[Customer]&amp;CreditDAY[Договор.Наименование]&amp;CreditDAY[Brand Temp],0)),0)</f>
        <v>95</v>
      </c>
      <c r="C180" s="10"/>
      <c r="D180" s="165">
        <f t="shared" si="14"/>
        <v>44441</v>
      </c>
      <c r="E180" s="16">
        <f t="shared" si="12"/>
        <v>44536.597685185188</v>
      </c>
      <c r="F180" s="23">
        <f t="shared" si="15"/>
        <v>-83.597685185188311</v>
      </c>
      <c r="G180" s="27" t="str">
        <f t="array" ref="G180">IF(K180&lt;0,"Advance",INDEX('Days Ranges'!$C$4:$C$12,MATCH(1,($F180&gt;='Days Ranges'!$A$4:$A$12)*($F180&lt;'Days Ranges'!$B$4:$B$12),0)))</f>
        <v>Current</v>
      </c>
      <c r="H180" s="27" t="str">
        <f t="array" ref="H180">IF(K180&lt;0,"Advance",INDEX('Days Ranges'!$D$4:$D$12,MATCH(1,($F180&gt;'Days Ranges'!$A$4:$A$12)*($F180&lt;'Days Ranges'!$B$4:$B$12),0)))</f>
        <v>Current</v>
      </c>
      <c r="I180" s="27" t="str">
        <f>IFERROR(IF(IFERROR(REPLACE(O180,FIND("ОПТ ",O180,1),4,""),O180)=0,VLOOKUP(MID(Q180,FIND(" ",Q180,1)+1,3),Brands!$B$2:$C$24,2,0),IFERROR(REPLACE(O180,FIND("ОПТ ",O180,1),4,""),O180)),"Check PLEASE")</f>
        <v>Converse</v>
      </c>
      <c r="J180" s="27" t="str">
        <f>VLOOKUP(I180,Brands!$E$2:$F$21,2,0)</f>
        <v>Converse</v>
      </c>
      <c r="K180" s="23">
        <f t="shared" si="16"/>
        <v>153144</v>
      </c>
      <c r="L180" s="208" t="s">
        <v>1637</v>
      </c>
      <c r="M180" s="205" t="s">
        <v>185</v>
      </c>
      <c r="N180" s="208" t="s">
        <v>1638</v>
      </c>
      <c r="O180" s="205" t="s">
        <v>20</v>
      </c>
      <c r="P180" s="205" t="s">
        <v>28</v>
      </c>
      <c r="Q180" s="205" t="s">
        <v>186</v>
      </c>
      <c r="R180" s="87" t="s">
        <v>293</v>
      </c>
      <c r="S180" s="84"/>
      <c r="T180" s="84"/>
      <c r="U180" s="84"/>
      <c r="V180" s="84"/>
      <c r="W180" s="4" t="str">
        <f t="shared" si="17"/>
        <v>Positive</v>
      </c>
      <c r="X180" s="206">
        <v>153144</v>
      </c>
    </row>
    <row r="181" spans="1:24" ht="12" x14ac:dyDescent="0.2">
      <c r="A181" s="22" t="str">
        <f t="shared" si="13"/>
        <v>Платежное поручение входящее</v>
      </c>
      <c r="B181" s="13">
        <f t="array" ref="B181">IFERROR(INDEX(CreditDAY[Credit Days Nominal],MATCH(M181&amp;Q181&amp;I181,CreditDAY[Customer]&amp;CreditDAY[Договор.Наименование]&amp;CreditDAY[Brand Temp],0)),0)</f>
        <v>0</v>
      </c>
      <c r="C181" s="10"/>
      <c r="D181" s="165">
        <f t="shared" si="14"/>
        <v>44441</v>
      </c>
      <c r="E181" s="16">
        <f t="shared" si="12"/>
        <v>44441.708333333336</v>
      </c>
      <c r="F181" s="23">
        <f t="shared" si="15"/>
        <v>11.291666666664241</v>
      </c>
      <c r="G181" s="27" t="str">
        <f t="array" ref="G181">IF(K181&lt;0,"Advance",INDEX('Days Ranges'!$C$4:$C$12,MATCH(1,($F181&gt;='Days Ranges'!$A$4:$A$12)*($F181&lt;'Days Ranges'!$B$4:$B$12),0)))</f>
        <v>Advance</v>
      </c>
      <c r="H181" s="27" t="str">
        <f t="array" ref="H181">IF(K181&lt;0,"Advance",INDEX('Days Ranges'!$D$4:$D$12,MATCH(1,($F181&gt;'Days Ranges'!$A$4:$A$12)*($F181&lt;'Days Ranges'!$B$4:$B$12),0)))</f>
        <v>Advance</v>
      </c>
      <c r="I181" s="27" t="str">
        <f>IFERROR(IF(IFERROR(REPLACE(O181,FIND("ОПТ ",O181,1),4,""),O181)=0,VLOOKUP(MID(Q181,FIND(" ",Q181,1)+1,3),Brands!$B$2:$C$24,2,0),IFERROR(REPLACE(O181,FIND("ОПТ ",O181,1),4,""),O181)),"Check PLEASE")</f>
        <v>Сток UGG</v>
      </c>
      <c r="J181" s="27" t="str">
        <f>VLOOKUP(I181,Brands!$E$2:$F$21,2,0)</f>
        <v>UGG</v>
      </c>
      <c r="K181" s="23">
        <f t="shared" si="16"/>
        <v>-36451</v>
      </c>
      <c r="L181" s="208" t="s">
        <v>1639</v>
      </c>
      <c r="M181" s="205" t="s">
        <v>1640</v>
      </c>
      <c r="N181" s="208" t="s">
        <v>1641</v>
      </c>
      <c r="O181" s="205" t="s">
        <v>88</v>
      </c>
      <c r="P181" s="205" t="s">
        <v>36</v>
      </c>
      <c r="Q181" s="205" t="s">
        <v>1642</v>
      </c>
      <c r="R181" s="87" t="s">
        <v>293</v>
      </c>
      <c r="S181" s="84"/>
      <c r="T181" s="84"/>
      <c r="U181" s="84"/>
      <c r="V181" s="84"/>
      <c r="W181" s="4" t="str">
        <f t="shared" si="17"/>
        <v>Negative</v>
      </c>
      <c r="X181" s="206">
        <v>-36451</v>
      </c>
    </row>
    <row r="182" spans="1:24" ht="12" x14ac:dyDescent="0.2">
      <c r="A182" s="22" t="str">
        <f t="shared" si="13"/>
        <v>Реализация товаров и услуг</v>
      </c>
      <c r="B182" s="13">
        <f t="array" ref="B182">IFERROR(INDEX(CreditDAY[Credit Days Nominal],MATCH(M182&amp;Q182&amp;I182,CreditDAY[Customer]&amp;CreditDAY[Договор.Наименование]&amp;CreditDAY[Brand Temp],0)),0)</f>
        <v>73</v>
      </c>
      <c r="C182" s="10"/>
      <c r="D182" s="165">
        <f t="shared" si="14"/>
        <v>44442</v>
      </c>
      <c r="E182" s="16">
        <f t="shared" si="12"/>
        <v>44515.613217592596</v>
      </c>
      <c r="F182" s="23">
        <f t="shared" si="15"/>
        <v>-62.613217592595902</v>
      </c>
      <c r="G182" s="27" t="str">
        <f t="array" ref="G182">IF(K182&lt;0,"Advance",INDEX('Days Ranges'!$C$4:$C$12,MATCH(1,($F182&gt;='Days Ranges'!$A$4:$A$12)*($F182&lt;'Days Ranges'!$B$4:$B$12),0)))</f>
        <v>Current</v>
      </c>
      <c r="H182" s="27" t="str">
        <f t="array" ref="H182">IF(K182&lt;0,"Advance",INDEX('Days Ranges'!$D$4:$D$12,MATCH(1,($F182&gt;'Days Ranges'!$A$4:$A$12)*($F182&lt;'Days Ranges'!$B$4:$B$12),0)))</f>
        <v>Current</v>
      </c>
      <c r="I182" s="27" t="str">
        <f>IFERROR(IF(IFERROR(REPLACE(O182,FIND("ОПТ ",O182,1),4,""),O182)=0,VLOOKUP(MID(Q182,FIND(" ",Q182,1)+1,3),Brands!$B$2:$C$24,2,0),IFERROR(REPLACE(O182,FIND("ОПТ ",O182,1),4,""),O182)),"Check PLEASE")</f>
        <v>Сток Converse</v>
      </c>
      <c r="J182" s="27" t="str">
        <f>VLOOKUP(I182,Brands!$E$2:$F$21,2,0)</f>
        <v>Converse</v>
      </c>
      <c r="K182" s="23">
        <f t="shared" si="16"/>
        <v>60074</v>
      </c>
      <c r="L182" s="208" t="s">
        <v>1643</v>
      </c>
      <c r="M182" s="205" t="s">
        <v>324</v>
      </c>
      <c r="N182" s="208" t="s">
        <v>1644</v>
      </c>
      <c r="O182" s="205" t="s">
        <v>52</v>
      </c>
      <c r="P182" s="205" t="s">
        <v>28</v>
      </c>
      <c r="Q182" s="205" t="s">
        <v>492</v>
      </c>
      <c r="R182" s="87" t="s">
        <v>492</v>
      </c>
      <c r="S182" s="84"/>
      <c r="T182" s="84"/>
      <c r="U182" s="84"/>
      <c r="V182" s="84"/>
      <c r="W182" s="4" t="str">
        <f t="shared" si="17"/>
        <v>Positive</v>
      </c>
      <c r="X182" s="206">
        <v>60074</v>
      </c>
    </row>
    <row r="183" spans="1:24" ht="12" x14ac:dyDescent="0.2">
      <c r="A183" s="22" t="str">
        <f t="shared" si="13"/>
        <v>Реализация товаров и услуг</v>
      </c>
      <c r="B183" s="13">
        <f t="array" ref="B183">IFERROR(INDEX(CreditDAY[Credit Days Nominal],MATCH(M183&amp;Q183&amp;I183,CreditDAY[Customer]&amp;CreditDAY[Договор.Наименование]&amp;CreditDAY[Brand Temp],0)),0)</f>
        <v>73</v>
      </c>
      <c r="C183" s="10"/>
      <c r="D183" s="165">
        <f t="shared" si="14"/>
        <v>44442</v>
      </c>
      <c r="E183" s="16">
        <f t="shared" si="12"/>
        <v>44515.615347222221</v>
      </c>
      <c r="F183" s="23">
        <f t="shared" si="15"/>
        <v>-62.615347222221317</v>
      </c>
      <c r="G183" s="27" t="str">
        <f t="array" ref="G183">IF(K183&lt;0,"Advance",INDEX('Days Ranges'!$C$4:$C$12,MATCH(1,($F183&gt;='Days Ranges'!$A$4:$A$12)*($F183&lt;'Days Ranges'!$B$4:$B$12),0)))</f>
        <v>Current</v>
      </c>
      <c r="H183" s="27" t="str">
        <f t="array" ref="H183">IF(K183&lt;0,"Advance",INDEX('Days Ranges'!$D$4:$D$12,MATCH(1,($F183&gt;'Days Ranges'!$A$4:$A$12)*($F183&lt;'Days Ranges'!$B$4:$B$12),0)))</f>
        <v>Current</v>
      </c>
      <c r="I183" s="27" t="str">
        <f>IFERROR(IF(IFERROR(REPLACE(O183,FIND("ОПТ ",O183,1),4,""),O183)=0,VLOOKUP(MID(Q183,FIND(" ",Q183,1)+1,3),Brands!$B$2:$C$24,2,0),IFERROR(REPLACE(O183,FIND("ОПТ ",O183,1),4,""),O183)),"Check PLEASE")</f>
        <v>Converse</v>
      </c>
      <c r="J183" s="27" t="str">
        <f>VLOOKUP(I183,Brands!$E$2:$F$21,2,0)</f>
        <v>Converse</v>
      </c>
      <c r="K183" s="23">
        <f t="shared" si="16"/>
        <v>18228</v>
      </c>
      <c r="L183" s="208" t="s">
        <v>1645</v>
      </c>
      <c r="M183" s="205" t="s">
        <v>324</v>
      </c>
      <c r="N183" s="208" t="s">
        <v>1646</v>
      </c>
      <c r="O183" s="205" t="s">
        <v>20</v>
      </c>
      <c r="P183" s="205" t="s">
        <v>28</v>
      </c>
      <c r="Q183" s="205" t="s">
        <v>492</v>
      </c>
      <c r="R183" s="87" t="s">
        <v>101</v>
      </c>
      <c r="S183" s="84"/>
      <c r="T183" s="84"/>
      <c r="U183" s="84"/>
      <c r="V183" s="84"/>
      <c r="W183" s="4" t="str">
        <f t="shared" si="17"/>
        <v>Positive</v>
      </c>
      <c r="X183" s="206">
        <v>18228</v>
      </c>
    </row>
    <row r="184" spans="1:24" ht="12" x14ac:dyDescent="0.2">
      <c r="A184" s="22" t="str">
        <f t="shared" si="13"/>
        <v>Реализация товаров и услуг</v>
      </c>
      <c r="B184" s="13">
        <f t="array" ref="B184">IFERROR(INDEX(CreditDAY[Credit Days Nominal],MATCH(M184&amp;Q184&amp;I184,CreditDAY[Customer]&amp;CreditDAY[Договор.Наименование]&amp;CreditDAY[Brand Temp],0)),0)</f>
        <v>73</v>
      </c>
      <c r="C184" s="10"/>
      <c r="D184" s="165">
        <f t="shared" si="14"/>
        <v>44442</v>
      </c>
      <c r="E184" s="16">
        <f t="shared" si="12"/>
        <v>44515.615787037037</v>
      </c>
      <c r="F184" s="23">
        <f t="shared" si="15"/>
        <v>-62.61578703703708</v>
      </c>
      <c r="G184" s="27" t="str">
        <f t="array" ref="G184">IF(K184&lt;0,"Advance",INDEX('Days Ranges'!$C$4:$C$12,MATCH(1,($F184&gt;='Days Ranges'!$A$4:$A$12)*($F184&lt;'Days Ranges'!$B$4:$B$12),0)))</f>
        <v>Current</v>
      </c>
      <c r="H184" s="27" t="str">
        <f t="array" ref="H184">IF(K184&lt;0,"Advance",INDEX('Days Ranges'!$D$4:$D$12,MATCH(1,($F184&gt;'Days Ranges'!$A$4:$A$12)*($F184&lt;'Days Ranges'!$B$4:$B$12),0)))</f>
        <v>Current</v>
      </c>
      <c r="I184" s="27" t="str">
        <f>IFERROR(IF(IFERROR(REPLACE(O184,FIND("ОПТ ",O184,1),4,""),O184)=0,VLOOKUP(MID(Q184,FIND(" ",Q184,1)+1,3),Brands!$B$2:$C$24,2,0),IFERROR(REPLACE(O184,FIND("ОПТ ",O184,1),4,""),O184)),"Check PLEASE")</f>
        <v>Dr.Martens</v>
      </c>
      <c r="J184" s="27" t="str">
        <f>VLOOKUP(I184,Brands!$E$2:$F$21,2,0)</f>
        <v>Dr.Martens</v>
      </c>
      <c r="K184" s="23">
        <f t="shared" si="16"/>
        <v>63504</v>
      </c>
      <c r="L184" s="208" t="s">
        <v>1647</v>
      </c>
      <c r="M184" s="205" t="s">
        <v>324</v>
      </c>
      <c r="N184" s="208" t="s">
        <v>1648</v>
      </c>
      <c r="O184" s="205" t="s">
        <v>102</v>
      </c>
      <c r="P184" s="205" t="s">
        <v>28</v>
      </c>
      <c r="Q184" s="205" t="s">
        <v>492</v>
      </c>
      <c r="R184" s="87" t="s">
        <v>108</v>
      </c>
      <c r="S184" s="84"/>
      <c r="T184" s="84"/>
      <c r="U184" s="84"/>
      <c r="V184" s="84"/>
      <c r="W184" s="4" t="str">
        <f t="shared" si="17"/>
        <v>Positive</v>
      </c>
      <c r="X184" s="206">
        <v>63504</v>
      </c>
    </row>
    <row r="185" spans="1:24" ht="12" x14ac:dyDescent="0.2">
      <c r="A185" s="10" t="str">
        <f t="shared" si="13"/>
        <v>Реализация товаров и услуг</v>
      </c>
      <c r="B185" s="13">
        <f t="array" ref="B185">IFERROR(INDEX(CreditDAY[Credit Days Nominal],MATCH(M185&amp;Q185&amp;I185,CreditDAY[Customer]&amp;CreditDAY[Договор.Наименование]&amp;CreditDAY[Brand Temp],0)),0)</f>
        <v>19</v>
      </c>
      <c r="C185" s="10"/>
      <c r="D185" s="165">
        <f t="shared" si="14"/>
        <v>44442</v>
      </c>
      <c r="E185" s="16">
        <f t="shared" si="12"/>
        <v>44461.713692129626</v>
      </c>
      <c r="F185" s="23">
        <f t="shared" si="15"/>
        <v>-8.713692129625997</v>
      </c>
      <c r="G185" s="27" t="str">
        <f t="array" ref="G185">IF(K185&lt;0,"Advance",INDEX('Days Ranges'!$C$4:$C$12,MATCH(1,($F185&gt;='Days Ranges'!$A$4:$A$12)*($F185&lt;'Days Ranges'!$B$4:$B$12),0)))</f>
        <v>Current</v>
      </c>
      <c r="H185" s="27" t="str">
        <f t="array" ref="H185">IF(K185&lt;0,"Advance",INDEX('Days Ranges'!$D$4:$D$12,MATCH(1,($F185&gt;'Days Ranges'!$A$4:$A$12)*($F185&lt;'Days Ranges'!$B$4:$B$12),0)))</f>
        <v>Current</v>
      </c>
      <c r="I185" s="27" t="str">
        <f>IFERROR(IF(IFERROR(REPLACE(O185,FIND("ОПТ ",O185,1),4,""),O185)=0,VLOOKUP(MID(Q185,FIND(" ",Q185,1)+1,3),Brands!$B$2:$C$24,2,0),IFERROR(REPLACE(O185,FIND("ОПТ ",O185,1),4,""),O185)),"Check PLEASE")</f>
        <v>UGG</v>
      </c>
      <c r="J185" s="27" t="str">
        <f>VLOOKUP(I185,Brands!$E$2:$F$21,2,0)</f>
        <v>UGG</v>
      </c>
      <c r="K185" s="23">
        <f t="shared" si="16"/>
        <v>11596614</v>
      </c>
      <c r="L185" s="208" t="s">
        <v>1649</v>
      </c>
      <c r="M185" s="205" t="s">
        <v>280</v>
      </c>
      <c r="N185" s="208" t="s">
        <v>1650</v>
      </c>
      <c r="O185" s="205" t="s">
        <v>56</v>
      </c>
      <c r="P185" s="205" t="s">
        <v>28</v>
      </c>
      <c r="Q185" s="205" t="s">
        <v>284</v>
      </c>
      <c r="R185" s="87" t="s">
        <v>1397</v>
      </c>
      <c r="S185" s="84"/>
      <c r="T185" s="84"/>
      <c r="U185" s="84"/>
      <c r="V185" s="84"/>
      <c r="W185" s="4" t="str">
        <f t="shared" si="17"/>
        <v>Positive</v>
      </c>
      <c r="X185" s="206">
        <v>11596614</v>
      </c>
    </row>
    <row r="186" spans="1:24" ht="12" x14ac:dyDescent="0.2">
      <c r="A186" s="10" t="str">
        <f t="shared" si="13"/>
        <v>Реализация товаров и услуг</v>
      </c>
      <c r="B186" s="13">
        <f t="array" ref="B186">IFERROR(INDEX(CreditDAY[Credit Days Nominal],MATCH(M186&amp;Q186&amp;I186,CreditDAY[Customer]&amp;CreditDAY[Договор.Наименование]&amp;CreditDAY[Brand Temp],0)),0)</f>
        <v>19</v>
      </c>
      <c r="C186" s="10"/>
      <c r="D186" s="165">
        <f t="shared" si="14"/>
        <v>44442</v>
      </c>
      <c r="E186" s="16">
        <f t="shared" si="12"/>
        <v>44461.715254629627</v>
      </c>
      <c r="F186" s="23">
        <f t="shared" si="15"/>
        <v>-8.7152546296274522</v>
      </c>
      <c r="G186" s="27" t="str">
        <f t="array" ref="G186">IF(K186&lt;0,"Advance",INDEX('Days Ranges'!$C$4:$C$12,MATCH(1,($F186&gt;='Days Ranges'!$A$4:$A$12)*($F186&lt;'Days Ranges'!$B$4:$B$12),0)))</f>
        <v>Current</v>
      </c>
      <c r="H186" s="27" t="str">
        <f t="array" ref="H186">IF(K186&lt;0,"Advance",INDEX('Days Ranges'!$D$4:$D$12,MATCH(1,($F186&gt;'Days Ranges'!$A$4:$A$12)*($F186&lt;'Days Ranges'!$B$4:$B$12),0)))</f>
        <v>Current</v>
      </c>
      <c r="I186" s="27" t="str">
        <f>IFERROR(IF(IFERROR(REPLACE(O186,FIND("ОПТ ",O186,1),4,""),O186)=0,VLOOKUP(MID(Q186,FIND(" ",Q186,1)+1,3),Brands!$B$2:$C$24,2,0),IFERROR(REPLACE(O186,FIND("ОПТ ",O186,1),4,""),O186)),"Check PLEASE")</f>
        <v>UGG</v>
      </c>
      <c r="J186" s="27" t="str">
        <f>VLOOKUP(I186,Brands!$E$2:$F$21,2,0)</f>
        <v>UGG</v>
      </c>
      <c r="K186" s="23">
        <f t="shared" si="16"/>
        <v>2521920</v>
      </c>
      <c r="L186" s="208" t="s">
        <v>1651</v>
      </c>
      <c r="M186" s="205" t="s">
        <v>280</v>
      </c>
      <c r="N186" s="208" t="s">
        <v>1652</v>
      </c>
      <c r="O186" s="205" t="s">
        <v>56</v>
      </c>
      <c r="P186" s="205" t="s">
        <v>28</v>
      </c>
      <c r="Q186" s="205" t="s">
        <v>284</v>
      </c>
      <c r="R186" s="87" t="s">
        <v>1398</v>
      </c>
      <c r="S186" s="84"/>
      <c r="T186" s="84"/>
      <c r="U186" s="84"/>
      <c r="V186" s="84"/>
      <c r="W186" s="4" t="str">
        <f t="shared" si="17"/>
        <v>Positive</v>
      </c>
      <c r="X186" s="206">
        <v>2521920</v>
      </c>
    </row>
    <row r="187" spans="1:24" ht="12" x14ac:dyDescent="0.2">
      <c r="A187" s="22" t="str">
        <f t="shared" si="13"/>
        <v>Реализация товаров и услуг</v>
      </c>
      <c r="B187" s="13">
        <f t="array" ref="B187">IFERROR(INDEX(CreditDAY[Credit Days Nominal],MATCH(M187&amp;Q187&amp;I187,CreditDAY[Customer]&amp;CreditDAY[Договор.Наименование]&amp;CreditDAY[Brand Temp],0)),0)</f>
        <v>19</v>
      </c>
      <c r="C187" s="10"/>
      <c r="D187" s="165">
        <f t="shared" si="14"/>
        <v>44442</v>
      </c>
      <c r="E187" s="16">
        <f t="shared" si="12"/>
        <v>44461.71597222222</v>
      </c>
      <c r="F187" s="23">
        <f t="shared" si="15"/>
        <v>-8.7159722222204437</v>
      </c>
      <c r="G187" s="27" t="str">
        <f t="array" ref="G187">IF(K187&lt;0,"Advance",INDEX('Days Ranges'!$C$4:$C$12,MATCH(1,($F187&gt;='Days Ranges'!$A$4:$A$12)*($F187&lt;'Days Ranges'!$B$4:$B$12),0)))</f>
        <v>Current</v>
      </c>
      <c r="H187" s="27" t="str">
        <f t="array" ref="H187">IF(K187&lt;0,"Advance",INDEX('Days Ranges'!$D$4:$D$12,MATCH(1,($F187&gt;'Days Ranges'!$A$4:$A$12)*($F187&lt;'Days Ranges'!$B$4:$B$12),0)))</f>
        <v>Current</v>
      </c>
      <c r="I187" s="27" t="str">
        <f>IFERROR(IF(IFERROR(REPLACE(O187,FIND("ОПТ ",O187,1),4,""),O187)=0,VLOOKUP(MID(Q187,FIND(" ",Q187,1)+1,3),Brands!$B$2:$C$24,2,0),IFERROR(REPLACE(O187,FIND("ОПТ ",O187,1),4,""),O187)),"Check PLEASE")</f>
        <v>UGG</v>
      </c>
      <c r="J187" s="27" t="str">
        <f>VLOOKUP(I187,Brands!$E$2:$F$21,2,0)</f>
        <v>UGG</v>
      </c>
      <c r="K187" s="23">
        <f t="shared" si="16"/>
        <v>2180706</v>
      </c>
      <c r="L187" s="208" t="s">
        <v>1653</v>
      </c>
      <c r="M187" s="205" t="s">
        <v>280</v>
      </c>
      <c r="N187" s="208" t="s">
        <v>1654</v>
      </c>
      <c r="O187" s="205" t="s">
        <v>56</v>
      </c>
      <c r="P187" s="205" t="s">
        <v>28</v>
      </c>
      <c r="Q187" s="205" t="s">
        <v>284</v>
      </c>
      <c r="R187" s="87" t="s">
        <v>278</v>
      </c>
      <c r="S187" s="84"/>
      <c r="T187" s="84"/>
      <c r="U187" s="84"/>
      <c r="V187" s="84"/>
      <c r="W187" s="4" t="str">
        <f t="shared" si="17"/>
        <v>Positive</v>
      </c>
      <c r="X187" s="206">
        <v>2180706</v>
      </c>
    </row>
    <row r="188" spans="1:24" ht="12" x14ac:dyDescent="0.2">
      <c r="A188" s="22" t="str">
        <f t="shared" si="13"/>
        <v>Реализация товаров и услуг</v>
      </c>
      <c r="B188" s="13">
        <f t="array" ref="B188">IFERROR(INDEX(CreditDAY[Credit Days Nominal],MATCH(M188&amp;Q188&amp;I188,CreditDAY[Customer]&amp;CreditDAY[Договор.Наименование]&amp;CreditDAY[Brand Temp],0)),0)</f>
        <v>65</v>
      </c>
      <c r="C188" s="10"/>
      <c r="D188" s="165">
        <f t="shared" si="14"/>
        <v>44442</v>
      </c>
      <c r="E188" s="16">
        <f t="shared" si="12"/>
        <v>44507.730393518519</v>
      </c>
      <c r="F188" s="23">
        <f t="shared" si="15"/>
        <v>-54.730393518519122</v>
      </c>
      <c r="G188" s="27" t="str">
        <f t="array" ref="G188">IF(K188&lt;0,"Advance",INDEX('Days Ranges'!$C$4:$C$12,MATCH(1,($F188&gt;='Days Ranges'!$A$4:$A$12)*($F188&lt;'Days Ranges'!$B$4:$B$12),0)))</f>
        <v>Current</v>
      </c>
      <c r="H188" s="27" t="str">
        <f t="array" ref="H188">IF(K188&lt;0,"Advance",INDEX('Days Ranges'!$D$4:$D$12,MATCH(1,($F188&gt;'Days Ranges'!$A$4:$A$12)*($F188&lt;'Days Ranges'!$B$4:$B$12),0)))</f>
        <v>Current</v>
      </c>
      <c r="I188" s="27" t="str">
        <f>IFERROR(IF(IFERROR(REPLACE(O188,FIND("ОПТ ",O188,1),4,""),O188)=0,VLOOKUP(MID(Q188,FIND(" ",Q188,1)+1,3),Brands!$B$2:$C$24,2,0),IFERROR(REPLACE(O188,FIND("ОПТ ",O188,1),4,""),O188)),"Check PLEASE")</f>
        <v>UGG</v>
      </c>
      <c r="J188" s="27" t="str">
        <f>VLOOKUP(I188,Brands!$E$2:$F$21,2,0)</f>
        <v>UGG</v>
      </c>
      <c r="K188" s="23">
        <f t="shared" si="16"/>
        <v>78432</v>
      </c>
      <c r="L188" s="208" t="s">
        <v>1655</v>
      </c>
      <c r="M188" s="205" t="s">
        <v>310</v>
      </c>
      <c r="N188" s="208" t="s">
        <v>1656</v>
      </c>
      <c r="O188" s="205" t="s">
        <v>56</v>
      </c>
      <c r="P188" s="205" t="s">
        <v>28</v>
      </c>
      <c r="Q188" s="205" t="s">
        <v>312</v>
      </c>
      <c r="R188" s="87" t="s">
        <v>278</v>
      </c>
      <c r="S188" s="84"/>
      <c r="T188" s="84"/>
      <c r="U188" s="84"/>
      <c r="V188" s="84"/>
      <c r="W188" s="4" t="str">
        <f t="shared" si="17"/>
        <v>Positive</v>
      </c>
      <c r="X188" s="206">
        <v>78432</v>
      </c>
    </row>
    <row r="189" spans="1:24" ht="12" x14ac:dyDescent="0.2">
      <c r="A189" s="22" t="str">
        <f t="shared" si="13"/>
        <v>Реализация товаров и услуг</v>
      </c>
      <c r="B189" s="13">
        <f t="array" ref="B189">IFERROR(INDEX(CreditDAY[Credit Days Nominal],MATCH(M189&amp;Q189&amp;I189,CreditDAY[Customer]&amp;CreditDAY[Договор.Наименование]&amp;CreditDAY[Brand Temp],0)),0)</f>
        <v>65</v>
      </c>
      <c r="C189" s="10"/>
      <c r="D189" s="165">
        <f t="shared" si="14"/>
        <v>44442</v>
      </c>
      <c r="E189" s="16">
        <f t="shared" si="12"/>
        <v>44507.731412037036</v>
      </c>
      <c r="F189" s="23">
        <f t="shared" si="15"/>
        <v>-54.731412037035625</v>
      </c>
      <c r="G189" s="27" t="str">
        <f t="array" ref="G189">IF(K189&lt;0,"Advance",INDEX('Days Ranges'!$C$4:$C$12,MATCH(1,($F189&gt;='Days Ranges'!$A$4:$A$12)*($F189&lt;'Days Ranges'!$B$4:$B$12),0)))</f>
        <v>Current</v>
      </c>
      <c r="H189" s="27" t="str">
        <f t="array" ref="H189">IF(K189&lt;0,"Advance",INDEX('Days Ranges'!$D$4:$D$12,MATCH(1,($F189&gt;'Days Ranges'!$A$4:$A$12)*($F189&lt;'Days Ranges'!$B$4:$B$12),0)))</f>
        <v>Current</v>
      </c>
      <c r="I189" s="27" t="str">
        <f>IFERROR(IF(IFERROR(REPLACE(O189,FIND("ОПТ ",O189,1),4,""),O189)=0,VLOOKUP(MID(Q189,FIND(" ",Q189,1)+1,3),Brands!$B$2:$C$24,2,0),IFERROR(REPLACE(O189,FIND("ОПТ ",O189,1),4,""),O189)),"Check PLEASE")</f>
        <v>UGG</v>
      </c>
      <c r="J189" s="27" t="str">
        <f>VLOOKUP(I189,Brands!$E$2:$F$21,2,0)</f>
        <v>UGG</v>
      </c>
      <c r="K189" s="23">
        <f t="shared" si="16"/>
        <v>707104</v>
      </c>
      <c r="L189" s="208" t="s">
        <v>1657</v>
      </c>
      <c r="M189" s="205" t="s">
        <v>310</v>
      </c>
      <c r="N189" s="208" t="s">
        <v>1658</v>
      </c>
      <c r="O189" s="205" t="s">
        <v>56</v>
      </c>
      <c r="P189" s="205" t="s">
        <v>28</v>
      </c>
      <c r="Q189" s="205" t="s">
        <v>312</v>
      </c>
      <c r="R189" s="87" t="s">
        <v>278</v>
      </c>
      <c r="S189" s="84"/>
      <c r="T189" s="84"/>
      <c r="U189" s="84"/>
      <c r="V189" s="84"/>
      <c r="W189" s="4" t="str">
        <f t="shared" si="17"/>
        <v>Positive</v>
      </c>
      <c r="X189" s="207">
        <v>707104</v>
      </c>
    </row>
    <row r="190" spans="1:24" ht="12" x14ac:dyDescent="0.2">
      <c r="A190" s="22" t="str">
        <f t="shared" si="13"/>
        <v>Реализация товаров и услуг</v>
      </c>
      <c r="B190" s="13">
        <f t="array" ref="B190">IFERROR(INDEX(CreditDAY[Credit Days Nominal],MATCH(M190&amp;Q190&amp;I190,CreditDAY[Customer]&amp;CreditDAY[Договор.Наименование]&amp;CreditDAY[Brand Temp],0)),0)</f>
        <v>65</v>
      </c>
      <c r="C190" s="10"/>
      <c r="D190" s="165">
        <f t="shared" si="14"/>
        <v>44442</v>
      </c>
      <c r="E190" s="16">
        <f t="shared" si="12"/>
        <v>44507.732349537036</v>
      </c>
      <c r="F190" s="23">
        <f t="shared" si="15"/>
        <v>-54.732349537036498</v>
      </c>
      <c r="G190" s="27" t="str">
        <f t="array" ref="G190">IF(K190&lt;0,"Advance",INDEX('Days Ranges'!$C$4:$C$12,MATCH(1,($F190&gt;='Days Ranges'!$A$4:$A$12)*($F190&lt;'Days Ranges'!$B$4:$B$12),0)))</f>
        <v>Current</v>
      </c>
      <c r="H190" s="27" t="str">
        <f t="array" ref="H190">IF(K190&lt;0,"Advance",INDEX('Days Ranges'!$D$4:$D$12,MATCH(1,($F190&gt;'Days Ranges'!$A$4:$A$12)*($F190&lt;'Days Ranges'!$B$4:$B$12),0)))</f>
        <v>Current</v>
      </c>
      <c r="I190" s="27" t="str">
        <f>IFERROR(IF(IFERROR(REPLACE(O190,FIND("ОПТ ",O190,1),4,""),O190)=0,VLOOKUP(MID(Q190,FIND(" ",Q190,1)+1,3),Brands!$B$2:$C$24,2,0),IFERROR(REPLACE(O190,FIND("ОПТ ",O190,1),4,""),O190)),"Check PLEASE")</f>
        <v>UGG</v>
      </c>
      <c r="J190" s="27" t="str">
        <f>VLOOKUP(I190,Brands!$E$2:$F$21,2,0)</f>
        <v>UGG</v>
      </c>
      <c r="K190" s="23">
        <f t="shared" si="16"/>
        <v>570874</v>
      </c>
      <c r="L190" s="208" t="s">
        <v>1659</v>
      </c>
      <c r="M190" s="205" t="s">
        <v>310</v>
      </c>
      <c r="N190" s="208" t="s">
        <v>1660</v>
      </c>
      <c r="O190" s="205" t="s">
        <v>56</v>
      </c>
      <c r="P190" s="205" t="s">
        <v>28</v>
      </c>
      <c r="Q190" s="205" t="s">
        <v>312</v>
      </c>
      <c r="R190" s="87" t="s">
        <v>278</v>
      </c>
      <c r="S190" s="84"/>
      <c r="T190" s="84"/>
      <c r="U190" s="84"/>
      <c r="V190" s="84"/>
      <c r="W190" s="4" t="str">
        <f t="shared" si="17"/>
        <v>Positive</v>
      </c>
      <c r="X190" s="206">
        <v>570874</v>
      </c>
    </row>
    <row r="191" spans="1:24" ht="12" x14ac:dyDescent="0.2">
      <c r="A191" s="22" t="str">
        <f t="shared" si="13"/>
        <v>Реализация товаров и услуг</v>
      </c>
      <c r="B191" s="13">
        <f t="array" ref="B191">IFERROR(INDEX(CreditDAY[Credit Days Nominal],MATCH(M191&amp;Q191&amp;I191,CreditDAY[Customer]&amp;CreditDAY[Договор.Наименование]&amp;CreditDAY[Brand Temp],0)),0)</f>
        <v>65</v>
      </c>
      <c r="C191" s="10"/>
      <c r="D191" s="165">
        <f t="shared" si="14"/>
        <v>44442</v>
      </c>
      <c r="E191" s="16">
        <f t="shared" si="12"/>
        <v>44507.734074074076</v>
      </c>
      <c r="F191" s="23">
        <f t="shared" si="15"/>
        <v>-54.734074074076489</v>
      </c>
      <c r="G191" s="27" t="str">
        <f t="array" ref="G191">IF(K191&lt;0,"Advance",INDEX('Days Ranges'!$C$4:$C$12,MATCH(1,($F191&gt;='Days Ranges'!$A$4:$A$12)*($F191&lt;'Days Ranges'!$B$4:$B$12),0)))</f>
        <v>Current</v>
      </c>
      <c r="H191" s="27" t="str">
        <f t="array" ref="H191">IF(K191&lt;0,"Advance",INDEX('Days Ranges'!$D$4:$D$12,MATCH(1,($F191&gt;'Days Ranges'!$A$4:$A$12)*($F191&lt;'Days Ranges'!$B$4:$B$12),0)))</f>
        <v>Current</v>
      </c>
      <c r="I191" s="27" t="str">
        <f>IFERROR(IF(IFERROR(REPLACE(O191,FIND("ОПТ ",O191,1),4,""),O191)=0,VLOOKUP(MID(Q191,FIND(" ",Q191,1)+1,3),Brands!$B$2:$C$24,2,0),IFERROR(REPLACE(O191,FIND("ОПТ ",O191,1),4,""),O191)),"Check PLEASE")</f>
        <v>UGG</v>
      </c>
      <c r="J191" s="27" t="str">
        <f>VLOOKUP(I191,Brands!$E$2:$F$21,2,0)</f>
        <v>UGG</v>
      </c>
      <c r="K191" s="23">
        <f t="shared" si="16"/>
        <v>761064</v>
      </c>
      <c r="L191" s="208" t="s">
        <v>1661</v>
      </c>
      <c r="M191" s="205" t="s">
        <v>310</v>
      </c>
      <c r="N191" s="208" t="s">
        <v>1662</v>
      </c>
      <c r="O191" s="205" t="s">
        <v>56</v>
      </c>
      <c r="P191" s="205" t="s">
        <v>28</v>
      </c>
      <c r="Q191" s="205" t="s">
        <v>312</v>
      </c>
      <c r="R191" s="87" t="s">
        <v>75</v>
      </c>
      <c r="S191" s="84"/>
      <c r="T191" s="84"/>
      <c r="U191" s="84"/>
      <c r="V191" s="84"/>
      <c r="W191" s="4" t="str">
        <f t="shared" si="17"/>
        <v>Positive</v>
      </c>
      <c r="X191" s="206">
        <v>761064</v>
      </c>
    </row>
    <row r="192" spans="1:24" ht="12" x14ac:dyDescent="0.2">
      <c r="A192" s="22" t="str">
        <f t="shared" si="13"/>
        <v>Реализация товаров и услуг</v>
      </c>
      <c r="B192" s="13">
        <f t="array" ref="B192">IFERROR(INDEX(CreditDAY[Credit Days Nominal],MATCH(M192&amp;Q192&amp;I192,CreditDAY[Customer]&amp;CreditDAY[Договор.Наименование]&amp;CreditDAY[Brand Temp],0)),0)</f>
        <v>65</v>
      </c>
      <c r="C192" s="10"/>
      <c r="D192" s="165">
        <f t="shared" si="14"/>
        <v>44442</v>
      </c>
      <c r="E192" s="16">
        <f t="shared" si="12"/>
        <v>44507.735520833332</v>
      </c>
      <c r="F192" s="23">
        <f t="shared" si="15"/>
        <v>-54.735520833331975</v>
      </c>
      <c r="G192" s="27" t="str">
        <f t="array" ref="G192">IF(K192&lt;0,"Advance",INDEX('Days Ranges'!$C$4:$C$12,MATCH(1,($F192&gt;='Days Ranges'!$A$4:$A$12)*($F192&lt;'Days Ranges'!$B$4:$B$12),0)))</f>
        <v>Current</v>
      </c>
      <c r="H192" s="27" t="str">
        <f t="array" ref="H192">IF(K192&lt;0,"Advance",INDEX('Days Ranges'!$D$4:$D$12,MATCH(1,($F192&gt;'Days Ranges'!$A$4:$A$12)*($F192&lt;'Days Ranges'!$B$4:$B$12),0)))</f>
        <v>Current</v>
      </c>
      <c r="I192" s="27" t="str">
        <f>IFERROR(IF(IFERROR(REPLACE(O192,FIND("ОПТ ",O192,1),4,""),O192)=0,VLOOKUP(MID(Q192,FIND(" ",Q192,1)+1,3),Brands!$B$2:$C$24,2,0),IFERROR(REPLACE(O192,FIND("ОПТ ",O192,1),4,""),O192)),"Check PLEASE")</f>
        <v>UGG</v>
      </c>
      <c r="J192" s="27" t="str">
        <f>VLOOKUP(I192,Brands!$E$2:$F$21,2,0)</f>
        <v>UGG</v>
      </c>
      <c r="K192" s="23">
        <f t="shared" si="16"/>
        <v>509580</v>
      </c>
      <c r="L192" s="208" t="s">
        <v>1663</v>
      </c>
      <c r="M192" s="205" t="s">
        <v>310</v>
      </c>
      <c r="N192" s="208" t="s">
        <v>1664</v>
      </c>
      <c r="O192" s="205" t="s">
        <v>56</v>
      </c>
      <c r="P192" s="205" t="s">
        <v>28</v>
      </c>
      <c r="Q192" s="205" t="s">
        <v>312</v>
      </c>
      <c r="R192" s="87" t="s">
        <v>75</v>
      </c>
      <c r="S192" s="84"/>
      <c r="T192" s="84"/>
      <c r="U192" s="84"/>
      <c r="V192" s="84"/>
      <c r="W192" s="4" t="str">
        <f t="shared" si="17"/>
        <v>Positive</v>
      </c>
      <c r="X192" s="206">
        <v>509580</v>
      </c>
    </row>
    <row r="193" spans="1:24" ht="12" x14ac:dyDescent="0.2">
      <c r="A193" s="22" t="str">
        <f t="shared" si="13"/>
        <v>Реализация товаров и услуг</v>
      </c>
      <c r="B193" s="13">
        <f t="array" ref="B193">IFERROR(INDEX(CreditDAY[Credit Days Nominal],MATCH(M193&amp;Q193&amp;I193,CreditDAY[Customer]&amp;CreditDAY[Договор.Наименование]&amp;CreditDAY[Brand Temp],0)),0)</f>
        <v>65</v>
      </c>
      <c r="C193" s="10"/>
      <c r="D193" s="165">
        <f t="shared" si="14"/>
        <v>44442</v>
      </c>
      <c r="E193" s="16">
        <f t="shared" si="12"/>
        <v>44507.736111111109</v>
      </c>
      <c r="F193" s="23">
        <f t="shared" si="15"/>
        <v>-54.736111111109494</v>
      </c>
      <c r="G193" s="27" t="str">
        <f t="array" ref="G193">IF(K193&lt;0,"Advance",INDEX('Days Ranges'!$C$4:$C$12,MATCH(1,($F193&gt;='Days Ranges'!$A$4:$A$12)*($F193&lt;'Days Ranges'!$B$4:$B$12),0)))</f>
        <v>Current</v>
      </c>
      <c r="H193" s="27" t="str">
        <f t="array" ref="H193">IF(K193&lt;0,"Advance",INDEX('Days Ranges'!$D$4:$D$12,MATCH(1,($F193&gt;'Days Ranges'!$A$4:$A$12)*($F193&lt;'Days Ranges'!$B$4:$B$12),0)))</f>
        <v>Current</v>
      </c>
      <c r="I193" s="27" t="str">
        <f>IFERROR(IF(IFERROR(REPLACE(O193,FIND("ОПТ ",O193,1),4,""),O193)=0,VLOOKUP(MID(Q193,FIND(" ",Q193,1)+1,3),Brands!$B$2:$C$24,2,0),IFERROR(REPLACE(O193,FIND("ОПТ ",O193,1),4,""),O193)),"Check PLEASE")</f>
        <v>UGG</v>
      </c>
      <c r="J193" s="27" t="str">
        <f>VLOOKUP(I193,Brands!$E$2:$F$21,2,0)</f>
        <v>UGG</v>
      </c>
      <c r="K193" s="23">
        <f t="shared" si="16"/>
        <v>169860</v>
      </c>
      <c r="L193" s="208" t="s">
        <v>1665</v>
      </c>
      <c r="M193" s="205" t="s">
        <v>310</v>
      </c>
      <c r="N193" s="208" t="s">
        <v>1666</v>
      </c>
      <c r="O193" s="205" t="s">
        <v>56</v>
      </c>
      <c r="P193" s="205" t="s">
        <v>28</v>
      </c>
      <c r="Q193" s="205" t="s">
        <v>312</v>
      </c>
      <c r="R193" s="87" t="s">
        <v>75</v>
      </c>
      <c r="S193" s="84"/>
      <c r="T193" s="84"/>
      <c r="U193" s="84"/>
      <c r="V193" s="84"/>
      <c r="W193" s="4" t="str">
        <f t="shared" si="17"/>
        <v>Positive</v>
      </c>
      <c r="X193" s="206">
        <v>169860</v>
      </c>
    </row>
    <row r="194" spans="1:24" ht="12" x14ac:dyDescent="0.2">
      <c r="A194" s="22" t="str">
        <f t="shared" si="13"/>
        <v>Реализация товаров и услуг</v>
      </c>
      <c r="B194" s="13">
        <f t="array" ref="B194">IFERROR(INDEX(CreditDAY[Credit Days Nominal],MATCH(M194&amp;Q194&amp;I194,CreditDAY[Customer]&amp;CreditDAY[Договор.Наименование]&amp;CreditDAY[Brand Temp],0)),0)</f>
        <v>65</v>
      </c>
      <c r="C194" s="10"/>
      <c r="D194" s="165">
        <f t="shared" si="14"/>
        <v>44442</v>
      </c>
      <c r="E194" s="16">
        <f t="shared" si="12"/>
        <v>44507.737037037034</v>
      </c>
      <c r="F194" s="23">
        <f t="shared" si="15"/>
        <v>-54.737037037033588</v>
      </c>
      <c r="G194" s="27" t="str">
        <f t="array" ref="G194">IF(K194&lt;0,"Advance",INDEX('Days Ranges'!$C$4:$C$12,MATCH(1,($F194&gt;='Days Ranges'!$A$4:$A$12)*($F194&lt;'Days Ranges'!$B$4:$B$12),0)))</f>
        <v>Current</v>
      </c>
      <c r="H194" s="27" t="str">
        <f t="array" ref="H194">IF(K194&lt;0,"Advance",INDEX('Days Ranges'!$D$4:$D$12,MATCH(1,($F194&gt;'Days Ranges'!$A$4:$A$12)*($F194&lt;'Days Ranges'!$B$4:$B$12),0)))</f>
        <v>Current</v>
      </c>
      <c r="I194" s="27" t="str">
        <f>IFERROR(IF(IFERROR(REPLACE(O194,FIND("ОПТ ",O194,1),4,""),O194)=0,VLOOKUP(MID(Q194,FIND(" ",Q194,1)+1,3),Brands!$B$2:$C$24,2,0),IFERROR(REPLACE(O194,FIND("ОПТ ",O194,1),4,""),O194)),"Check PLEASE")</f>
        <v>UGG</v>
      </c>
      <c r="J194" s="27" t="str">
        <f>VLOOKUP(I194,Brands!$E$2:$F$21,2,0)</f>
        <v>UGG</v>
      </c>
      <c r="K194" s="23">
        <f t="shared" si="16"/>
        <v>490428</v>
      </c>
      <c r="L194" s="208" t="s">
        <v>1667</v>
      </c>
      <c r="M194" s="205" t="s">
        <v>310</v>
      </c>
      <c r="N194" s="208" t="s">
        <v>1668</v>
      </c>
      <c r="O194" s="205" t="s">
        <v>56</v>
      </c>
      <c r="P194" s="205" t="s">
        <v>28</v>
      </c>
      <c r="Q194" s="205" t="s">
        <v>312</v>
      </c>
      <c r="R194" s="87" t="s">
        <v>75</v>
      </c>
      <c r="S194" s="84"/>
      <c r="T194" s="84"/>
      <c r="U194" s="84"/>
      <c r="V194" s="84"/>
      <c r="W194" s="4" t="str">
        <f t="shared" si="17"/>
        <v>Positive</v>
      </c>
      <c r="X194" s="206">
        <v>490428</v>
      </c>
    </row>
    <row r="195" spans="1:24" ht="12" x14ac:dyDescent="0.2">
      <c r="A195" s="22" t="str">
        <f t="shared" si="13"/>
        <v>Реализация товаров и услуг</v>
      </c>
      <c r="B195" s="13">
        <f t="array" ref="B195">IFERROR(INDEX(CreditDAY[Credit Days Nominal],MATCH(M195&amp;Q195&amp;I195,CreditDAY[Customer]&amp;CreditDAY[Договор.Наименование]&amp;CreditDAY[Brand Temp],0)),0)</f>
        <v>65</v>
      </c>
      <c r="C195" s="10"/>
      <c r="D195" s="165">
        <f t="shared" si="14"/>
        <v>44442</v>
      </c>
      <c r="E195" s="16">
        <f t="shared" si="12"/>
        <v>44507.743020833332</v>
      </c>
      <c r="F195" s="23">
        <f t="shared" si="15"/>
        <v>-54.743020833331684</v>
      </c>
      <c r="G195" s="27" t="str">
        <f t="array" ref="G195">IF(K195&lt;0,"Advance",INDEX('Days Ranges'!$C$4:$C$12,MATCH(1,($F195&gt;='Days Ranges'!$A$4:$A$12)*($F195&lt;'Days Ranges'!$B$4:$B$12),0)))</f>
        <v>Current</v>
      </c>
      <c r="H195" s="27" t="str">
        <f t="array" ref="H195">IF(K195&lt;0,"Advance",INDEX('Days Ranges'!$D$4:$D$12,MATCH(1,($F195&gt;'Days Ranges'!$A$4:$A$12)*($F195&lt;'Days Ranges'!$B$4:$B$12),0)))</f>
        <v>Current</v>
      </c>
      <c r="I195" s="27" t="str">
        <f>IFERROR(IF(IFERROR(REPLACE(O195,FIND("ОПТ ",O195,1),4,""),O195)=0,VLOOKUP(MID(Q195,FIND(" ",Q195,1)+1,3),Brands!$B$2:$C$24,2,0),IFERROR(REPLACE(O195,FIND("ОПТ ",O195,1),4,""),O195)),"Check PLEASE")</f>
        <v>UGG</v>
      </c>
      <c r="J195" s="27" t="str">
        <f>VLOOKUP(I195,Brands!$E$2:$F$21,2,0)</f>
        <v>UGG</v>
      </c>
      <c r="K195" s="23">
        <f t="shared" si="16"/>
        <v>549860</v>
      </c>
      <c r="L195" s="208" t="s">
        <v>1669</v>
      </c>
      <c r="M195" s="205" t="s">
        <v>310</v>
      </c>
      <c r="N195" s="208" t="s">
        <v>1670</v>
      </c>
      <c r="O195" s="205" t="s">
        <v>56</v>
      </c>
      <c r="P195" s="205" t="s">
        <v>28</v>
      </c>
      <c r="Q195" s="205" t="s">
        <v>312</v>
      </c>
      <c r="R195" s="87" t="s">
        <v>293</v>
      </c>
      <c r="S195" s="84"/>
      <c r="T195" s="84"/>
      <c r="U195" s="84"/>
      <c r="V195" s="84"/>
      <c r="W195" s="4" t="str">
        <f t="shared" si="17"/>
        <v>Positive</v>
      </c>
      <c r="X195" s="206">
        <v>549860</v>
      </c>
    </row>
    <row r="196" spans="1:24" ht="12" x14ac:dyDescent="0.2">
      <c r="A196" s="22" t="str">
        <f t="shared" si="13"/>
        <v>Реализация товаров и услуг</v>
      </c>
      <c r="B196" s="13">
        <f t="array" ref="B196">IFERROR(INDEX(CreditDAY[Credit Days Nominal],MATCH(M196&amp;Q196&amp;I196,CreditDAY[Customer]&amp;CreditDAY[Договор.Наименование]&amp;CreditDAY[Brand Temp],0)),0)</f>
        <v>65</v>
      </c>
      <c r="C196" s="10"/>
      <c r="D196" s="165">
        <f t="shared" si="14"/>
        <v>44442</v>
      </c>
      <c r="E196" s="16">
        <f t="shared" si="12"/>
        <v>44507.744837962964</v>
      </c>
      <c r="F196" s="23">
        <f t="shared" si="15"/>
        <v>-54.744837962964084</v>
      </c>
      <c r="G196" s="27" t="str">
        <f t="array" ref="G196">IF(K196&lt;0,"Advance",INDEX('Days Ranges'!$C$4:$C$12,MATCH(1,($F196&gt;='Days Ranges'!$A$4:$A$12)*($F196&lt;'Days Ranges'!$B$4:$B$12),0)))</f>
        <v>Current</v>
      </c>
      <c r="H196" s="27" t="str">
        <f t="array" ref="H196">IF(K196&lt;0,"Advance",INDEX('Days Ranges'!$D$4:$D$12,MATCH(1,($F196&gt;'Days Ranges'!$A$4:$A$12)*($F196&lt;'Days Ranges'!$B$4:$B$12),0)))</f>
        <v>Current</v>
      </c>
      <c r="I196" s="27" t="str">
        <f>IFERROR(IF(IFERROR(REPLACE(O196,FIND("ОПТ ",O196,1),4,""),O196)=0,VLOOKUP(MID(Q196,FIND(" ",Q196,1)+1,3),Brands!$B$2:$C$24,2,0),IFERROR(REPLACE(O196,FIND("ОПТ ",O196,1),4,""),O196)),"Check PLEASE")</f>
        <v>UGG</v>
      </c>
      <c r="J196" s="27" t="str">
        <f>VLOOKUP(I196,Brands!$E$2:$F$21,2,0)</f>
        <v>UGG</v>
      </c>
      <c r="K196" s="23">
        <f t="shared" si="16"/>
        <v>1181648</v>
      </c>
      <c r="L196" s="208" t="s">
        <v>1671</v>
      </c>
      <c r="M196" s="205" t="s">
        <v>310</v>
      </c>
      <c r="N196" s="208" t="s">
        <v>1672</v>
      </c>
      <c r="O196" s="205" t="s">
        <v>56</v>
      </c>
      <c r="P196" s="205" t="s">
        <v>28</v>
      </c>
      <c r="Q196" s="205" t="s">
        <v>312</v>
      </c>
      <c r="R196" s="87" t="s">
        <v>293</v>
      </c>
      <c r="S196" s="84"/>
      <c r="T196" s="84"/>
      <c r="U196" s="84"/>
      <c r="V196" s="84"/>
      <c r="W196" s="4" t="str">
        <f t="shared" si="17"/>
        <v>Positive</v>
      </c>
      <c r="X196" s="206">
        <v>1181648</v>
      </c>
    </row>
    <row r="197" spans="1:24" ht="12" x14ac:dyDescent="0.2">
      <c r="A197" s="22" t="str">
        <f t="shared" si="13"/>
        <v>Реализация товаров и услуг</v>
      </c>
      <c r="B197" s="13">
        <f t="array" ref="B197">IFERROR(INDEX(CreditDAY[Credit Days Nominal],MATCH(M197&amp;Q197&amp;I197,CreditDAY[Customer]&amp;CreditDAY[Договор.Наименование]&amp;CreditDAY[Brand Temp],0)),0)</f>
        <v>19</v>
      </c>
      <c r="C197" s="10"/>
      <c r="D197" s="165">
        <f t="shared" si="14"/>
        <v>44445</v>
      </c>
      <c r="E197" s="16">
        <f t="shared" si="12"/>
        <v>44464.434502314813</v>
      </c>
      <c r="F197" s="23">
        <f t="shared" si="15"/>
        <v>-11.434502314812562</v>
      </c>
      <c r="G197" s="27" t="str">
        <f t="array" ref="G197">IF(K197&lt;0,"Advance",INDEX('Days Ranges'!$C$4:$C$12,MATCH(1,($F197&gt;='Days Ranges'!$A$4:$A$12)*($F197&lt;'Days Ranges'!$B$4:$B$12),0)))</f>
        <v>Current</v>
      </c>
      <c r="H197" s="27" t="str">
        <f t="array" ref="H197">IF(K197&lt;0,"Advance",INDEX('Days Ranges'!$D$4:$D$12,MATCH(1,($F197&gt;'Days Ranges'!$A$4:$A$12)*($F197&lt;'Days Ranges'!$B$4:$B$12),0)))</f>
        <v>Current</v>
      </c>
      <c r="I197" s="27" t="str">
        <f>IFERROR(IF(IFERROR(REPLACE(O197,FIND("ОПТ ",O197,1),4,""),O197)=0,VLOOKUP(MID(Q197,FIND(" ",Q197,1)+1,3),Brands!$B$2:$C$24,2,0),IFERROR(REPLACE(O197,FIND("ОПТ ",O197,1),4,""),O197)),"Check PLEASE")</f>
        <v>Dr.Martens</v>
      </c>
      <c r="J197" s="27" t="str">
        <f>VLOOKUP(I197,Brands!$E$2:$F$21,2,0)</f>
        <v>Dr.Martens</v>
      </c>
      <c r="K197" s="23">
        <f t="shared" si="16"/>
        <v>15368340</v>
      </c>
      <c r="L197" s="208" t="s">
        <v>1673</v>
      </c>
      <c r="M197" s="205" t="s">
        <v>280</v>
      </c>
      <c r="N197" s="208" t="s">
        <v>1674</v>
      </c>
      <c r="O197" s="205" t="s">
        <v>102</v>
      </c>
      <c r="P197" s="205" t="s">
        <v>28</v>
      </c>
      <c r="Q197" s="205" t="s">
        <v>284</v>
      </c>
      <c r="R197" s="87" t="s">
        <v>186</v>
      </c>
      <c r="S197" s="84"/>
      <c r="T197" s="84"/>
      <c r="U197" s="84"/>
      <c r="V197" s="84"/>
      <c r="W197" s="4" t="str">
        <f t="shared" si="17"/>
        <v>Positive</v>
      </c>
      <c r="X197" s="206">
        <v>15368340</v>
      </c>
    </row>
    <row r="198" spans="1:24" ht="12" x14ac:dyDescent="0.2">
      <c r="A198" s="22" t="str">
        <f t="shared" si="13"/>
        <v>Реализация товаров и услуг</v>
      </c>
      <c r="B198" s="13">
        <f t="array" ref="B198">IFERROR(INDEX(CreditDAY[Credit Days Nominal],MATCH(M198&amp;Q198&amp;I198,CreditDAY[Customer]&amp;CreditDAY[Договор.Наименование]&amp;CreditDAY[Brand Temp],0)),0)</f>
        <v>35</v>
      </c>
      <c r="C198" s="10"/>
      <c r="D198" s="165">
        <f t="shared" si="14"/>
        <v>44445</v>
      </c>
      <c r="E198" s="16">
        <f t="shared" ref="E198:E261" si="18">N198+B198+C198</f>
        <v>44480.530277777776</v>
      </c>
      <c r="F198" s="23">
        <f t="shared" si="15"/>
        <v>-27.530277777776064</v>
      </c>
      <c r="G198" s="27" t="str">
        <f t="array" ref="G198">IF(K198&lt;0,"Advance",INDEX('Days Ranges'!$C$4:$C$12,MATCH(1,($F198&gt;='Days Ranges'!$A$4:$A$12)*($F198&lt;'Days Ranges'!$B$4:$B$12),0)))</f>
        <v>Current</v>
      </c>
      <c r="H198" s="27" t="str">
        <f t="array" ref="H198">IF(K198&lt;0,"Advance",INDEX('Days Ranges'!$D$4:$D$12,MATCH(1,($F198&gt;'Days Ranges'!$A$4:$A$12)*($F198&lt;'Days Ranges'!$B$4:$B$12),0)))</f>
        <v>Current</v>
      </c>
      <c r="I198" s="27" t="str">
        <f>IFERROR(IF(IFERROR(REPLACE(O198,FIND("ОПТ ",O198,1),4,""),O198)=0,VLOOKUP(MID(Q198,FIND(" ",Q198,1)+1,3),Brands!$B$2:$C$24,2,0),IFERROR(REPLACE(O198,FIND("ОПТ ",O198,1),4,""),O198)),"Check PLEASE")</f>
        <v>Converse</v>
      </c>
      <c r="J198" s="27" t="str">
        <f>VLOOKUP(I198,Brands!$E$2:$F$21,2,0)</f>
        <v>Converse</v>
      </c>
      <c r="K198" s="23">
        <f t="shared" si="16"/>
        <v>940525</v>
      </c>
      <c r="L198" s="208" t="s">
        <v>1675</v>
      </c>
      <c r="M198" s="205" t="s">
        <v>148</v>
      </c>
      <c r="N198" s="208" t="s">
        <v>1676</v>
      </c>
      <c r="O198" s="205" t="s">
        <v>20</v>
      </c>
      <c r="P198" s="205" t="s">
        <v>28</v>
      </c>
      <c r="Q198" s="205" t="s">
        <v>17</v>
      </c>
      <c r="R198" s="87" t="s">
        <v>186</v>
      </c>
      <c r="S198" s="84"/>
      <c r="T198" s="84"/>
      <c r="U198" s="84"/>
      <c r="V198" s="84"/>
      <c r="W198" s="4" t="str">
        <f t="shared" si="17"/>
        <v>Positive</v>
      </c>
      <c r="X198" s="206">
        <v>940525</v>
      </c>
    </row>
    <row r="199" spans="1:24" ht="12" x14ac:dyDescent="0.2">
      <c r="A199" s="22" t="str">
        <f t="shared" ref="A199:A262" si="19">IFERROR(LEFT(L199,FIND("УТ",L199,1)-2),IF(ISERROR(FIND("Платежное",L199,1)),"Deposit","Платежное поручение входящее"))</f>
        <v>Реализация товаров и услуг</v>
      </c>
      <c r="B199" s="13">
        <f t="array" ref="B199">IFERROR(INDEX(CreditDAY[Credit Days Nominal],MATCH(M199&amp;Q199&amp;I199,CreditDAY[Customer]&amp;CreditDAY[Договор.Наименование]&amp;CreditDAY[Brand Temp],0)),0)</f>
        <v>65</v>
      </c>
      <c r="C199" s="10"/>
      <c r="D199" s="165">
        <f t="shared" ref="D199:D262" si="20">DATE(YEAR(N199),MONTH(N199),DAY(N199))</f>
        <v>44445</v>
      </c>
      <c r="E199" s="16">
        <f t="shared" si="18"/>
        <v>44510.722951388889</v>
      </c>
      <c r="F199" s="23">
        <f t="shared" ref="F199:F262" si="21">IFERROR($B$1-E199,100000)</f>
        <v>-57.72295138888876</v>
      </c>
      <c r="G199" s="27" t="str">
        <f t="array" ref="G199">IF(K199&lt;0,"Advance",INDEX('Days Ranges'!$C$4:$C$12,MATCH(1,($F199&gt;='Days Ranges'!$A$4:$A$12)*($F199&lt;'Days Ranges'!$B$4:$B$12),0)))</f>
        <v>Current</v>
      </c>
      <c r="H199" s="27" t="str">
        <f t="array" ref="H199">IF(K199&lt;0,"Advance",INDEX('Days Ranges'!$D$4:$D$12,MATCH(1,($F199&gt;'Days Ranges'!$A$4:$A$12)*($F199&lt;'Days Ranges'!$B$4:$B$12),0)))</f>
        <v>Current</v>
      </c>
      <c r="I199" s="27" t="str">
        <f>IFERROR(IF(IFERROR(REPLACE(O199,FIND("ОПТ ",O199,1),4,""),O199)=0,VLOOKUP(MID(Q199,FIND(" ",Q199,1)+1,3),Brands!$B$2:$C$24,2,0),IFERROR(REPLACE(O199,FIND("ОПТ ",O199,1),4,""),O199)),"Check PLEASE")</f>
        <v>Dr.Martens</v>
      </c>
      <c r="J199" s="27" t="str">
        <f>VLOOKUP(I199,Brands!$E$2:$F$21,2,0)</f>
        <v>Dr.Martens</v>
      </c>
      <c r="K199" s="23">
        <f t="shared" ref="K199:K262" si="22">X199</f>
        <v>2008682</v>
      </c>
      <c r="L199" s="208" t="s">
        <v>1678</v>
      </c>
      <c r="M199" s="205" t="s">
        <v>99</v>
      </c>
      <c r="N199" s="208" t="s">
        <v>1679</v>
      </c>
      <c r="O199" s="205" t="s">
        <v>102</v>
      </c>
      <c r="P199" s="205" t="s">
        <v>28</v>
      </c>
      <c r="Q199" s="205" t="s">
        <v>101</v>
      </c>
      <c r="R199" s="87" t="s">
        <v>186</v>
      </c>
      <c r="S199" s="84"/>
      <c r="T199" s="84"/>
      <c r="U199" s="84"/>
      <c r="V199" s="84"/>
      <c r="W199" s="4" t="str">
        <f t="shared" ref="W199:W262" si="23">IF(X199&lt;0,"Negative","Positive")</f>
        <v>Positive</v>
      </c>
      <c r="X199" s="206">
        <v>2008682</v>
      </c>
    </row>
    <row r="200" spans="1:24" ht="12" x14ac:dyDescent="0.2">
      <c r="A200" s="22" t="str">
        <f t="shared" si="19"/>
        <v>Реализация товаров и услуг</v>
      </c>
      <c r="B200" s="13">
        <f t="array" ref="B200">IFERROR(INDEX(CreditDAY[Credit Days Nominal],MATCH(M200&amp;Q200&amp;I200,CreditDAY[Customer]&amp;CreditDAY[Договор.Наименование]&amp;CreditDAY[Brand Temp],0)),0)</f>
        <v>65</v>
      </c>
      <c r="C200" s="10"/>
      <c r="D200" s="165">
        <f t="shared" si="20"/>
        <v>44445</v>
      </c>
      <c r="E200" s="16">
        <f t="shared" si="18"/>
        <v>44510.826168981483</v>
      </c>
      <c r="F200" s="23">
        <f t="shared" si="21"/>
        <v>-57.826168981482624</v>
      </c>
      <c r="G200" s="27" t="str">
        <f t="array" ref="G200">IF(K200&lt;0,"Advance",INDEX('Days Ranges'!$C$4:$C$12,MATCH(1,($F200&gt;='Days Ranges'!$A$4:$A$12)*($F200&lt;'Days Ranges'!$B$4:$B$12),0)))</f>
        <v>Current</v>
      </c>
      <c r="H200" s="27" t="str">
        <f t="array" ref="H200">IF(K200&lt;0,"Advance",INDEX('Days Ranges'!$D$4:$D$12,MATCH(1,($F200&gt;'Days Ranges'!$A$4:$A$12)*($F200&lt;'Days Ranges'!$B$4:$B$12),0)))</f>
        <v>Current</v>
      </c>
      <c r="I200" s="27" t="str">
        <f>IFERROR(IF(IFERROR(REPLACE(O200,FIND("ОПТ ",O200,1),4,""),O200)=0,VLOOKUP(MID(Q200,FIND(" ",Q200,1)+1,3),Brands!$B$2:$C$24,2,0),IFERROR(REPLACE(O200,FIND("ОПТ ",O200,1),4,""),O200)),"Check PLEASE")</f>
        <v>Dr.Martens</v>
      </c>
      <c r="J200" s="27" t="str">
        <f>VLOOKUP(I200,Brands!$E$2:$F$21,2,0)</f>
        <v>Dr.Martens</v>
      </c>
      <c r="K200" s="23">
        <f t="shared" si="22"/>
        <v>821192</v>
      </c>
      <c r="L200" s="208" t="s">
        <v>1680</v>
      </c>
      <c r="M200" s="205" t="s">
        <v>99</v>
      </c>
      <c r="N200" s="208" t="s">
        <v>1681</v>
      </c>
      <c r="O200" s="205" t="s">
        <v>102</v>
      </c>
      <c r="P200" s="205" t="s">
        <v>28</v>
      </c>
      <c r="Q200" s="205" t="s">
        <v>101</v>
      </c>
      <c r="R200" s="87" t="s">
        <v>186</v>
      </c>
      <c r="S200" s="84"/>
      <c r="T200" s="84"/>
      <c r="U200" s="84"/>
      <c r="V200" s="84"/>
      <c r="W200" s="4" t="str">
        <f t="shared" si="23"/>
        <v>Positive</v>
      </c>
      <c r="X200" s="206">
        <v>821192</v>
      </c>
    </row>
    <row r="201" spans="1:24" ht="12" x14ac:dyDescent="0.2">
      <c r="A201" s="22" t="str">
        <f t="shared" si="19"/>
        <v>Реализация товаров и услуг</v>
      </c>
      <c r="B201" s="13">
        <f t="array" ref="B201">IFERROR(INDEX(CreditDAY[Credit Days Nominal],MATCH(M201&amp;Q201&amp;I201,CreditDAY[Customer]&amp;CreditDAY[Договор.Наименование]&amp;CreditDAY[Brand Temp],0)),0)</f>
        <v>65</v>
      </c>
      <c r="C201" s="10"/>
      <c r="D201" s="165">
        <f t="shared" si="20"/>
        <v>44445</v>
      </c>
      <c r="E201" s="16">
        <f t="shared" si="18"/>
        <v>44510.828263888892</v>
      </c>
      <c r="F201" s="23">
        <f t="shared" si="21"/>
        <v>-57.828263888892252</v>
      </c>
      <c r="G201" s="27" t="str">
        <f t="array" ref="G201">IF(K201&lt;0,"Advance",INDEX('Days Ranges'!$C$4:$C$12,MATCH(1,($F201&gt;='Days Ranges'!$A$4:$A$12)*($F201&lt;'Days Ranges'!$B$4:$B$12),0)))</f>
        <v>Current</v>
      </c>
      <c r="H201" s="27" t="str">
        <f t="array" ref="H201">IF(K201&lt;0,"Advance",INDEX('Days Ranges'!$D$4:$D$12,MATCH(1,($F201&gt;'Days Ranges'!$A$4:$A$12)*($F201&lt;'Days Ranges'!$B$4:$B$12),0)))</f>
        <v>Current</v>
      </c>
      <c r="I201" s="27" t="str">
        <f>IFERROR(IF(IFERROR(REPLACE(O201,FIND("ОПТ ",O201,1),4,""),O201)=0,VLOOKUP(MID(Q201,FIND(" ",Q201,1)+1,3),Brands!$B$2:$C$24,2,0),IFERROR(REPLACE(O201,FIND("ОПТ ",O201,1),4,""),O201)),"Check PLEASE")</f>
        <v>Dr.Martens</v>
      </c>
      <c r="J201" s="27" t="str">
        <f>VLOOKUP(I201,Brands!$E$2:$F$21,2,0)</f>
        <v>Dr.Martens</v>
      </c>
      <c r="K201" s="23">
        <f t="shared" si="22"/>
        <v>601956</v>
      </c>
      <c r="L201" s="208" t="s">
        <v>1682</v>
      </c>
      <c r="M201" s="205" t="s">
        <v>99</v>
      </c>
      <c r="N201" s="208" t="s">
        <v>1683</v>
      </c>
      <c r="O201" s="205" t="s">
        <v>102</v>
      </c>
      <c r="P201" s="205" t="s">
        <v>28</v>
      </c>
      <c r="Q201" s="205" t="s">
        <v>101</v>
      </c>
      <c r="R201" s="87" t="s">
        <v>288</v>
      </c>
      <c r="S201" s="84"/>
      <c r="T201" s="84"/>
      <c r="U201" s="84"/>
      <c r="V201" s="84"/>
      <c r="W201" s="4" t="str">
        <f t="shared" si="23"/>
        <v>Positive</v>
      </c>
      <c r="X201" s="206">
        <v>601956</v>
      </c>
    </row>
    <row r="202" spans="1:24" ht="12" x14ac:dyDescent="0.2">
      <c r="A202" s="22" t="str">
        <f t="shared" si="19"/>
        <v>Платежное поручение входящее</v>
      </c>
      <c r="B202" s="13">
        <f t="array" ref="B202">IFERROR(INDEX(CreditDAY[Credit Days Nominal],MATCH(M202&amp;Q202&amp;I202,CreditDAY[Customer]&amp;CreditDAY[Договор.Наименование]&amp;CreditDAY[Brand Temp],0)),0)</f>
        <v>0</v>
      </c>
      <c r="C202" s="10"/>
      <c r="D202" s="165">
        <f t="shared" si="20"/>
        <v>44446</v>
      </c>
      <c r="E202" s="16">
        <f t="shared" si="18"/>
        <v>44446.708333333336</v>
      </c>
      <c r="F202" s="23">
        <f t="shared" si="21"/>
        <v>6.2916666666642413</v>
      </c>
      <c r="G202" s="27" t="str">
        <f t="array" ref="G202">IF(K202&lt;0,"Advance",INDEX('Days Ranges'!$C$4:$C$12,MATCH(1,($F202&gt;='Days Ranges'!$A$4:$A$12)*($F202&lt;'Days Ranges'!$B$4:$B$12),0)))</f>
        <v>Advance</v>
      </c>
      <c r="H202" s="27" t="str">
        <f t="array" ref="H202">IF(K202&lt;0,"Advance",INDEX('Days Ranges'!$D$4:$D$12,MATCH(1,($F202&gt;'Days Ranges'!$A$4:$A$12)*($F202&lt;'Days Ranges'!$B$4:$B$12),0)))</f>
        <v>Advance</v>
      </c>
      <c r="I202" s="27" t="str">
        <f>IFERROR(IF(IFERROR(REPLACE(O202,FIND("ОПТ ",O202,1),4,""),O202)=0,VLOOKUP(MID(Q202,FIND(" ",Q202,1)+1,3),Brands!$B$2:$C$24,2,0),IFERROR(REPLACE(O202,FIND("ОПТ ",O202,1),4,""),O202)),"Check PLEASE")</f>
        <v>Converse</v>
      </c>
      <c r="J202" s="27" t="str">
        <f>VLOOKUP(I202,Brands!$E$2:$F$21,2,0)</f>
        <v>Converse</v>
      </c>
      <c r="K202" s="23">
        <f t="shared" si="22"/>
        <v>-6650</v>
      </c>
      <c r="L202" s="208" t="s">
        <v>1698</v>
      </c>
      <c r="M202" s="205" t="s">
        <v>103</v>
      </c>
      <c r="N202" s="208" t="s">
        <v>1699</v>
      </c>
      <c r="O202" s="205" t="s">
        <v>20</v>
      </c>
      <c r="P202" s="205" t="s">
        <v>36</v>
      </c>
      <c r="Q202" s="205" t="s">
        <v>1631</v>
      </c>
      <c r="R202" s="87" t="s">
        <v>293</v>
      </c>
      <c r="S202" s="84"/>
      <c r="T202" s="84"/>
      <c r="U202" s="84"/>
      <c r="V202" s="84"/>
      <c r="W202" s="4" t="str">
        <f t="shared" si="23"/>
        <v>Negative</v>
      </c>
      <c r="X202" s="206">
        <v>-6650</v>
      </c>
    </row>
    <row r="203" spans="1:24" ht="12" x14ac:dyDescent="0.2">
      <c r="A203" s="22" t="str">
        <f t="shared" si="19"/>
        <v>Реализация товаров и услуг</v>
      </c>
      <c r="B203" s="13">
        <f t="array" ref="B203">IFERROR(INDEX(CreditDAY[Credit Days Nominal],MATCH(M203&amp;Q203&amp;I203,CreditDAY[Customer]&amp;CreditDAY[Договор.Наименование]&amp;CreditDAY[Brand Temp],0)),0)</f>
        <v>73</v>
      </c>
      <c r="C203" s="10"/>
      <c r="D203" s="165">
        <f t="shared" si="20"/>
        <v>44448</v>
      </c>
      <c r="E203" s="16">
        <f t="shared" si="18"/>
        <v>44521</v>
      </c>
      <c r="F203" s="23">
        <f t="shared" si="21"/>
        <v>-68</v>
      </c>
      <c r="G203" s="27" t="str">
        <f t="array" ref="G203">IF(K203&lt;0,"Advance",INDEX('Days Ranges'!$C$4:$C$12,MATCH(1,($F203&gt;='Days Ranges'!$A$4:$A$12)*($F203&lt;'Days Ranges'!$B$4:$B$12),0)))</f>
        <v>Current</v>
      </c>
      <c r="H203" s="27" t="str">
        <f t="array" ref="H203">IF(K203&lt;0,"Advance",INDEX('Days Ranges'!$D$4:$D$12,MATCH(1,($F203&gt;'Days Ranges'!$A$4:$A$12)*($F203&lt;'Days Ranges'!$B$4:$B$12),0)))</f>
        <v>Current</v>
      </c>
      <c r="I203" s="27" t="str">
        <f>IFERROR(IF(IFERROR(REPLACE(O203,FIND("ОПТ ",O203,1),4,""),O203)=0,VLOOKUP(MID(Q203,FIND(" ",Q203,1)+1,3),Brands!$B$2:$C$24,2,0),IFERROR(REPLACE(O203,FIND("ОПТ ",O203,1),4,""),O203)),"Check PLEASE")</f>
        <v>Converse</v>
      </c>
      <c r="J203" s="27" t="str">
        <f>VLOOKUP(I203,Brands!$E$2:$F$21,2,0)</f>
        <v>Converse</v>
      </c>
      <c r="K203" s="23">
        <f t="shared" si="22"/>
        <v>78400</v>
      </c>
      <c r="L203" s="208" t="s">
        <v>1700</v>
      </c>
      <c r="M203" s="205" t="s">
        <v>324</v>
      </c>
      <c r="N203" s="208" t="s">
        <v>1701</v>
      </c>
      <c r="O203" s="205" t="s">
        <v>20</v>
      </c>
      <c r="P203" s="205" t="s">
        <v>28</v>
      </c>
      <c r="Q203" s="205" t="s">
        <v>492</v>
      </c>
      <c r="R203" s="87" t="s">
        <v>186</v>
      </c>
      <c r="S203" s="84"/>
      <c r="T203" s="84"/>
      <c r="U203" s="84"/>
      <c r="V203" s="84"/>
      <c r="W203" s="4" t="str">
        <f t="shared" si="23"/>
        <v>Positive</v>
      </c>
      <c r="X203" s="206">
        <v>78400</v>
      </c>
    </row>
    <row r="204" spans="1:24" ht="12" x14ac:dyDescent="0.2">
      <c r="A204" s="22" t="str">
        <f t="shared" si="19"/>
        <v>Реализация товаров и услуг</v>
      </c>
      <c r="B204" s="13">
        <f t="array" ref="B204">IFERROR(INDEX(CreditDAY[Credit Days Nominal],MATCH(M204&amp;Q204&amp;I204,CreditDAY[Customer]&amp;CreditDAY[Договор.Наименование]&amp;CreditDAY[Brand Temp],0)),0)</f>
        <v>65</v>
      </c>
      <c r="C204" s="10"/>
      <c r="D204" s="165">
        <f t="shared" si="20"/>
        <v>44448</v>
      </c>
      <c r="E204" s="16">
        <f t="shared" si="18"/>
        <v>44513.493310185186</v>
      </c>
      <c r="F204" s="23">
        <f t="shared" si="21"/>
        <v>-60.493310185185692</v>
      </c>
      <c r="G204" s="27" t="str">
        <f t="array" ref="G204">IF(K204&lt;0,"Advance",INDEX('Days Ranges'!$C$4:$C$12,MATCH(1,($F204&gt;='Days Ranges'!$A$4:$A$12)*($F204&lt;'Days Ranges'!$B$4:$B$12),0)))</f>
        <v>Current</v>
      </c>
      <c r="H204" s="27" t="str">
        <f t="array" ref="H204">IF(K204&lt;0,"Advance",INDEX('Days Ranges'!$D$4:$D$12,MATCH(1,($F204&gt;'Days Ranges'!$A$4:$A$12)*($F204&lt;'Days Ranges'!$B$4:$B$12),0)))</f>
        <v>Current</v>
      </c>
      <c r="I204" s="27" t="str">
        <f>IFERROR(IF(IFERROR(REPLACE(O204,FIND("ОПТ ",O204,1),4,""),O204)=0,VLOOKUP(MID(Q204,FIND(" ",Q204,1)+1,3),Brands!$B$2:$C$24,2,0),IFERROR(REPLACE(O204,FIND("ОПТ ",O204,1),4,""),O204)),"Check PLEASE")</f>
        <v>Converse</v>
      </c>
      <c r="J204" s="27" t="str">
        <f>VLOOKUP(I204,Brands!$E$2:$F$21,2,0)</f>
        <v>Converse</v>
      </c>
      <c r="K204" s="23">
        <f t="shared" si="22"/>
        <v>546872.06999999995</v>
      </c>
      <c r="L204" s="208" t="s">
        <v>1702</v>
      </c>
      <c r="M204" s="205" t="s">
        <v>292</v>
      </c>
      <c r="N204" s="208" t="s">
        <v>1703</v>
      </c>
      <c r="O204" s="205" t="s">
        <v>20</v>
      </c>
      <c r="P204" s="205" t="s">
        <v>28</v>
      </c>
      <c r="Q204" s="205" t="s">
        <v>293</v>
      </c>
      <c r="R204" s="87" t="s">
        <v>186</v>
      </c>
      <c r="S204" s="84"/>
      <c r="T204" s="84"/>
      <c r="U204" s="84"/>
      <c r="V204" s="84"/>
      <c r="W204" s="4" t="str">
        <f t="shared" si="23"/>
        <v>Positive</v>
      </c>
      <c r="X204" s="206">
        <v>546872.06999999995</v>
      </c>
    </row>
    <row r="205" spans="1:24" ht="12" x14ac:dyDescent="0.2">
      <c r="A205" s="22" t="str">
        <f t="shared" si="19"/>
        <v>Реализация товаров и услуг</v>
      </c>
      <c r="B205" s="13">
        <f t="array" ref="B205">IFERROR(INDEX(CreditDAY[Credit Days Nominal],MATCH(M205&amp;Q205&amp;I205,CreditDAY[Customer]&amp;CreditDAY[Договор.Наименование]&amp;CreditDAY[Brand Temp],0)),0)</f>
        <v>65</v>
      </c>
      <c r="C205" s="10"/>
      <c r="D205" s="165">
        <f t="shared" si="20"/>
        <v>44448</v>
      </c>
      <c r="E205" s="16">
        <f t="shared" si="18"/>
        <v>44513.508217592593</v>
      </c>
      <c r="F205" s="23">
        <f t="shared" si="21"/>
        <v>-60.5082175925927</v>
      </c>
      <c r="G205" s="27" t="str">
        <f t="array" ref="G205">IF(K205&lt;0,"Advance",INDEX('Days Ranges'!$C$4:$C$12,MATCH(1,($F205&gt;='Days Ranges'!$A$4:$A$12)*($F205&lt;'Days Ranges'!$B$4:$B$12),0)))</f>
        <v>Current</v>
      </c>
      <c r="H205" s="27" t="str">
        <f t="array" ref="H205">IF(K205&lt;0,"Advance",INDEX('Days Ranges'!$D$4:$D$12,MATCH(1,($F205&gt;'Days Ranges'!$A$4:$A$12)*($F205&lt;'Days Ranges'!$B$4:$B$12),0)))</f>
        <v>Current</v>
      </c>
      <c r="I205" s="27" t="str">
        <f>IFERROR(IF(IFERROR(REPLACE(O205,FIND("ОПТ ",O205,1),4,""),O205)=0,VLOOKUP(MID(Q205,FIND(" ",Q205,1)+1,3),Brands!$B$2:$C$24,2,0),IFERROR(REPLACE(O205,FIND("ОПТ ",O205,1),4,""),O205)),"Check PLEASE")</f>
        <v>Dr.Martens</v>
      </c>
      <c r="J205" s="27" t="str">
        <f>VLOOKUP(I205,Brands!$E$2:$F$21,2,0)</f>
        <v>Dr.Martens</v>
      </c>
      <c r="K205" s="23">
        <f t="shared" si="22"/>
        <v>8322</v>
      </c>
      <c r="L205" s="208" t="s">
        <v>1704</v>
      </c>
      <c r="M205" s="205" t="s">
        <v>292</v>
      </c>
      <c r="N205" s="208" t="s">
        <v>1705</v>
      </c>
      <c r="O205" s="205" t="s">
        <v>102</v>
      </c>
      <c r="P205" s="205" t="s">
        <v>28</v>
      </c>
      <c r="Q205" s="205" t="s">
        <v>293</v>
      </c>
      <c r="R205" s="87" t="s">
        <v>186</v>
      </c>
      <c r="S205" s="84"/>
      <c r="T205" s="84"/>
      <c r="U205" s="84"/>
      <c r="V205" s="84"/>
      <c r="W205" s="4" t="str">
        <f t="shared" si="23"/>
        <v>Positive</v>
      </c>
      <c r="X205" s="206">
        <v>8322</v>
      </c>
    </row>
    <row r="206" spans="1:24" ht="12" x14ac:dyDescent="0.2">
      <c r="A206" s="10" t="str">
        <f t="shared" si="19"/>
        <v>Реализация товаров и услуг</v>
      </c>
      <c r="B206" s="13">
        <f t="array" ref="B206">IFERROR(INDEX(CreditDAY[Credit Days Nominal],MATCH(M206&amp;Q206&amp;I206,CreditDAY[Customer]&amp;CreditDAY[Договор.Наименование]&amp;CreditDAY[Brand Temp],0)),0)</f>
        <v>65</v>
      </c>
      <c r="C206" s="10"/>
      <c r="D206" s="165">
        <f t="shared" si="20"/>
        <v>44448</v>
      </c>
      <c r="E206" s="16">
        <f t="shared" si="18"/>
        <v>44513.508750000001</v>
      </c>
      <c r="F206" s="23">
        <f t="shared" si="21"/>
        <v>-60.508750000000873</v>
      </c>
      <c r="G206" s="27" t="str">
        <f t="array" ref="G206">IF(K206&lt;0,"Advance",INDEX('Days Ranges'!$C$4:$C$12,MATCH(1,($F206&gt;='Days Ranges'!$A$4:$A$12)*($F206&lt;'Days Ranges'!$B$4:$B$12),0)))</f>
        <v>Current</v>
      </c>
      <c r="H206" s="27" t="str">
        <f t="array" ref="H206">IF(K206&lt;0,"Advance",INDEX('Days Ranges'!$D$4:$D$12,MATCH(1,($F206&gt;'Days Ranges'!$A$4:$A$12)*($F206&lt;'Days Ranges'!$B$4:$B$12),0)))</f>
        <v>Current</v>
      </c>
      <c r="I206" s="27" t="str">
        <f>IFERROR(IF(IFERROR(REPLACE(O206,FIND("ОПТ ",O206,1),4,""),O206)=0,VLOOKUP(MID(Q206,FIND(" ",Q206,1)+1,3),Brands!$B$2:$C$24,2,0),IFERROR(REPLACE(O206,FIND("ОПТ ",O206,1),4,""),O206)),"Check PLEASE")</f>
        <v>Сток Dr.Martens</v>
      </c>
      <c r="J206" s="27" t="str">
        <f>VLOOKUP(I206,Brands!$E$2:$F$21,2,0)</f>
        <v>Dr.Martens</v>
      </c>
      <c r="K206" s="23">
        <f t="shared" si="22"/>
        <v>10800</v>
      </c>
      <c r="L206" s="208" t="s">
        <v>1706</v>
      </c>
      <c r="M206" s="205" t="s">
        <v>292</v>
      </c>
      <c r="N206" s="208" t="s">
        <v>1707</v>
      </c>
      <c r="O206" s="205" t="s">
        <v>107</v>
      </c>
      <c r="P206" s="205" t="s">
        <v>28</v>
      </c>
      <c r="Q206" s="205" t="s">
        <v>293</v>
      </c>
      <c r="R206" s="87" t="s">
        <v>186</v>
      </c>
      <c r="S206" s="84"/>
      <c r="T206" s="84"/>
      <c r="U206" s="84"/>
      <c r="V206" s="84"/>
      <c r="W206" s="4" t="str">
        <f t="shared" si="23"/>
        <v>Positive</v>
      </c>
      <c r="X206" s="206">
        <v>10800</v>
      </c>
    </row>
    <row r="207" spans="1:24" ht="12" x14ac:dyDescent="0.2">
      <c r="A207" s="10" t="str">
        <f t="shared" si="19"/>
        <v>Реализация товаров и услуг</v>
      </c>
      <c r="B207" s="13">
        <f t="array" ref="B207">IFERROR(INDEX(CreditDAY[Credit Days Nominal],MATCH(M207&amp;Q207&amp;I207,CreditDAY[Customer]&amp;CreditDAY[Договор.Наименование]&amp;CreditDAY[Brand Temp],0)),0)</f>
        <v>73</v>
      </c>
      <c r="C207" s="10"/>
      <c r="D207" s="165">
        <f t="shared" si="20"/>
        <v>44448</v>
      </c>
      <c r="E207" s="16">
        <f t="shared" si="18"/>
        <v>44521.532696759263</v>
      </c>
      <c r="F207" s="23">
        <f t="shared" si="21"/>
        <v>-68.532696759262762</v>
      </c>
      <c r="G207" s="27" t="str">
        <f t="array" ref="G207">IF(K207&lt;0,"Advance",INDEX('Days Ranges'!$C$4:$C$12,MATCH(1,($F207&gt;='Days Ranges'!$A$4:$A$12)*($F207&lt;'Days Ranges'!$B$4:$B$12),0)))</f>
        <v>Current</v>
      </c>
      <c r="H207" s="27" t="str">
        <f t="array" ref="H207">IF(K207&lt;0,"Advance",INDEX('Days Ranges'!$D$4:$D$12,MATCH(1,($F207&gt;'Days Ranges'!$A$4:$A$12)*($F207&lt;'Days Ranges'!$B$4:$B$12),0)))</f>
        <v>Current</v>
      </c>
      <c r="I207" s="27" t="str">
        <f>IFERROR(IF(IFERROR(REPLACE(O207,FIND("ОПТ ",O207,1),4,""),O207)=0,VLOOKUP(MID(Q207,FIND(" ",Q207,1)+1,3),Brands!$B$2:$C$24,2,0),IFERROR(REPLACE(O207,FIND("ОПТ ",O207,1),4,""),O207)),"Check PLEASE")</f>
        <v>Converse</v>
      </c>
      <c r="J207" s="27" t="str">
        <f>VLOOKUP(I207,Brands!$E$2:$F$21,2,0)</f>
        <v>Converse</v>
      </c>
      <c r="K207" s="23">
        <f t="shared" si="22"/>
        <v>93296</v>
      </c>
      <c r="L207" s="208" t="s">
        <v>1708</v>
      </c>
      <c r="M207" s="205" t="s">
        <v>324</v>
      </c>
      <c r="N207" s="208" t="s">
        <v>1709</v>
      </c>
      <c r="O207" s="205" t="s">
        <v>20</v>
      </c>
      <c r="P207" s="205" t="s">
        <v>28</v>
      </c>
      <c r="Q207" s="205" t="s">
        <v>492</v>
      </c>
      <c r="R207" s="87" t="s">
        <v>186</v>
      </c>
      <c r="S207" s="84"/>
      <c r="T207" s="84"/>
      <c r="U207" s="84"/>
      <c r="V207" s="84"/>
      <c r="W207" s="4" t="str">
        <f t="shared" si="23"/>
        <v>Positive</v>
      </c>
      <c r="X207" s="206">
        <v>93296</v>
      </c>
    </row>
    <row r="208" spans="1:24" ht="12" x14ac:dyDescent="0.2">
      <c r="A208" s="10" t="str">
        <f t="shared" si="19"/>
        <v>Реализация товаров и услуг</v>
      </c>
      <c r="B208" s="13">
        <f t="array" ref="B208">IFERROR(INDEX(CreditDAY[Credit Days Nominal],MATCH(M208&amp;Q208&amp;I208,CreditDAY[Customer]&amp;CreditDAY[Договор.Наименование]&amp;CreditDAY[Brand Temp],0)),0)</f>
        <v>73</v>
      </c>
      <c r="C208" s="10"/>
      <c r="D208" s="165">
        <f t="shared" si="20"/>
        <v>44448</v>
      </c>
      <c r="E208" s="16">
        <f t="shared" si="18"/>
        <v>44521.570127314815</v>
      </c>
      <c r="F208" s="23">
        <f t="shared" si="21"/>
        <v>-68.570127314815181</v>
      </c>
      <c r="G208" s="27" t="str">
        <f t="array" ref="G208">IF(K208&lt;0,"Advance",INDEX('Days Ranges'!$C$4:$C$12,MATCH(1,($F208&gt;='Days Ranges'!$A$4:$A$12)*($F208&lt;'Days Ranges'!$B$4:$B$12),0)))</f>
        <v>Current</v>
      </c>
      <c r="H208" s="27" t="str">
        <f t="array" ref="H208">IF(K208&lt;0,"Advance",INDEX('Days Ranges'!$D$4:$D$12,MATCH(1,($F208&gt;'Days Ranges'!$A$4:$A$12)*($F208&lt;'Days Ranges'!$B$4:$B$12),0)))</f>
        <v>Current</v>
      </c>
      <c r="I208" s="27" t="str">
        <f>IFERROR(IF(IFERROR(REPLACE(O208,FIND("ОПТ ",O208,1),4,""),O208)=0,VLOOKUP(MID(Q208,FIND(" ",Q208,1)+1,3),Brands!$B$2:$C$24,2,0),IFERROR(REPLACE(O208,FIND("ОПТ ",O208,1),4,""),O208)),"Check PLEASE")</f>
        <v>Saucony</v>
      </c>
      <c r="J208" s="27" t="str">
        <f>VLOOKUP(I208,Brands!$E$2:$F$21,2,0)</f>
        <v>Saucony</v>
      </c>
      <c r="K208" s="23">
        <f t="shared" si="22"/>
        <v>49784</v>
      </c>
      <c r="L208" s="208" t="s">
        <v>1710</v>
      </c>
      <c r="M208" s="205" t="s">
        <v>324</v>
      </c>
      <c r="N208" s="208" t="s">
        <v>1711</v>
      </c>
      <c r="O208" s="205" t="s">
        <v>76</v>
      </c>
      <c r="P208" s="205" t="s">
        <v>28</v>
      </c>
      <c r="Q208" s="205" t="s">
        <v>492</v>
      </c>
      <c r="R208" s="87" t="s">
        <v>1398</v>
      </c>
      <c r="S208" s="84"/>
      <c r="T208" s="84"/>
      <c r="U208" s="84"/>
      <c r="V208" s="84"/>
      <c r="W208" s="4" t="str">
        <f t="shared" si="23"/>
        <v>Positive</v>
      </c>
      <c r="X208" s="206">
        <v>49784</v>
      </c>
    </row>
    <row r="209" spans="1:24" ht="12" x14ac:dyDescent="0.2">
      <c r="A209" s="10" t="str">
        <f t="shared" si="19"/>
        <v>Реализация товаров и услуг</v>
      </c>
      <c r="B209" s="13">
        <f t="array" ref="B209">IFERROR(INDEX(CreditDAY[Credit Days Nominal],MATCH(M209&amp;Q209&amp;I209,CreditDAY[Customer]&amp;CreditDAY[Договор.Наименование]&amp;CreditDAY[Brand Temp],0)),0)</f>
        <v>73</v>
      </c>
      <c r="C209" s="10"/>
      <c r="D209" s="165">
        <f t="shared" si="20"/>
        <v>44448</v>
      </c>
      <c r="E209" s="16">
        <f t="shared" si="18"/>
        <v>44521.571319444447</v>
      </c>
      <c r="F209" s="23">
        <f t="shared" si="21"/>
        <v>-68.571319444446999</v>
      </c>
      <c r="G209" s="27" t="str">
        <f t="array" ref="G209">IF(K209&lt;0,"Advance",INDEX('Days Ranges'!$C$4:$C$12,MATCH(1,($F209&gt;='Days Ranges'!$A$4:$A$12)*($F209&lt;'Days Ranges'!$B$4:$B$12),0)))</f>
        <v>Current</v>
      </c>
      <c r="H209" s="27" t="str">
        <f t="array" ref="H209">IF(K209&lt;0,"Advance",INDEX('Days Ranges'!$D$4:$D$12,MATCH(1,($F209&gt;'Days Ranges'!$A$4:$A$12)*($F209&lt;'Days Ranges'!$B$4:$B$12),0)))</f>
        <v>Current</v>
      </c>
      <c r="I209" s="27" t="str">
        <f>IFERROR(IF(IFERROR(REPLACE(O209,FIND("ОПТ ",O209,1),4,""),O209)=0,VLOOKUP(MID(Q209,FIND(" ",Q209,1)+1,3),Brands!$B$2:$C$24,2,0),IFERROR(REPLACE(O209,FIND("ОПТ ",O209,1),4,""),O209)),"Check PLEASE")</f>
        <v>Dr.Martens</v>
      </c>
      <c r="J209" s="27" t="str">
        <f>VLOOKUP(I209,Brands!$E$2:$F$21,2,0)</f>
        <v>Dr.Martens</v>
      </c>
      <c r="K209" s="23">
        <f t="shared" si="22"/>
        <v>166128</v>
      </c>
      <c r="L209" s="208" t="s">
        <v>1712</v>
      </c>
      <c r="M209" s="205" t="s">
        <v>324</v>
      </c>
      <c r="N209" s="208" t="s">
        <v>1713</v>
      </c>
      <c r="O209" s="205" t="s">
        <v>102</v>
      </c>
      <c r="P209" s="205" t="s">
        <v>28</v>
      </c>
      <c r="Q209" s="205" t="s">
        <v>492</v>
      </c>
      <c r="R209" s="87" t="s">
        <v>1397</v>
      </c>
      <c r="S209" s="84"/>
      <c r="T209" s="84"/>
      <c r="U209" s="84"/>
      <c r="V209" s="84"/>
      <c r="W209" s="4" t="str">
        <f t="shared" si="23"/>
        <v>Positive</v>
      </c>
      <c r="X209" s="206">
        <v>166128</v>
      </c>
    </row>
    <row r="210" spans="1:24" ht="12" x14ac:dyDescent="0.2">
      <c r="A210" s="10" t="str">
        <f t="shared" si="19"/>
        <v>Реализация товаров и услуг</v>
      </c>
      <c r="B210" s="13">
        <f t="array" ref="B210">IFERROR(INDEX(CreditDAY[Credit Days Nominal],MATCH(M210&amp;Q210&amp;I210,CreditDAY[Customer]&amp;CreditDAY[Договор.Наименование]&amp;CreditDAY[Brand Temp],0)),0)</f>
        <v>73</v>
      </c>
      <c r="C210" s="10"/>
      <c r="D210" s="165">
        <f t="shared" si="20"/>
        <v>44448</v>
      </c>
      <c r="E210" s="16">
        <f t="shared" si="18"/>
        <v>44521.572175925925</v>
      </c>
      <c r="F210" s="23">
        <f t="shared" si="21"/>
        <v>-68.572175925924967</v>
      </c>
      <c r="G210" s="27" t="str">
        <f t="array" ref="G210">IF(K210&lt;0,"Advance",INDEX('Days Ranges'!$C$4:$C$12,MATCH(1,($F210&gt;='Days Ranges'!$A$4:$A$12)*($F210&lt;'Days Ranges'!$B$4:$B$12),0)))</f>
        <v>Current</v>
      </c>
      <c r="H210" s="27" t="str">
        <f t="array" ref="H210">IF(K210&lt;0,"Advance",INDEX('Days Ranges'!$D$4:$D$12,MATCH(1,($F210&gt;'Days Ranges'!$A$4:$A$12)*($F210&lt;'Days Ranges'!$B$4:$B$12),0)))</f>
        <v>Current</v>
      </c>
      <c r="I210" s="27" t="str">
        <f>IFERROR(IF(IFERROR(REPLACE(O210,FIND("ОПТ ",O210,1),4,""),O210)=0,VLOOKUP(MID(Q210,FIND(" ",Q210,1)+1,3),Brands!$B$2:$C$24,2,0),IFERROR(REPLACE(O210,FIND("ОПТ ",O210,1),4,""),O210)),"Check PLEASE")</f>
        <v>Сток Converse</v>
      </c>
      <c r="J210" s="27" t="str">
        <f>VLOOKUP(I210,Brands!$E$2:$F$21,2,0)</f>
        <v>Converse</v>
      </c>
      <c r="K210" s="23">
        <f t="shared" si="22"/>
        <v>71883</v>
      </c>
      <c r="L210" s="208" t="s">
        <v>1714</v>
      </c>
      <c r="M210" s="205" t="s">
        <v>324</v>
      </c>
      <c r="N210" s="208" t="s">
        <v>1715</v>
      </c>
      <c r="O210" s="205" t="s">
        <v>52</v>
      </c>
      <c r="P210" s="205" t="s">
        <v>28</v>
      </c>
      <c r="Q210" s="205" t="s">
        <v>492</v>
      </c>
      <c r="R210" s="87" t="s">
        <v>17</v>
      </c>
      <c r="S210" s="84"/>
      <c r="T210" s="84"/>
      <c r="U210" s="84"/>
      <c r="V210" s="84"/>
      <c r="W210" s="4" t="str">
        <f t="shared" si="23"/>
        <v>Positive</v>
      </c>
      <c r="X210" s="206">
        <v>71883</v>
      </c>
    </row>
    <row r="211" spans="1:24" ht="12" x14ac:dyDescent="0.2">
      <c r="A211" s="10" t="str">
        <f t="shared" si="19"/>
        <v>Реализация товаров и услуг</v>
      </c>
      <c r="B211" s="13">
        <f t="array" ref="B211">IFERROR(INDEX(CreditDAY[Credit Days Nominal],MATCH(M211&amp;Q211&amp;I211,CreditDAY[Customer]&amp;CreditDAY[Договор.Наименование]&amp;CreditDAY[Brand Temp],0)),0)</f>
        <v>95</v>
      </c>
      <c r="C211" s="10"/>
      <c r="D211" s="165">
        <f t="shared" si="20"/>
        <v>44448</v>
      </c>
      <c r="E211" s="16">
        <f t="shared" si="18"/>
        <v>44543.669432870367</v>
      </c>
      <c r="F211" s="23">
        <f t="shared" si="21"/>
        <v>-90.669432870367018</v>
      </c>
      <c r="G211" s="27" t="str">
        <f t="array" ref="G211">IF(K211&lt;0,"Advance",INDEX('Days Ranges'!$C$4:$C$12,MATCH(1,($F211&gt;='Days Ranges'!$A$4:$A$12)*($F211&lt;'Days Ranges'!$B$4:$B$12),0)))</f>
        <v>Current</v>
      </c>
      <c r="H211" s="27" t="str">
        <f t="array" ref="H211">IF(K211&lt;0,"Advance",INDEX('Days Ranges'!$D$4:$D$12,MATCH(1,($F211&gt;'Days Ranges'!$A$4:$A$12)*($F211&lt;'Days Ranges'!$B$4:$B$12),0)))</f>
        <v>Current</v>
      </c>
      <c r="I211" s="27" t="str">
        <f>IFERROR(IF(IFERROR(REPLACE(O211,FIND("ОПТ ",O211,1),4,""),O211)=0,VLOOKUP(MID(Q211,FIND(" ",Q211,1)+1,3),Brands!$B$2:$C$24,2,0),IFERROR(REPLACE(O211,FIND("ОПТ ",O211,1),4,""),O211)),"Check PLEASE")</f>
        <v>Сток Converse</v>
      </c>
      <c r="J211" s="27" t="str">
        <f>VLOOKUP(I211,Brands!$E$2:$F$21,2,0)</f>
        <v>Converse</v>
      </c>
      <c r="K211" s="23">
        <f t="shared" si="22"/>
        <v>3027375</v>
      </c>
      <c r="L211" s="208" t="s">
        <v>1716</v>
      </c>
      <c r="M211" s="205" t="s">
        <v>285</v>
      </c>
      <c r="N211" s="208" t="s">
        <v>1717</v>
      </c>
      <c r="O211" s="205" t="s">
        <v>52</v>
      </c>
      <c r="P211" s="205" t="s">
        <v>28</v>
      </c>
      <c r="Q211" s="205" t="s">
        <v>288</v>
      </c>
      <c r="R211" s="87" t="s">
        <v>1427</v>
      </c>
      <c r="S211" s="84"/>
      <c r="T211" s="84"/>
      <c r="U211" s="84"/>
      <c r="V211" s="84"/>
      <c r="W211" s="4" t="str">
        <f t="shared" si="23"/>
        <v>Positive</v>
      </c>
      <c r="X211" s="206">
        <v>3027375</v>
      </c>
    </row>
    <row r="212" spans="1:24" ht="12" x14ac:dyDescent="0.2">
      <c r="A212" s="10" t="str">
        <f t="shared" si="19"/>
        <v>Реализация товаров и услуг</v>
      </c>
      <c r="B212" s="13">
        <f t="array" ref="B212">IFERROR(INDEX(CreditDAY[Credit Days Nominal],MATCH(M212&amp;Q212&amp;I212,CreditDAY[Customer]&amp;CreditDAY[Договор.Наименование]&amp;CreditDAY[Brand Temp],0)),0)</f>
        <v>95</v>
      </c>
      <c r="C212" s="10"/>
      <c r="D212" s="165">
        <f t="shared" si="20"/>
        <v>44448</v>
      </c>
      <c r="E212" s="16">
        <f t="shared" si="18"/>
        <v>44543.670636574076</v>
      </c>
      <c r="F212" s="23">
        <f t="shared" si="21"/>
        <v>-90.670636574075615</v>
      </c>
      <c r="G212" s="27" t="str">
        <f t="array" ref="G212">IF(K212&lt;0,"Advance",INDEX('Days Ranges'!$C$4:$C$12,MATCH(1,($F212&gt;='Days Ranges'!$A$4:$A$12)*($F212&lt;'Days Ranges'!$B$4:$B$12),0)))</f>
        <v>Current</v>
      </c>
      <c r="H212" s="27" t="str">
        <f t="array" ref="H212">IF(K212&lt;0,"Advance",INDEX('Days Ranges'!$D$4:$D$12,MATCH(1,($F212&gt;'Days Ranges'!$A$4:$A$12)*($F212&lt;'Days Ranges'!$B$4:$B$12),0)))</f>
        <v>Current</v>
      </c>
      <c r="I212" s="27" t="str">
        <f>IFERROR(IF(IFERROR(REPLACE(O212,FIND("ОПТ ",O212,1),4,""),O212)=0,VLOOKUP(MID(Q212,FIND(" ",Q212,1)+1,3),Brands!$B$2:$C$24,2,0),IFERROR(REPLACE(O212,FIND("ОПТ ",O212,1),4,""),O212)),"Check PLEASE")</f>
        <v>Converse</v>
      </c>
      <c r="J212" s="27" t="str">
        <f>VLOOKUP(I212,Brands!$E$2:$F$21,2,0)</f>
        <v>Converse</v>
      </c>
      <c r="K212" s="23">
        <f t="shared" si="22"/>
        <v>1188305</v>
      </c>
      <c r="L212" s="208" t="s">
        <v>1718</v>
      </c>
      <c r="M212" s="205" t="s">
        <v>285</v>
      </c>
      <c r="N212" s="208" t="s">
        <v>1719</v>
      </c>
      <c r="O212" s="205" t="s">
        <v>20</v>
      </c>
      <c r="P212" s="205" t="s">
        <v>28</v>
      </c>
      <c r="Q212" s="205" t="s">
        <v>288</v>
      </c>
      <c r="R212" s="87" t="s">
        <v>108</v>
      </c>
      <c r="S212" s="84"/>
      <c r="T212" s="84"/>
      <c r="U212" s="84"/>
      <c r="V212" s="84"/>
      <c r="W212" s="4" t="str">
        <f t="shared" si="23"/>
        <v>Positive</v>
      </c>
      <c r="X212" s="206">
        <v>1188305</v>
      </c>
    </row>
    <row r="213" spans="1:24" ht="12" x14ac:dyDescent="0.2">
      <c r="A213" s="10" t="str">
        <f t="shared" si="19"/>
        <v>Платежное поручение входящее</v>
      </c>
      <c r="B213" s="13">
        <f t="array" ref="B213">IFERROR(INDEX(CreditDAY[Credit Days Nominal],MATCH(M213&amp;Q213&amp;I213,CreditDAY[Customer]&amp;CreditDAY[Договор.Наименование]&amp;CreditDAY[Brand Temp],0)),0)</f>
        <v>35</v>
      </c>
      <c r="C213" s="10"/>
      <c r="D213" s="165">
        <f t="shared" si="20"/>
        <v>44448</v>
      </c>
      <c r="E213" s="16">
        <f t="shared" si="18"/>
        <v>44483.708333333336</v>
      </c>
      <c r="F213" s="23">
        <f t="shared" si="21"/>
        <v>-30.708333333335759</v>
      </c>
      <c r="G213" s="27" t="str">
        <f t="array" ref="G213">IF(K213&lt;0,"Advance",INDEX('Days Ranges'!$C$4:$C$12,MATCH(1,($F213&gt;='Days Ranges'!$A$4:$A$12)*($F213&lt;'Days Ranges'!$B$4:$B$12),0)))</f>
        <v>Advance</v>
      </c>
      <c r="H213" s="27" t="str">
        <f t="array" ref="H213">IF(K213&lt;0,"Advance",INDEX('Days Ranges'!$D$4:$D$12,MATCH(1,($F213&gt;'Days Ranges'!$A$4:$A$12)*($F213&lt;'Days Ranges'!$B$4:$B$12),0)))</f>
        <v>Advance</v>
      </c>
      <c r="I213" s="27" t="str">
        <f>IFERROR(IF(IFERROR(REPLACE(O213,FIND("ОПТ ",O213,1),4,""),O213)=0,VLOOKUP(MID(Q213,FIND(" ",Q213,1)+1,3),Brands!$B$2:$C$24,2,0),IFERROR(REPLACE(O213,FIND("ОПТ ",O213,1),4,""),O213)),"Check PLEASE")</f>
        <v>Saucony</v>
      </c>
      <c r="J213" s="27" t="str">
        <f>VLOOKUP(I213,Brands!$E$2:$F$21,2,0)</f>
        <v>Saucony</v>
      </c>
      <c r="K213" s="23">
        <f t="shared" si="22"/>
        <v>-288000</v>
      </c>
      <c r="L213" s="208" t="s">
        <v>1721</v>
      </c>
      <c r="M213" s="205" t="s">
        <v>125</v>
      </c>
      <c r="N213" s="208" t="s">
        <v>1720</v>
      </c>
      <c r="O213" s="205" t="s">
        <v>76</v>
      </c>
      <c r="P213" s="205" t="s">
        <v>36</v>
      </c>
      <c r="Q213" s="205" t="s">
        <v>126</v>
      </c>
      <c r="R213" s="87" t="s">
        <v>1427</v>
      </c>
      <c r="S213" s="84"/>
      <c r="T213" s="84"/>
      <c r="U213" s="84"/>
      <c r="V213" s="84"/>
      <c r="W213" s="4" t="str">
        <f t="shared" si="23"/>
        <v>Negative</v>
      </c>
      <c r="X213" s="206">
        <v>-288000</v>
      </c>
    </row>
    <row r="214" spans="1:24" ht="12" x14ac:dyDescent="0.2">
      <c r="A214" s="10" t="str">
        <f t="shared" si="19"/>
        <v>Реализация товаров и услуг</v>
      </c>
      <c r="B214" s="13">
        <f t="array" ref="B214">IFERROR(INDEX(CreditDAY[Credit Days Nominal],MATCH(M214&amp;Q214&amp;I214,CreditDAY[Customer]&amp;CreditDAY[Договор.Наименование]&amp;CreditDAY[Brand Temp],0)),0)</f>
        <v>45</v>
      </c>
      <c r="C214" s="10"/>
      <c r="D214" s="165">
        <f t="shared" si="20"/>
        <v>44448</v>
      </c>
      <c r="E214" s="16">
        <f t="shared" si="18"/>
        <v>44493.772650462961</v>
      </c>
      <c r="F214" s="23">
        <f t="shared" si="21"/>
        <v>-40.772650462960883</v>
      </c>
      <c r="G214" s="27" t="str">
        <f t="array" ref="G214">IF(K214&lt;0,"Advance",INDEX('Days Ranges'!$C$4:$C$12,MATCH(1,($F214&gt;='Days Ranges'!$A$4:$A$12)*($F214&lt;'Days Ranges'!$B$4:$B$12),0)))</f>
        <v>Current</v>
      </c>
      <c r="H214" s="27" t="str">
        <f t="array" ref="H214">IF(K214&lt;0,"Advance",INDEX('Days Ranges'!$D$4:$D$12,MATCH(1,($F214&gt;'Days Ranges'!$A$4:$A$12)*($F214&lt;'Days Ranges'!$B$4:$B$12),0)))</f>
        <v>Current</v>
      </c>
      <c r="I214" s="27" t="str">
        <f>IFERROR(IF(IFERROR(REPLACE(O214,FIND("ОПТ ",O214,1),4,""),O214)=0,VLOOKUP(MID(Q214,FIND(" ",Q214,1)+1,3),Brands!$B$2:$C$24,2,0),IFERROR(REPLACE(O214,FIND("ОПТ ",O214,1),4,""),O214)),"Check PLEASE")</f>
        <v>UGG</v>
      </c>
      <c r="J214" s="27" t="str">
        <f>VLOOKUP(I214,Brands!$E$2:$F$21,2,0)</f>
        <v>UGG</v>
      </c>
      <c r="K214" s="23">
        <f t="shared" si="22"/>
        <v>155232</v>
      </c>
      <c r="L214" s="208" t="s">
        <v>1722</v>
      </c>
      <c r="M214" s="205" t="s">
        <v>298</v>
      </c>
      <c r="N214" s="208" t="s">
        <v>1723</v>
      </c>
      <c r="O214" s="205" t="s">
        <v>56</v>
      </c>
      <c r="P214" s="205" t="s">
        <v>28</v>
      </c>
      <c r="Q214" s="205" t="s">
        <v>1576</v>
      </c>
      <c r="R214" s="87" t="s">
        <v>42</v>
      </c>
      <c r="S214" s="84"/>
      <c r="T214" s="84"/>
      <c r="U214" s="84"/>
      <c r="V214" s="84"/>
      <c r="W214" s="4" t="str">
        <f t="shared" si="23"/>
        <v>Positive</v>
      </c>
      <c r="X214" s="206">
        <v>155232</v>
      </c>
    </row>
    <row r="215" spans="1:24" ht="12" x14ac:dyDescent="0.2">
      <c r="A215" s="10" t="str">
        <f t="shared" si="19"/>
        <v>Реализация товаров и услуг</v>
      </c>
      <c r="B215" s="13">
        <f t="array" ref="B215">IFERROR(INDEX(CreditDAY[Credit Days Nominal],MATCH(M215&amp;Q215&amp;I215,CreditDAY[Customer]&amp;CreditDAY[Договор.Наименование]&amp;CreditDAY[Brand Temp],0)),0)</f>
        <v>45</v>
      </c>
      <c r="C215" s="10"/>
      <c r="D215" s="165">
        <f t="shared" si="20"/>
        <v>44448</v>
      </c>
      <c r="E215" s="16">
        <f t="shared" si="18"/>
        <v>44493.774525462963</v>
      </c>
      <c r="F215" s="23">
        <f t="shared" si="21"/>
        <v>-40.774525462962629</v>
      </c>
      <c r="G215" s="27" t="str">
        <f t="array" ref="G215">IF(K215&lt;0,"Advance",INDEX('Days Ranges'!$C$4:$C$12,MATCH(1,($F215&gt;='Days Ranges'!$A$4:$A$12)*($F215&lt;'Days Ranges'!$B$4:$B$12),0)))</f>
        <v>Current</v>
      </c>
      <c r="H215" s="27" t="str">
        <f t="array" ref="H215">IF(K215&lt;0,"Advance",INDEX('Days Ranges'!$D$4:$D$12,MATCH(1,($F215&gt;'Days Ranges'!$A$4:$A$12)*($F215&lt;'Days Ranges'!$B$4:$B$12),0)))</f>
        <v>Current</v>
      </c>
      <c r="I215" s="27" t="str">
        <f>IFERROR(IF(IFERROR(REPLACE(O215,FIND("ОПТ ",O215,1),4,""),O215)=0,VLOOKUP(MID(Q215,FIND(" ",Q215,1)+1,3),Brands!$B$2:$C$24,2,0),IFERROR(REPLACE(O215,FIND("ОПТ ",O215,1),4,""),O215)),"Check PLEASE")</f>
        <v>Dr.Martens</v>
      </c>
      <c r="J215" s="27" t="str">
        <f>VLOOKUP(I215,Brands!$E$2:$F$21,2,0)</f>
        <v>Dr.Martens</v>
      </c>
      <c r="K215" s="23">
        <f t="shared" si="22"/>
        <v>2341584</v>
      </c>
      <c r="L215" s="208" t="s">
        <v>1724</v>
      </c>
      <c r="M215" s="205" t="s">
        <v>298</v>
      </c>
      <c r="N215" s="208" t="s">
        <v>1725</v>
      </c>
      <c r="O215" s="205" t="s">
        <v>102</v>
      </c>
      <c r="P215" s="205" t="s">
        <v>28</v>
      </c>
      <c r="Q215" s="205" t="s">
        <v>1576</v>
      </c>
      <c r="R215" s="87" t="s">
        <v>722</v>
      </c>
      <c r="S215" s="84"/>
      <c r="T215" s="84"/>
      <c r="U215" s="84"/>
      <c r="V215" s="84"/>
      <c r="W215" s="4" t="str">
        <f t="shared" si="23"/>
        <v>Positive</v>
      </c>
      <c r="X215" s="206">
        <v>2341584</v>
      </c>
    </row>
    <row r="216" spans="1:24" ht="12" x14ac:dyDescent="0.2">
      <c r="A216" s="10" t="str">
        <f t="shared" si="19"/>
        <v>Реализация товаров и услуг</v>
      </c>
      <c r="B216" s="13">
        <f t="array" ref="B216">IFERROR(INDEX(CreditDAY[Credit Days Nominal],MATCH(M216&amp;Q216&amp;I216,CreditDAY[Customer]&amp;CreditDAY[Договор.Наименование]&amp;CreditDAY[Brand Temp],0)),0)</f>
        <v>95</v>
      </c>
      <c r="C216" s="10"/>
      <c r="D216" s="165">
        <f t="shared" si="20"/>
        <v>44449</v>
      </c>
      <c r="E216" s="16">
        <f t="shared" si="18"/>
        <v>44544.502337962964</v>
      </c>
      <c r="F216" s="23">
        <f t="shared" si="21"/>
        <v>-91.502337962963793</v>
      </c>
      <c r="G216" s="27" t="str">
        <f t="array" ref="G216">IF(K216&lt;0,"Advance",INDEX('Days Ranges'!$C$4:$C$12,MATCH(1,($F216&gt;='Days Ranges'!$A$4:$A$12)*($F216&lt;'Days Ranges'!$B$4:$B$12),0)))</f>
        <v>Current</v>
      </c>
      <c r="H216" s="27" t="str">
        <f t="array" ref="H216">IF(K216&lt;0,"Advance",INDEX('Days Ranges'!$D$4:$D$12,MATCH(1,($F216&gt;'Days Ranges'!$A$4:$A$12)*($F216&lt;'Days Ranges'!$B$4:$B$12),0)))</f>
        <v>Current</v>
      </c>
      <c r="I216" s="27" t="str">
        <f>IFERROR(IF(IFERROR(REPLACE(O216,FIND("ОПТ ",O216,1),4,""),O216)=0,VLOOKUP(MID(Q216,FIND(" ",Q216,1)+1,3),Brands!$B$2:$C$24,2,0),IFERROR(REPLACE(O216,FIND("ОПТ ",O216,1),4,""),O216)),"Check PLEASE")</f>
        <v>Dr.Martens</v>
      </c>
      <c r="J216" s="27" t="str">
        <f>VLOOKUP(I216,Brands!$E$2:$F$21,2,0)</f>
        <v>Dr.Martens</v>
      </c>
      <c r="K216" s="23">
        <f t="shared" si="22"/>
        <v>935550</v>
      </c>
      <c r="L216" s="208" t="s">
        <v>1726</v>
      </c>
      <c r="M216" s="205" t="s">
        <v>285</v>
      </c>
      <c r="N216" s="208" t="s">
        <v>1727</v>
      </c>
      <c r="O216" s="205" t="s">
        <v>102</v>
      </c>
      <c r="P216" s="205" t="s">
        <v>28</v>
      </c>
      <c r="Q216" s="205" t="s">
        <v>288</v>
      </c>
      <c r="R216" s="87" t="s">
        <v>61</v>
      </c>
      <c r="S216" s="84"/>
      <c r="T216" s="84"/>
      <c r="U216" s="84"/>
      <c r="V216" s="84"/>
      <c r="W216" s="4" t="str">
        <f t="shared" si="23"/>
        <v>Positive</v>
      </c>
      <c r="X216" s="206">
        <v>935550</v>
      </c>
    </row>
    <row r="217" spans="1:24" ht="12" x14ac:dyDescent="0.2">
      <c r="A217" s="10" t="str">
        <f t="shared" si="19"/>
        <v>Реализация товаров и услуг</v>
      </c>
      <c r="B217" s="13">
        <f t="array" ref="B217">IFERROR(INDEX(CreditDAY[Credit Days Nominal],MATCH(M217&amp;Q217&amp;I217,CreditDAY[Customer]&amp;CreditDAY[Договор.Наименование]&amp;CreditDAY[Brand Temp],0)),0)</f>
        <v>65</v>
      </c>
      <c r="C217" s="10"/>
      <c r="D217" s="165">
        <f t="shared" si="20"/>
        <v>44449</v>
      </c>
      <c r="E217" s="16">
        <f t="shared" si="18"/>
        <v>44514.506076388891</v>
      </c>
      <c r="F217" s="23">
        <f t="shared" si="21"/>
        <v>-61.506076388890506</v>
      </c>
      <c r="G217" s="27" t="str">
        <f t="array" ref="G217">IF(K217&lt;0,"Advance",INDEX('Days Ranges'!$C$4:$C$12,MATCH(1,($F217&gt;='Days Ranges'!$A$4:$A$12)*($F217&lt;'Days Ranges'!$B$4:$B$12),0)))</f>
        <v>Current</v>
      </c>
      <c r="H217" s="27" t="str">
        <f t="array" ref="H217">IF(K217&lt;0,"Advance",INDEX('Days Ranges'!$D$4:$D$12,MATCH(1,($F217&gt;'Days Ranges'!$A$4:$A$12)*($F217&lt;'Days Ranges'!$B$4:$B$12),0)))</f>
        <v>Current</v>
      </c>
      <c r="I217" s="27" t="str">
        <f>IFERROR(IF(IFERROR(REPLACE(O217,FIND("ОПТ ",O217,1),4,""),O217)=0,VLOOKUP(MID(Q217,FIND(" ",Q217,1)+1,3),Brands!$B$2:$C$24,2,0),IFERROR(REPLACE(O217,FIND("ОПТ ",O217,1),4,""),O217)),"Check PLEASE")</f>
        <v>Dr.Martens</v>
      </c>
      <c r="J217" s="27" t="str">
        <f>VLOOKUP(I217,Brands!$E$2:$F$21,2,0)</f>
        <v>Dr.Martens</v>
      </c>
      <c r="K217" s="23">
        <f t="shared" si="22"/>
        <v>10493100</v>
      </c>
      <c r="L217" s="208" t="s">
        <v>1728</v>
      </c>
      <c r="M217" s="205" t="s">
        <v>240</v>
      </c>
      <c r="N217" s="208" t="s">
        <v>1729</v>
      </c>
      <c r="O217" s="205" t="s">
        <v>102</v>
      </c>
      <c r="P217" s="205" t="s">
        <v>28</v>
      </c>
      <c r="Q217" s="205" t="s">
        <v>243</v>
      </c>
      <c r="R217" s="87" t="s">
        <v>62</v>
      </c>
      <c r="S217" s="84"/>
      <c r="T217" s="84"/>
      <c r="U217" s="84"/>
      <c r="V217" s="84"/>
      <c r="W217" s="4" t="str">
        <f t="shared" si="23"/>
        <v>Positive</v>
      </c>
      <c r="X217" s="206">
        <v>10493100</v>
      </c>
    </row>
    <row r="218" spans="1:24" ht="12" x14ac:dyDescent="0.2">
      <c r="A218" s="22" t="str">
        <f t="shared" si="19"/>
        <v>Реализация товаров и услуг</v>
      </c>
      <c r="B218" s="13">
        <f t="array" ref="B218">IFERROR(INDEX(CreditDAY[Credit Days Nominal],MATCH(M218&amp;Q218&amp;I218,CreditDAY[Customer]&amp;CreditDAY[Договор.Наименование]&amp;CreditDAY[Brand Temp],0)),0)</f>
        <v>125</v>
      </c>
      <c r="C218" s="10"/>
      <c r="D218" s="165">
        <f t="shared" si="20"/>
        <v>44449</v>
      </c>
      <c r="E218" s="16">
        <f t="shared" si="18"/>
        <v>44574.567418981482</v>
      </c>
      <c r="F218" s="23">
        <f t="shared" si="21"/>
        <v>-121.56741898148175</v>
      </c>
      <c r="G218" s="27" t="str">
        <f t="array" ref="G218">IF(K218&lt;0,"Advance",INDEX('Days Ranges'!$C$4:$C$12,MATCH(1,($F218&gt;='Days Ranges'!$A$4:$A$12)*($F218&lt;'Days Ranges'!$B$4:$B$12),0)))</f>
        <v>Current</v>
      </c>
      <c r="H218" s="27" t="str">
        <f t="array" ref="H218">IF(K218&lt;0,"Advance",INDEX('Days Ranges'!$D$4:$D$12,MATCH(1,($F218&gt;'Days Ranges'!$A$4:$A$12)*($F218&lt;'Days Ranges'!$B$4:$B$12),0)))</f>
        <v>Current</v>
      </c>
      <c r="I218" s="27" t="str">
        <f>IFERROR(IF(IFERROR(REPLACE(O218,FIND("ОПТ ",O218,1),4,""),O218)=0,VLOOKUP(MID(Q218,FIND(" ",Q218,1)+1,3),Brands!$B$2:$C$24,2,0),IFERROR(REPLACE(O218,FIND("ОПТ ",O218,1),4,""),O218)),"Check PLEASE")</f>
        <v>Saucony</v>
      </c>
      <c r="J218" s="27" t="str">
        <f>VLOOKUP(I218,Brands!$E$2:$F$21,2,0)</f>
        <v>Saucony</v>
      </c>
      <c r="K218" s="23">
        <f t="shared" si="22"/>
        <v>2832880</v>
      </c>
      <c r="L218" s="208" t="s">
        <v>1730</v>
      </c>
      <c r="M218" s="205" t="s">
        <v>285</v>
      </c>
      <c r="N218" s="208" t="s">
        <v>1731</v>
      </c>
      <c r="O218" s="205" t="s">
        <v>76</v>
      </c>
      <c r="P218" s="205" t="s">
        <v>28</v>
      </c>
      <c r="Q218" s="205" t="s">
        <v>288</v>
      </c>
      <c r="R218" s="87" t="s">
        <v>38</v>
      </c>
      <c r="S218" s="84"/>
      <c r="T218" s="84"/>
      <c r="U218" s="84"/>
      <c r="V218" s="84"/>
      <c r="W218" s="4" t="str">
        <f t="shared" si="23"/>
        <v>Positive</v>
      </c>
      <c r="X218" s="206">
        <v>2832880</v>
      </c>
    </row>
    <row r="219" spans="1:24" ht="12" x14ac:dyDescent="0.2">
      <c r="A219" s="22" t="str">
        <f t="shared" si="19"/>
        <v>Реализация товаров и услуг</v>
      </c>
      <c r="B219" s="13">
        <f t="array" ref="B219">IFERROR(INDEX(CreditDAY[Credit Days Nominal],MATCH(M219&amp;Q219&amp;I219,CreditDAY[Customer]&amp;CreditDAY[Договор.Наименование]&amp;CreditDAY[Brand Temp],0)),0)</f>
        <v>19</v>
      </c>
      <c r="C219" s="10"/>
      <c r="D219" s="165">
        <f t="shared" si="20"/>
        <v>44452</v>
      </c>
      <c r="E219" s="16">
        <f t="shared" si="18"/>
        <v>44471.475023148145</v>
      </c>
      <c r="F219" s="23">
        <f t="shared" si="21"/>
        <v>-18.475023148144828</v>
      </c>
      <c r="G219" s="27" t="str">
        <f t="array" ref="G219">IF(K219&lt;0,"Advance",INDEX('Days Ranges'!$C$4:$C$12,MATCH(1,($F219&gt;='Days Ranges'!$A$4:$A$12)*($F219&lt;'Days Ranges'!$B$4:$B$12),0)))</f>
        <v>Current</v>
      </c>
      <c r="H219" s="27" t="str">
        <f t="array" ref="H219">IF(K219&lt;0,"Advance",INDEX('Days Ranges'!$D$4:$D$12,MATCH(1,($F219&gt;'Days Ranges'!$A$4:$A$12)*($F219&lt;'Days Ranges'!$B$4:$B$12),0)))</f>
        <v>Current</v>
      </c>
      <c r="I219" s="27" t="str">
        <f>IFERROR(IF(IFERROR(REPLACE(O219,FIND("ОПТ ",O219,1),4,""),O219)=0,VLOOKUP(MID(Q219,FIND(" ",Q219,1)+1,3),Brands!$B$2:$C$24,2,0),IFERROR(REPLACE(O219,FIND("ОПТ ",O219,1),4,""),O219)),"Check PLEASE")</f>
        <v>Converse</v>
      </c>
      <c r="J219" s="27" t="str">
        <f>VLOOKUP(I219,Brands!$E$2:$F$21,2,0)</f>
        <v>Converse</v>
      </c>
      <c r="K219" s="23">
        <f t="shared" si="22"/>
        <v>4091256</v>
      </c>
      <c r="L219" s="208" t="s">
        <v>1732</v>
      </c>
      <c r="M219" s="205" t="s">
        <v>280</v>
      </c>
      <c r="N219" s="208" t="s">
        <v>1733</v>
      </c>
      <c r="O219" s="205" t="s">
        <v>20</v>
      </c>
      <c r="P219" s="205" t="s">
        <v>28</v>
      </c>
      <c r="Q219" s="205" t="s">
        <v>284</v>
      </c>
      <c r="R219" s="87" t="s">
        <v>39</v>
      </c>
      <c r="S219" s="84"/>
      <c r="T219" s="84"/>
      <c r="U219" s="84"/>
      <c r="V219" s="84"/>
      <c r="W219" s="4" t="str">
        <f t="shared" si="23"/>
        <v>Positive</v>
      </c>
      <c r="X219" s="206">
        <v>4091256</v>
      </c>
    </row>
    <row r="220" spans="1:24" ht="12" x14ac:dyDescent="0.2">
      <c r="A220" s="22" t="str">
        <f t="shared" si="19"/>
        <v>Реализация товаров и услуг</v>
      </c>
      <c r="B220" s="13">
        <f t="array" ref="B220">IFERROR(INDEX(CreditDAY[Credit Days Nominal],MATCH(M220&amp;Q220&amp;I220,CreditDAY[Customer]&amp;CreditDAY[Договор.Наименование]&amp;CreditDAY[Brand Temp],0)),0)</f>
        <v>19</v>
      </c>
      <c r="C220" s="10"/>
      <c r="D220" s="165">
        <f t="shared" si="20"/>
        <v>44452</v>
      </c>
      <c r="E220" s="16">
        <f t="shared" si="18"/>
        <v>44471.479270833333</v>
      </c>
      <c r="F220" s="23">
        <f t="shared" si="21"/>
        <v>-18.47927083333343</v>
      </c>
      <c r="G220" s="27" t="str">
        <f t="array" ref="G220">IF(K220&lt;0,"Advance",INDEX('Days Ranges'!$C$4:$C$12,MATCH(1,($F220&gt;='Days Ranges'!$A$4:$A$12)*($F220&lt;'Days Ranges'!$B$4:$B$12),0)))</f>
        <v>Current</v>
      </c>
      <c r="H220" s="27" t="str">
        <f t="array" ref="H220">IF(K220&lt;0,"Advance",INDEX('Days Ranges'!$D$4:$D$12,MATCH(1,($F220&gt;'Days Ranges'!$A$4:$A$12)*($F220&lt;'Days Ranges'!$B$4:$B$12),0)))</f>
        <v>Current</v>
      </c>
      <c r="I220" s="27" t="str">
        <f>IFERROR(IF(IFERROR(REPLACE(O220,FIND("ОПТ ",O220,1),4,""),O220)=0,VLOOKUP(MID(Q220,FIND(" ",Q220,1)+1,3),Brands!$B$2:$C$24,2,0),IFERROR(REPLACE(O220,FIND("ОПТ ",O220,1),4,""),O220)),"Check PLEASE")</f>
        <v>Dr.Martens</v>
      </c>
      <c r="J220" s="27" t="str">
        <f>VLOOKUP(I220,Brands!$E$2:$F$21,2,0)</f>
        <v>Dr.Martens</v>
      </c>
      <c r="K220" s="23">
        <f t="shared" si="22"/>
        <v>7031427</v>
      </c>
      <c r="L220" s="208" t="s">
        <v>1734</v>
      </c>
      <c r="M220" s="205" t="s">
        <v>280</v>
      </c>
      <c r="N220" s="208" t="s">
        <v>1735</v>
      </c>
      <c r="O220" s="205" t="s">
        <v>102</v>
      </c>
      <c r="P220" s="205" t="s">
        <v>28</v>
      </c>
      <c r="Q220" s="205" t="s">
        <v>284</v>
      </c>
      <c r="R220" s="87" t="s">
        <v>723</v>
      </c>
      <c r="S220" s="84"/>
      <c r="T220" s="84"/>
      <c r="U220" s="84"/>
      <c r="V220" s="84"/>
      <c r="W220" s="4" t="str">
        <f t="shared" si="23"/>
        <v>Positive</v>
      </c>
      <c r="X220" s="206">
        <v>7031427</v>
      </c>
    </row>
    <row r="221" spans="1:24" ht="12" x14ac:dyDescent="0.2">
      <c r="A221" s="22" t="str">
        <f t="shared" si="19"/>
        <v>Платежное поручение входящее</v>
      </c>
      <c r="B221" s="13">
        <f t="array" ref="B221">IFERROR(INDEX(CreditDAY[Credit Days Nominal],MATCH(M221&amp;Q221&amp;I221,CreditDAY[Customer]&amp;CreditDAY[Договор.Наименование]&amp;CreditDAY[Brand Temp],0)),0)</f>
        <v>0</v>
      </c>
      <c r="C221" s="10"/>
      <c r="D221" s="165">
        <f t="shared" si="20"/>
        <v>44452</v>
      </c>
      <c r="E221" s="16">
        <f t="shared" si="18"/>
        <v>44452.708333333336</v>
      </c>
      <c r="F221" s="23">
        <f t="shared" si="21"/>
        <v>0.29166666666424135</v>
      </c>
      <c r="G221" s="27" t="str">
        <f t="array" ref="G221">IF(K221&lt;0,"Advance",INDEX('Days Ranges'!$C$4:$C$12,MATCH(1,($F221&gt;='Days Ranges'!$A$4:$A$12)*($F221&lt;'Days Ranges'!$B$4:$B$12),0)))</f>
        <v>Advance</v>
      </c>
      <c r="H221" s="27" t="str">
        <f t="array" ref="H221">IF(K221&lt;0,"Advance",INDEX('Days Ranges'!$D$4:$D$12,MATCH(1,($F221&gt;'Days Ranges'!$A$4:$A$12)*($F221&lt;'Days Ranges'!$B$4:$B$12),0)))</f>
        <v>Advance</v>
      </c>
      <c r="I221" s="27" t="str">
        <f>IFERROR(IF(IFERROR(REPLACE(O221,FIND("ОПТ ",O221,1),4,""),O221)=0,VLOOKUP(MID(Q221,FIND(" ",Q221,1)+1,3),Brands!$B$2:$C$24,2,0),IFERROR(REPLACE(O221,FIND("ОПТ ",O221,1),4,""),O221)),"Check PLEASE")</f>
        <v>Dr.Martens</v>
      </c>
      <c r="J221" s="27" t="str">
        <f>VLOOKUP(I221,Brands!$E$2:$F$21,2,0)</f>
        <v>Dr.Martens</v>
      </c>
      <c r="K221" s="23">
        <f t="shared" si="22"/>
        <v>-375100</v>
      </c>
      <c r="L221" s="208" t="s">
        <v>1736</v>
      </c>
      <c r="M221" s="205" t="s">
        <v>258</v>
      </c>
      <c r="N221" s="208" t="s">
        <v>1737</v>
      </c>
      <c r="O221" s="205" t="s">
        <v>102</v>
      </c>
      <c r="P221" s="205" t="s">
        <v>36</v>
      </c>
      <c r="Q221" s="205" t="s">
        <v>1738</v>
      </c>
      <c r="R221" s="87" t="s">
        <v>64</v>
      </c>
      <c r="S221" s="84"/>
      <c r="T221" s="84"/>
      <c r="U221" s="84"/>
      <c r="V221" s="84"/>
      <c r="W221" s="4" t="str">
        <f t="shared" si="23"/>
        <v>Negative</v>
      </c>
      <c r="X221" s="206">
        <v>-375100</v>
      </c>
    </row>
    <row r="222" spans="1:24" ht="12" x14ac:dyDescent="0.2">
      <c r="A222" s="22" t="str">
        <f t="shared" si="19"/>
        <v>Платежное поручение входящее</v>
      </c>
      <c r="B222" s="13">
        <f t="array" ref="B222">IFERROR(INDEX(CreditDAY[Credit Days Nominal],MATCH(M222&amp;Q222&amp;I222,CreditDAY[Customer]&amp;CreditDAY[Договор.Наименование]&amp;CreditDAY[Brand Temp],0)),0)</f>
        <v>45</v>
      </c>
      <c r="C222" s="10"/>
      <c r="D222" s="165">
        <f t="shared" si="20"/>
        <v>44452</v>
      </c>
      <c r="E222" s="16">
        <f t="shared" si="18"/>
        <v>44497.708333333336</v>
      </c>
      <c r="F222" s="23">
        <f t="shared" si="21"/>
        <v>-44.708333333335759</v>
      </c>
      <c r="G222" s="27" t="str">
        <f t="array" ref="G222">IF(K222&lt;0,"Advance",INDEX('Days Ranges'!$C$4:$C$12,MATCH(1,($F222&gt;='Days Ranges'!$A$4:$A$12)*($F222&lt;'Days Ranges'!$B$4:$B$12),0)))</f>
        <v>Advance</v>
      </c>
      <c r="H222" s="27" t="str">
        <f t="array" ref="H222">IF(K222&lt;0,"Advance",INDEX('Days Ranges'!$D$4:$D$12,MATCH(1,($F222&gt;'Days Ranges'!$A$4:$A$12)*($F222&lt;'Days Ranges'!$B$4:$B$12),0)))</f>
        <v>Advance</v>
      </c>
      <c r="I222" s="27" t="str">
        <f>IFERROR(IF(IFERROR(REPLACE(O222,FIND("ОПТ ",O222,1),4,""),O222)=0,VLOOKUP(MID(Q222,FIND(" ",Q222,1)+1,3),Brands!$B$2:$C$24,2,0),IFERROR(REPLACE(O222,FIND("ОПТ ",O222,1),4,""),O222)),"Check PLEASE")</f>
        <v>UGG</v>
      </c>
      <c r="J222" s="27" t="str">
        <f>VLOOKUP(I222,Brands!$E$2:$F$21,2,0)</f>
        <v>UGG</v>
      </c>
      <c r="K222" s="23">
        <f t="shared" si="22"/>
        <v>-53</v>
      </c>
      <c r="L222" s="208" t="s">
        <v>1739</v>
      </c>
      <c r="M222" s="205" t="s">
        <v>145</v>
      </c>
      <c r="N222" s="208" t="s">
        <v>1737</v>
      </c>
      <c r="O222" s="205" t="s">
        <v>56</v>
      </c>
      <c r="P222" s="205" t="s">
        <v>36</v>
      </c>
      <c r="Q222" s="205" t="s">
        <v>147</v>
      </c>
      <c r="R222" s="87" t="s">
        <v>65</v>
      </c>
      <c r="S222" s="84"/>
      <c r="T222" s="84"/>
      <c r="U222" s="84"/>
      <c r="V222" s="84"/>
      <c r="W222" s="4" t="str">
        <f t="shared" si="23"/>
        <v>Negative</v>
      </c>
      <c r="X222" s="206">
        <v>-53</v>
      </c>
    </row>
    <row r="223" spans="1:24" ht="12" x14ac:dyDescent="0.2">
      <c r="A223" s="22" t="str">
        <f t="shared" si="19"/>
        <v>Платежное поручение входящее</v>
      </c>
      <c r="B223" s="13">
        <f t="array" ref="B223">IFERROR(INDEX(CreditDAY[Credit Days Nominal],MATCH(M223&amp;Q223&amp;I223,CreditDAY[Customer]&amp;CreditDAY[Договор.Наименование]&amp;CreditDAY[Brand Temp],0)),0)</f>
        <v>0</v>
      </c>
      <c r="C223" s="10"/>
      <c r="D223" s="165">
        <f t="shared" si="20"/>
        <v>44452</v>
      </c>
      <c r="E223" s="16">
        <f t="shared" si="18"/>
        <v>44452.708333333336</v>
      </c>
      <c r="F223" s="23">
        <f t="shared" si="21"/>
        <v>0.29166666666424135</v>
      </c>
      <c r="G223" s="27" t="str">
        <f t="array" ref="G223">IF(K223&lt;0,"Advance",INDEX('Days Ranges'!$C$4:$C$12,MATCH(1,($F223&gt;='Days Ranges'!$A$4:$A$12)*($F223&lt;'Days Ranges'!$B$4:$B$12),0)))</f>
        <v>Advance</v>
      </c>
      <c r="H223" s="27" t="str">
        <f t="array" ref="H223">IF(K223&lt;0,"Advance",INDEX('Days Ranges'!$D$4:$D$12,MATCH(1,($F223&gt;'Days Ranges'!$A$4:$A$12)*($F223&lt;'Days Ranges'!$B$4:$B$12),0)))</f>
        <v>Advance</v>
      </c>
      <c r="I223" s="27" t="str">
        <f>IFERROR(IF(IFERROR(REPLACE(O223,FIND("ОПТ ",O223,1),4,""),O223)=0,VLOOKUP(MID(Q223,FIND(" ",Q223,1)+1,3),Brands!$B$2:$C$24,2,0),IFERROR(REPLACE(O223,FIND("ОПТ ",O223,1),4,""),O223)),"Check PLEASE")</f>
        <v>Сток Converse</v>
      </c>
      <c r="J223" s="27" t="str">
        <f>VLOOKUP(I223,Brands!$E$2:$F$21,2,0)</f>
        <v>Converse</v>
      </c>
      <c r="K223" s="23">
        <f t="shared" si="22"/>
        <v>-90550</v>
      </c>
      <c r="L223" s="208" t="s">
        <v>1740</v>
      </c>
      <c r="M223" s="205" t="s">
        <v>106</v>
      </c>
      <c r="N223" s="208" t="s">
        <v>1737</v>
      </c>
      <c r="O223" s="205" t="s">
        <v>52</v>
      </c>
      <c r="P223" s="205" t="s">
        <v>36</v>
      </c>
      <c r="Q223" s="205" t="s">
        <v>108</v>
      </c>
      <c r="R223" s="87" t="s">
        <v>1393</v>
      </c>
      <c r="S223" s="84"/>
      <c r="T223" s="84"/>
      <c r="U223" s="84"/>
      <c r="V223" s="84"/>
      <c r="W223" s="4" t="str">
        <f t="shared" si="23"/>
        <v>Negative</v>
      </c>
      <c r="X223" s="206">
        <v>-90550</v>
      </c>
    </row>
    <row r="224" spans="1:24" ht="12" x14ac:dyDescent="0.2">
      <c r="A224" s="22" t="str">
        <f t="shared" si="19"/>
        <v>Платежное поручение входящее</v>
      </c>
      <c r="B224" s="13">
        <f t="array" ref="B224">IFERROR(INDEX(CreditDAY[Credit Days Nominal],MATCH(M224&amp;Q224&amp;I224,CreditDAY[Customer]&amp;CreditDAY[Договор.Наименование]&amp;CreditDAY[Brand Temp],0)),0)</f>
        <v>45</v>
      </c>
      <c r="C224" s="10"/>
      <c r="D224" s="165">
        <f t="shared" si="20"/>
        <v>44452</v>
      </c>
      <c r="E224" s="16">
        <f t="shared" si="18"/>
        <v>44497.708333333336</v>
      </c>
      <c r="F224" s="23">
        <f t="shared" si="21"/>
        <v>-44.708333333335759</v>
      </c>
      <c r="G224" s="27" t="str">
        <f t="array" ref="G224">IF(K224&lt;0,"Advance",INDEX('Days Ranges'!$C$4:$C$12,MATCH(1,($F224&gt;='Days Ranges'!$A$4:$A$12)*($F224&lt;'Days Ranges'!$B$4:$B$12),0)))</f>
        <v>Advance</v>
      </c>
      <c r="H224" s="27" t="str">
        <f t="array" ref="H224">IF(K224&lt;0,"Advance",INDEX('Days Ranges'!$D$4:$D$12,MATCH(1,($F224&gt;'Days Ranges'!$A$4:$A$12)*($F224&lt;'Days Ranges'!$B$4:$B$12),0)))</f>
        <v>Advance</v>
      </c>
      <c r="I224" s="27" t="str">
        <f>IFERROR(IF(IFERROR(REPLACE(O224,FIND("ОПТ ",O224,1),4,""),O224)=0,VLOOKUP(MID(Q224,FIND(" ",Q224,1)+1,3),Brands!$B$2:$C$24,2,0),IFERROR(REPLACE(O224,FIND("ОПТ ",O224,1),4,""),O224)),"Check PLEASE")</f>
        <v>Dr.Martens</v>
      </c>
      <c r="J224" s="27" t="str">
        <f>VLOOKUP(I224,Brands!$E$2:$F$21,2,0)</f>
        <v>Dr.Martens</v>
      </c>
      <c r="K224" s="23">
        <f t="shared" si="22"/>
        <v>-30096</v>
      </c>
      <c r="L224" s="208" t="s">
        <v>1741</v>
      </c>
      <c r="M224" s="205" t="s">
        <v>298</v>
      </c>
      <c r="N224" s="208" t="s">
        <v>1737</v>
      </c>
      <c r="O224" s="205" t="s">
        <v>102</v>
      </c>
      <c r="P224" s="205" t="s">
        <v>36</v>
      </c>
      <c r="Q224" s="205" t="s">
        <v>1576</v>
      </c>
      <c r="R224" s="87" t="s">
        <v>42</v>
      </c>
      <c r="S224" s="84"/>
      <c r="T224" s="84"/>
      <c r="U224" s="84"/>
      <c r="V224" s="84"/>
      <c r="W224" s="4" t="str">
        <f t="shared" si="23"/>
        <v>Negative</v>
      </c>
      <c r="X224" s="206">
        <v>-30096</v>
      </c>
    </row>
    <row r="225" spans="1:24" ht="12" x14ac:dyDescent="0.2">
      <c r="A225" s="10" t="str">
        <f t="shared" si="19"/>
        <v>Платежное поручение входящее</v>
      </c>
      <c r="B225" s="13">
        <f t="array" ref="B225">IFERROR(INDEX(CreditDAY[Credit Days Nominal],MATCH(M225&amp;Q225&amp;I225,CreditDAY[Customer]&amp;CreditDAY[Договор.Наименование]&amp;CreditDAY[Brand Temp],0)),0)</f>
        <v>38</v>
      </c>
      <c r="C225" s="10"/>
      <c r="D225" s="165">
        <f t="shared" si="20"/>
        <v>44452</v>
      </c>
      <c r="E225" s="16">
        <f t="shared" si="18"/>
        <v>44490.999988425923</v>
      </c>
      <c r="F225" s="23">
        <f t="shared" si="21"/>
        <v>-37.99998842592322</v>
      </c>
      <c r="G225" s="27" t="str">
        <f t="array" ref="G225">IF(K225&lt;0,"Advance",INDEX('Days Ranges'!$C$4:$C$12,MATCH(1,($F225&gt;='Days Ranges'!$A$4:$A$12)*($F225&lt;'Days Ranges'!$B$4:$B$12),0)))</f>
        <v>Advance</v>
      </c>
      <c r="H225" s="27" t="str">
        <f t="array" ref="H225">IF(K225&lt;0,"Advance",INDEX('Days Ranges'!$D$4:$D$12,MATCH(1,($F225&gt;'Days Ranges'!$A$4:$A$12)*($F225&lt;'Days Ranges'!$B$4:$B$12),0)))</f>
        <v>Advance</v>
      </c>
      <c r="I225" s="27" t="str">
        <f>IFERROR(IF(IFERROR(REPLACE(O225,FIND("ОПТ ",O225,1),4,""),O225)=0,VLOOKUP(MID(Q225,FIND(" ",Q225,1)+1,3),Brands!$B$2:$C$24,2,0),IFERROR(REPLACE(O225,FIND("ОПТ ",O225,1),4,""),O225)),"Check PLEASE")</f>
        <v>Hush Puppies</v>
      </c>
      <c r="J225" s="27" t="str">
        <f>VLOOKUP(I225,Brands!$E$2:$F$21,2,0)</f>
        <v>Hush Puppies</v>
      </c>
      <c r="K225" s="23">
        <f t="shared" si="22"/>
        <v>-8839</v>
      </c>
      <c r="L225" s="208" t="s">
        <v>1742</v>
      </c>
      <c r="M225" s="205" t="s">
        <v>69</v>
      </c>
      <c r="N225" s="208" t="s">
        <v>1743</v>
      </c>
      <c r="O225" s="205" t="s">
        <v>1358</v>
      </c>
      <c r="P225" s="205" t="s">
        <v>36</v>
      </c>
      <c r="Q225" s="205" t="s">
        <v>75</v>
      </c>
      <c r="R225" s="87" t="s">
        <v>724</v>
      </c>
      <c r="S225" s="84"/>
      <c r="T225" s="84"/>
      <c r="U225" s="84"/>
      <c r="V225" s="84"/>
      <c r="W225" s="4" t="str">
        <f t="shared" si="23"/>
        <v>Negative</v>
      </c>
      <c r="X225" s="206">
        <v>-8839</v>
      </c>
    </row>
    <row r="226" spans="1:24" ht="12" x14ac:dyDescent="0.2">
      <c r="A226" s="10" t="str">
        <f t="shared" si="19"/>
        <v>Платежное поручение входящее</v>
      </c>
      <c r="B226" s="13">
        <f t="array" ref="B226">IFERROR(INDEX(CreditDAY[Credit Days Nominal],MATCH(M226&amp;Q226&amp;I226,CreditDAY[Customer]&amp;CreditDAY[Договор.Наименование]&amp;CreditDAY[Brand Temp],0)),0)</f>
        <v>35</v>
      </c>
      <c r="C226" s="10"/>
      <c r="D226" s="165">
        <f t="shared" si="20"/>
        <v>44453</v>
      </c>
      <c r="E226" s="16">
        <f t="shared" si="18"/>
        <v>44488.708333333336</v>
      </c>
      <c r="F226" s="23">
        <f t="shared" si="21"/>
        <v>-35.708333333335759</v>
      </c>
      <c r="G226" s="27" t="str">
        <f t="array" ref="G226">IF(K226&lt;0,"Advance",INDEX('Days Ranges'!$C$4:$C$12,MATCH(1,($F226&gt;='Days Ranges'!$A$4:$A$12)*($F226&lt;'Days Ranges'!$B$4:$B$12),0)))</f>
        <v>Advance</v>
      </c>
      <c r="H226" s="27" t="str">
        <f t="array" ref="H226">IF(K226&lt;0,"Advance",INDEX('Days Ranges'!$D$4:$D$12,MATCH(1,($F226&gt;'Days Ranges'!$A$4:$A$12)*($F226&lt;'Days Ranges'!$B$4:$B$12),0)))</f>
        <v>Advance</v>
      </c>
      <c r="I226" s="27" t="str">
        <f>IFERROR(IF(IFERROR(REPLACE(O226,FIND("ОПТ ",O226,1),4,""),O226)=0,VLOOKUP(MID(Q226,FIND(" ",Q226,1)+1,3),Brands!$B$2:$C$24,2,0),IFERROR(REPLACE(O226,FIND("ОПТ ",O226,1),4,""),O226)),"Check PLEASE")</f>
        <v>Converse</v>
      </c>
      <c r="J226" s="27" t="str">
        <f>VLOOKUP(I226,Brands!$E$2:$F$21,2,0)</f>
        <v>Converse</v>
      </c>
      <c r="K226" s="23">
        <f t="shared" si="22"/>
        <v>-1252890</v>
      </c>
      <c r="L226" s="208" t="s">
        <v>1744</v>
      </c>
      <c r="M226" s="205" t="s">
        <v>125</v>
      </c>
      <c r="N226" s="208" t="s">
        <v>1745</v>
      </c>
      <c r="O226" s="205" t="s">
        <v>20</v>
      </c>
      <c r="P226" s="205" t="s">
        <v>36</v>
      </c>
      <c r="Q226" s="205" t="s">
        <v>126</v>
      </c>
      <c r="R226" s="87" t="s">
        <v>1393</v>
      </c>
      <c r="S226" s="84"/>
      <c r="T226" s="84"/>
      <c r="U226" s="84"/>
      <c r="V226" s="84"/>
      <c r="W226" s="4" t="str">
        <f t="shared" si="23"/>
        <v>Negative</v>
      </c>
      <c r="X226" s="206">
        <v>-1252890</v>
      </c>
    </row>
    <row r="227" spans="1:24" ht="12" x14ac:dyDescent="0.2">
      <c r="A227" s="10" t="str">
        <f t="shared" si="19"/>
        <v>Платежное поручение входящее</v>
      </c>
      <c r="B227" s="13">
        <f t="array" ref="B227">IFERROR(INDEX(CreditDAY[Credit Days Nominal],MATCH(M227&amp;Q227&amp;I227,CreditDAY[Customer]&amp;CreditDAY[Договор.Наименование]&amp;CreditDAY[Brand Temp],0)),0)</f>
        <v>0</v>
      </c>
      <c r="C227" s="10"/>
      <c r="D227" s="165">
        <f t="shared" si="20"/>
        <v>44453</v>
      </c>
      <c r="E227" s="16">
        <f t="shared" si="18"/>
        <v>44453.708333333336</v>
      </c>
      <c r="F227" s="23">
        <f t="shared" si="21"/>
        <v>-0.70833333333575865</v>
      </c>
      <c r="G227" s="27" t="str">
        <f t="array" ref="G227">IF(K227&lt;0,"Advance",INDEX('Days Ranges'!$C$4:$C$12,MATCH(1,($F227&gt;='Days Ranges'!$A$4:$A$12)*($F227&lt;'Days Ranges'!$B$4:$B$12),0)))</f>
        <v>Advance</v>
      </c>
      <c r="H227" s="27" t="str">
        <f t="array" ref="H227">IF(K227&lt;0,"Advance",INDEX('Days Ranges'!$D$4:$D$12,MATCH(1,($F227&gt;'Days Ranges'!$A$4:$A$12)*($F227&lt;'Days Ranges'!$B$4:$B$12),0)))</f>
        <v>Advance</v>
      </c>
      <c r="I227" s="27" t="str">
        <f>IFERROR(IF(IFERROR(REPLACE(O227,FIND("ОПТ ",O227,1),4,""),O227)=0,VLOOKUP(MID(Q227,FIND(" ",Q227,1)+1,3),Brands!$B$2:$C$24,2,0),IFERROR(REPLACE(O227,FIND("ОПТ ",O227,1),4,""),O227)),"Check PLEASE")</f>
        <v>Converse</v>
      </c>
      <c r="J227" s="27" t="str">
        <f>VLOOKUP(I227,Brands!$E$2:$F$21,2,0)</f>
        <v>Converse</v>
      </c>
      <c r="K227" s="23">
        <f t="shared" si="22"/>
        <v>-229152</v>
      </c>
      <c r="L227" s="208" t="s">
        <v>1746</v>
      </c>
      <c r="M227" s="205" t="s">
        <v>1136</v>
      </c>
      <c r="N227" s="208" t="s">
        <v>1745</v>
      </c>
      <c r="O227" s="205" t="s">
        <v>20</v>
      </c>
      <c r="P227" s="205" t="s">
        <v>36</v>
      </c>
      <c r="Q227" s="205" t="s">
        <v>1747</v>
      </c>
      <c r="R227" s="87" t="s">
        <v>42</v>
      </c>
      <c r="S227" s="84"/>
      <c r="T227" s="84"/>
      <c r="U227" s="84"/>
      <c r="V227" s="84"/>
      <c r="W227" s="4" t="str">
        <f t="shared" si="23"/>
        <v>Negative</v>
      </c>
      <c r="X227" s="206">
        <v>-229152</v>
      </c>
    </row>
    <row r="228" spans="1:24" ht="12" x14ac:dyDescent="0.2">
      <c r="A228" s="10" t="str">
        <f t="shared" si="19"/>
        <v>Платежное поручение входящее</v>
      </c>
      <c r="B228" s="13">
        <f t="array" ref="B228">IFERROR(INDEX(CreditDAY[Credit Days Nominal],MATCH(M228&amp;Q228&amp;I228,CreditDAY[Customer]&amp;CreditDAY[Договор.Наименование]&amp;CreditDAY[Brand Temp],0)),0)</f>
        <v>0</v>
      </c>
      <c r="C228" s="10"/>
      <c r="D228" s="165">
        <f t="shared" si="20"/>
        <v>44453</v>
      </c>
      <c r="E228" s="16">
        <f t="shared" si="18"/>
        <v>44453.708333333336</v>
      </c>
      <c r="F228" s="23">
        <f t="shared" si="21"/>
        <v>-0.70833333333575865</v>
      </c>
      <c r="G228" s="27" t="str">
        <f t="array" ref="G228">IF(K228&lt;0,"Advance",INDEX('Days Ranges'!$C$4:$C$12,MATCH(1,($F228&gt;='Days Ranges'!$A$4:$A$12)*($F228&lt;'Days Ranges'!$B$4:$B$12),0)))</f>
        <v>Advance</v>
      </c>
      <c r="H228" s="27" t="str">
        <f t="array" ref="H228">IF(K228&lt;0,"Advance",INDEX('Days Ranges'!$D$4:$D$12,MATCH(1,($F228&gt;'Days Ranges'!$A$4:$A$12)*($F228&lt;'Days Ranges'!$B$4:$B$12),0)))</f>
        <v>Advance</v>
      </c>
      <c r="I228" s="27" t="str">
        <f>IFERROR(IF(IFERROR(REPLACE(O228,FIND("ОПТ ",O228,1),4,""),O228)=0,VLOOKUP(MID(Q228,FIND(" ",Q228,1)+1,3),Brands!$B$2:$C$24,2,0),IFERROR(REPLACE(O228,FIND("ОПТ ",O228,1),4,""),O228)),"Check PLEASE")</f>
        <v>Converse</v>
      </c>
      <c r="J228" s="27" t="str">
        <f>VLOOKUP(I228,Brands!$E$2:$F$21,2,0)</f>
        <v>Converse</v>
      </c>
      <c r="K228" s="23">
        <f t="shared" si="22"/>
        <v>-112625</v>
      </c>
      <c r="L228" s="208" t="s">
        <v>1748</v>
      </c>
      <c r="M228" s="205" t="s">
        <v>328</v>
      </c>
      <c r="N228" s="208" t="s">
        <v>1745</v>
      </c>
      <c r="O228" s="205" t="s">
        <v>20</v>
      </c>
      <c r="P228" s="205" t="s">
        <v>36</v>
      </c>
      <c r="Q228" s="205" t="s">
        <v>906</v>
      </c>
      <c r="R228" s="87" t="s">
        <v>38</v>
      </c>
      <c r="S228" s="84"/>
      <c r="T228" s="84"/>
      <c r="U228" s="84"/>
      <c r="V228" s="84"/>
      <c r="W228" s="4" t="str">
        <f t="shared" si="23"/>
        <v>Negative</v>
      </c>
      <c r="X228" s="206">
        <v>-112625</v>
      </c>
    </row>
    <row r="229" spans="1:24" ht="12" x14ac:dyDescent="0.2">
      <c r="A229" s="10" t="str">
        <f t="shared" si="19"/>
        <v>Платежное поручение входящее</v>
      </c>
      <c r="B229" s="13">
        <f t="array" ref="B229">IFERROR(INDEX(CreditDAY[Credit Days Nominal],MATCH(M229&amp;Q229&amp;I229,CreditDAY[Customer]&amp;CreditDAY[Договор.Наименование]&amp;CreditDAY[Brand Temp],0)),0)</f>
        <v>0</v>
      </c>
      <c r="C229" s="10"/>
      <c r="D229" s="165">
        <f t="shared" si="20"/>
        <v>44453</v>
      </c>
      <c r="E229" s="16">
        <f t="shared" si="18"/>
        <v>44453.708333333336</v>
      </c>
      <c r="F229" s="23">
        <f t="shared" si="21"/>
        <v>-0.70833333333575865</v>
      </c>
      <c r="G229" s="27" t="str">
        <f t="array" ref="G229">IF(K229&lt;0,"Advance",INDEX('Days Ranges'!$C$4:$C$12,MATCH(1,($F229&gt;='Days Ranges'!$A$4:$A$12)*($F229&lt;'Days Ranges'!$B$4:$B$12),0)))</f>
        <v>Advance</v>
      </c>
      <c r="H229" s="27" t="str">
        <f t="array" ref="H229">IF(K229&lt;0,"Advance",INDEX('Days Ranges'!$D$4:$D$12,MATCH(1,($F229&gt;'Days Ranges'!$A$4:$A$12)*($F229&lt;'Days Ranges'!$B$4:$B$12),0)))</f>
        <v>Advance</v>
      </c>
      <c r="I229" s="27" t="str">
        <f>IFERROR(IF(IFERROR(REPLACE(O229,FIND("ОПТ ",O229,1),4,""),O229)=0,VLOOKUP(MID(Q229,FIND(" ",Q229,1)+1,3),Brands!$B$2:$C$24,2,0),IFERROR(REPLACE(O229,FIND("ОПТ ",O229,1),4,""),O229)),"Check PLEASE")</f>
        <v>Сток Converse</v>
      </c>
      <c r="J229" s="27" t="str">
        <f>VLOOKUP(I229,Brands!$E$2:$F$21,2,0)</f>
        <v>Converse</v>
      </c>
      <c r="K229" s="23">
        <f t="shared" si="22"/>
        <v>-58194</v>
      </c>
      <c r="L229" s="208" t="s">
        <v>1749</v>
      </c>
      <c r="M229" s="205" t="s">
        <v>328</v>
      </c>
      <c r="N229" s="208" t="s">
        <v>1745</v>
      </c>
      <c r="O229" s="205" t="s">
        <v>52</v>
      </c>
      <c r="P229" s="205" t="s">
        <v>36</v>
      </c>
      <c r="Q229" s="205" t="s">
        <v>906</v>
      </c>
      <c r="R229" s="87" t="s">
        <v>724</v>
      </c>
      <c r="S229" s="84"/>
      <c r="T229" s="84"/>
      <c r="U229" s="84"/>
      <c r="V229" s="84"/>
      <c r="W229" s="4" t="str">
        <f t="shared" si="23"/>
        <v>Negative</v>
      </c>
      <c r="X229" s="206">
        <v>-58194</v>
      </c>
    </row>
    <row r="230" spans="1:24" ht="12" x14ac:dyDescent="0.2">
      <c r="A230" s="10" t="str">
        <f t="shared" si="19"/>
        <v>Deposit</v>
      </c>
      <c r="B230" s="13">
        <f t="array" ref="B230">IFERROR(INDEX(CreditDAY[Credit Days Nominal],MATCH(M230&amp;Q230&amp;I230,CreditDAY[Customer]&amp;CreditDAY[Договор.Наименование]&amp;CreditDAY[Brand Temp],0)),0)</f>
        <v>0</v>
      </c>
      <c r="C230" s="10"/>
      <c r="D230" s="165">
        <f t="shared" si="20"/>
        <v>0</v>
      </c>
      <c r="E230" s="16">
        <f t="shared" si="18"/>
        <v>0</v>
      </c>
      <c r="F230" s="23">
        <f t="shared" si="21"/>
        <v>44453</v>
      </c>
      <c r="G230" s="27" t="str">
        <f t="array" ref="G230">IF(K230&lt;0,"Advance",INDEX('Days Ranges'!$C$4:$C$12,MATCH(1,($F230&gt;='Days Ranges'!$A$4:$A$12)*($F230&lt;'Days Ranges'!$B$4:$B$12),0)))</f>
        <v>Advance</v>
      </c>
      <c r="H230" s="27" t="str">
        <f t="array" ref="H230">IF(K230&lt;0,"Advance",INDEX('Days Ranges'!$D$4:$D$12,MATCH(1,($F230&gt;'Days Ranges'!$A$4:$A$12)*($F230&lt;'Days Ranges'!$B$4:$B$12),0)))</f>
        <v>Advance</v>
      </c>
      <c r="I230" s="27" t="str">
        <f>IFERROR(IF(IFERROR(REPLACE(O230,FIND("ОПТ ",O230,1),4,""),O230)=0,VLOOKUP(MID(Q230,FIND(" ",Q230,1)+1,3),Brands!$B$2:$C$24,2,0),IFERROR(REPLACE(O230,FIND("ОПТ ",O230,1),4,""),O230)),"Check PLEASE")</f>
        <v>Converse</v>
      </c>
      <c r="J230" s="27" t="str">
        <f>VLOOKUP(I230,Brands!$E$2:$F$21,2,0)</f>
        <v>Converse</v>
      </c>
      <c r="K230" s="23">
        <f t="shared" si="22"/>
        <v>-40070</v>
      </c>
      <c r="L230" s="208"/>
      <c r="M230" s="205" t="s">
        <v>41</v>
      </c>
      <c r="N230" s="208"/>
      <c r="O230" s="205"/>
      <c r="P230" s="205"/>
      <c r="Q230" s="205" t="s">
        <v>42</v>
      </c>
      <c r="R230" s="87" t="s">
        <v>64</v>
      </c>
      <c r="S230" s="84"/>
      <c r="T230" s="84"/>
      <c r="U230" s="84"/>
      <c r="V230" s="84"/>
      <c r="W230" s="4" t="str">
        <f t="shared" si="23"/>
        <v>Negative</v>
      </c>
      <c r="X230" s="206">
        <v>-40070</v>
      </c>
    </row>
    <row r="231" spans="1:24" ht="12" x14ac:dyDescent="0.2">
      <c r="A231" s="22" t="str">
        <f t="shared" si="19"/>
        <v>Deposit</v>
      </c>
      <c r="B231" s="13">
        <f t="array" ref="B231">IFERROR(INDEX(CreditDAY[Credit Days Nominal],MATCH(M231&amp;Q231&amp;I231,CreditDAY[Customer]&amp;CreditDAY[Договор.Наименование]&amp;CreditDAY[Brand Temp],0)),0)</f>
        <v>0</v>
      </c>
      <c r="C231" s="10"/>
      <c r="D231" s="165">
        <f t="shared" si="20"/>
        <v>0</v>
      </c>
      <c r="E231" s="16">
        <f t="shared" si="18"/>
        <v>0</v>
      </c>
      <c r="F231" s="23">
        <f t="shared" si="21"/>
        <v>44453</v>
      </c>
      <c r="G231" s="27" t="str">
        <f t="array" ref="G231">IF(K231&lt;0,"Advance",INDEX('Days Ranges'!$C$4:$C$12,MATCH(1,($F231&gt;='Days Ranges'!$A$4:$A$12)*($F231&lt;'Days Ranges'!$B$4:$B$12),0)))</f>
        <v>Advance</v>
      </c>
      <c r="H231" s="27" t="str">
        <f t="array" ref="H231">IF(K231&lt;0,"Advance",INDEX('Days Ranges'!$D$4:$D$12,MATCH(1,($F231&gt;'Days Ranges'!$A$4:$A$12)*($F231&lt;'Days Ranges'!$B$4:$B$12),0)))</f>
        <v>Advance</v>
      </c>
      <c r="I231" s="27" t="str">
        <f>IFERROR(IF(IFERROR(REPLACE(O231,FIND("ОПТ ",O231,1),4,""),O231)=0,VLOOKUP(MID(Q231,FIND(" ",Q231,1)+1,3),Brands!$B$2:$C$24,2,0),IFERROR(REPLACE(O231,FIND("ОПТ ",O231,1),4,""),O231)),"Check PLEASE")</f>
        <v>Converse</v>
      </c>
      <c r="J231" s="27" t="str">
        <f>VLOOKUP(I231,Brands!$E$2:$F$21,2,0)</f>
        <v>Converse</v>
      </c>
      <c r="K231" s="23">
        <f t="shared" si="22"/>
        <v>-158051</v>
      </c>
      <c r="L231" s="208"/>
      <c r="M231" s="205" t="s">
        <v>41</v>
      </c>
      <c r="N231" s="208"/>
      <c r="O231" s="205"/>
      <c r="P231" s="205"/>
      <c r="Q231" s="205" t="s">
        <v>1429</v>
      </c>
      <c r="R231" s="87" t="s">
        <v>100</v>
      </c>
      <c r="S231" s="84"/>
      <c r="T231" s="84"/>
      <c r="U231" s="84"/>
      <c r="V231" s="84"/>
      <c r="W231" s="4" t="str">
        <f t="shared" si="23"/>
        <v>Negative</v>
      </c>
      <c r="X231" s="206">
        <v>-158051</v>
      </c>
    </row>
    <row r="232" spans="1:24" ht="12" x14ac:dyDescent="0.2">
      <c r="A232" s="10" t="str">
        <f t="shared" si="19"/>
        <v>Deposit</v>
      </c>
      <c r="B232" s="13">
        <f t="array" ref="B232">IFERROR(INDEX(CreditDAY[Credit Days Nominal],MATCH(M232&amp;Q232&amp;I232,CreditDAY[Customer]&amp;CreditDAY[Договор.Наименование]&amp;CreditDAY[Brand Temp],0)),0)</f>
        <v>0</v>
      </c>
      <c r="C232" s="10"/>
      <c r="D232" s="165">
        <f t="shared" si="20"/>
        <v>0</v>
      </c>
      <c r="E232" s="16">
        <f t="shared" si="18"/>
        <v>0</v>
      </c>
      <c r="F232" s="23">
        <f t="shared" si="21"/>
        <v>44453</v>
      </c>
      <c r="G232" s="27" t="str">
        <f t="array" ref="G232">IF(K232&lt;0,"Advance",INDEX('Days Ranges'!$C$4:$C$12,MATCH(1,($F232&gt;='Days Ranges'!$A$4:$A$12)*($F232&lt;'Days Ranges'!$B$4:$B$12),0)))</f>
        <v>Advance</v>
      </c>
      <c r="H232" s="27" t="str">
        <f t="array" ref="H232">IF(K232&lt;0,"Advance",INDEX('Days Ranges'!$D$4:$D$12,MATCH(1,($F232&gt;'Days Ranges'!$A$4:$A$12)*($F232&lt;'Days Ranges'!$B$4:$B$12),0)))</f>
        <v>Advance</v>
      </c>
      <c r="I232" s="27" t="str">
        <f>IFERROR(IF(IFERROR(REPLACE(O232,FIND("ОПТ ",O232,1),4,""),O232)=0,VLOOKUP(MID(Q232,FIND(" ",Q232,1)+1,3),Brands!$B$2:$C$24,2,0),IFERROR(REPLACE(O232,FIND("ОПТ ",O232,1),4,""),O232)),"Check PLEASE")</f>
        <v>Saucony</v>
      </c>
      <c r="J232" s="27" t="str">
        <f>VLOOKUP(I232,Brands!$E$2:$F$21,2,0)</f>
        <v>Saucony</v>
      </c>
      <c r="K232" s="23">
        <f t="shared" si="22"/>
        <v>-169458.16</v>
      </c>
      <c r="L232" s="208"/>
      <c r="M232" s="205" t="s">
        <v>48</v>
      </c>
      <c r="N232" s="208"/>
      <c r="O232" s="388"/>
      <c r="P232" s="205"/>
      <c r="Q232" s="205" t="s">
        <v>722</v>
      </c>
      <c r="R232" s="87" t="s">
        <v>65</v>
      </c>
      <c r="S232" s="84"/>
      <c r="T232" s="84"/>
      <c r="U232" s="84"/>
      <c r="V232" s="84"/>
      <c r="W232" s="4" t="str">
        <f t="shared" si="23"/>
        <v>Negative</v>
      </c>
      <c r="X232" s="206">
        <v>-169458.16</v>
      </c>
    </row>
    <row r="233" spans="1:24" ht="12" x14ac:dyDescent="0.2">
      <c r="A233" s="10" t="str">
        <f t="shared" si="19"/>
        <v>Deposit</v>
      </c>
      <c r="B233" s="13">
        <f t="array" ref="B233">IFERROR(INDEX(CreditDAY[Credit Days Nominal],MATCH(M233&amp;Q233&amp;I233,CreditDAY[Customer]&amp;CreditDAY[Договор.Наименование]&amp;CreditDAY[Brand Temp],0)),0)</f>
        <v>0</v>
      </c>
      <c r="C233" s="10"/>
      <c r="D233" s="165">
        <f t="shared" si="20"/>
        <v>0</v>
      </c>
      <c r="E233" s="16">
        <f t="shared" si="18"/>
        <v>0</v>
      </c>
      <c r="F233" s="23">
        <f t="shared" si="21"/>
        <v>44453</v>
      </c>
      <c r="G233" s="27" t="str">
        <f t="array" ref="G233">IF(K233&lt;0,"Advance",INDEX('Days Ranges'!$C$4:$C$12,MATCH(1,($F233&gt;='Days Ranges'!$A$4:$A$12)*($F233&lt;'Days Ranges'!$B$4:$B$12),0)))</f>
        <v>Advance</v>
      </c>
      <c r="H233" s="27" t="str">
        <f t="array" ref="H233">IF(K233&lt;0,"Advance",INDEX('Days Ranges'!$D$4:$D$12,MATCH(1,($F233&gt;'Days Ranges'!$A$4:$A$12)*($F233&lt;'Days Ranges'!$B$4:$B$12),0)))</f>
        <v>Advance</v>
      </c>
      <c r="I233" s="27" t="str">
        <f>IFERROR(IF(IFERROR(REPLACE(O233,FIND("ОПТ ",O233,1),4,""),O233)=0,VLOOKUP(MID(Q233,FIND(" ",Q233,1)+1,3),Brands!$B$2:$C$24,2,0),IFERROR(REPLACE(O233,FIND("ОПТ ",O233,1),4,""),O233)),"Check PLEASE")</f>
        <v>Converse</v>
      </c>
      <c r="J233" s="27" t="str">
        <f>VLOOKUP(I233,Brands!$E$2:$F$21,2,0)</f>
        <v>Converse</v>
      </c>
      <c r="K233" s="23">
        <f t="shared" si="22"/>
        <v>-95438.37</v>
      </c>
      <c r="L233" s="208"/>
      <c r="M233" s="205" t="s">
        <v>549</v>
      </c>
      <c r="N233" s="208"/>
      <c r="O233" s="205"/>
      <c r="P233" s="205"/>
      <c r="Q233" s="205" t="s">
        <v>1429</v>
      </c>
      <c r="R233" s="87" t="s">
        <v>66</v>
      </c>
      <c r="S233" s="84"/>
      <c r="T233" s="84"/>
      <c r="U233" s="84"/>
      <c r="V233" s="84"/>
      <c r="W233" s="4" t="str">
        <f t="shared" si="23"/>
        <v>Negative</v>
      </c>
      <c r="X233" s="206">
        <v>-95438.37</v>
      </c>
    </row>
    <row r="234" spans="1:24" ht="12" x14ac:dyDescent="0.2">
      <c r="A234" s="10" t="str">
        <f t="shared" si="19"/>
        <v>Deposit</v>
      </c>
      <c r="B234" s="13">
        <f t="array" ref="B234">IFERROR(INDEX(CreditDAY[Credit Days Nominal],MATCH(M234&amp;Q234&amp;I234,CreditDAY[Customer]&amp;CreditDAY[Договор.Наименование]&amp;CreditDAY[Brand Temp],0)),0)</f>
        <v>0</v>
      </c>
      <c r="C234" s="10"/>
      <c r="D234" s="165">
        <f t="shared" si="20"/>
        <v>0</v>
      </c>
      <c r="E234" s="16">
        <f t="shared" si="18"/>
        <v>0</v>
      </c>
      <c r="F234" s="23">
        <f t="shared" si="21"/>
        <v>44453</v>
      </c>
      <c r="G234" s="27" t="str">
        <f t="array" ref="G234">IF(K234&lt;0,"Advance",INDEX('Days Ranges'!$C$4:$C$12,MATCH(1,($F234&gt;='Days Ranges'!$A$4:$A$12)*($F234&lt;'Days Ranges'!$B$4:$B$12),0)))</f>
        <v>Advance</v>
      </c>
      <c r="H234" s="27" t="str">
        <f t="array" ref="H234">IF(K234&lt;0,"Advance",INDEX('Days Ranges'!$D$4:$D$12,MATCH(1,($F234&gt;'Days Ranges'!$A$4:$A$12)*($F234&lt;'Days Ranges'!$B$4:$B$12),0)))</f>
        <v>Advance</v>
      </c>
      <c r="I234" s="27" t="str">
        <f>IFERROR(IF(IFERROR(REPLACE(O234,FIND("ОПТ ",O234,1),4,""),O234)=0,VLOOKUP(MID(Q234,FIND(" ",Q234,1)+1,3),Brands!$B$2:$C$24,2,0),IFERROR(REPLACE(O234,FIND("ОПТ ",O234,1),4,""),O234)),"Check PLEASE")</f>
        <v>Converse</v>
      </c>
      <c r="J234" s="27" t="str">
        <f>VLOOKUP(I234,Brands!$E$2:$F$21,2,0)</f>
        <v>Converse</v>
      </c>
      <c r="K234" s="23">
        <f t="shared" si="22"/>
        <v>-170134.17</v>
      </c>
      <c r="L234" s="208"/>
      <c r="M234" s="205" t="s">
        <v>60</v>
      </c>
      <c r="N234" s="208"/>
      <c r="O234" s="205"/>
      <c r="P234" s="205"/>
      <c r="Q234" s="205" t="s">
        <v>62</v>
      </c>
      <c r="R234" s="87" t="s">
        <v>735</v>
      </c>
      <c r="S234" s="84"/>
      <c r="T234" s="84"/>
      <c r="U234" s="84"/>
      <c r="V234" s="84"/>
      <c r="W234" s="4" t="str">
        <f t="shared" si="23"/>
        <v>Negative</v>
      </c>
      <c r="X234" s="206">
        <v>-170134.17</v>
      </c>
    </row>
    <row r="235" spans="1:24" ht="12" x14ac:dyDescent="0.2">
      <c r="A235" s="10" t="str">
        <f t="shared" si="19"/>
        <v>Deposit</v>
      </c>
      <c r="B235" s="13">
        <f t="array" ref="B235">IFERROR(INDEX(CreditDAY[Credit Days Nominal],MATCH(M235&amp;Q235&amp;I235,CreditDAY[Customer]&amp;CreditDAY[Договор.Наименование]&amp;CreditDAY[Brand Temp],0)),0)</f>
        <v>0</v>
      </c>
      <c r="C235" s="10"/>
      <c r="D235" s="165">
        <f t="shared" si="20"/>
        <v>0</v>
      </c>
      <c r="E235" s="16">
        <f t="shared" si="18"/>
        <v>0</v>
      </c>
      <c r="F235" s="23">
        <f t="shared" si="21"/>
        <v>44453</v>
      </c>
      <c r="G235" s="27" t="str">
        <f t="array" ref="G235">IF(K235&lt;0,"Advance",INDEX('Days Ranges'!$C$4:$C$12,MATCH(1,($F235&gt;='Days Ranges'!$A$4:$A$12)*($F235&lt;'Days Ranges'!$B$4:$B$12),0)))</f>
        <v>Advance</v>
      </c>
      <c r="H235" s="27" t="str">
        <f t="array" ref="H235">IF(K235&lt;0,"Advance",INDEX('Days Ranges'!$D$4:$D$12,MATCH(1,($F235&gt;'Days Ranges'!$A$4:$A$12)*($F235&lt;'Days Ranges'!$B$4:$B$12),0)))</f>
        <v>Advance</v>
      </c>
      <c r="I235" s="27" t="str">
        <f>IFERROR(IF(IFERROR(REPLACE(O235,FIND("ОПТ ",O235,1),4,""),O235)=0,VLOOKUP(MID(Q235,FIND(" ",Q235,1)+1,3),Brands!$B$2:$C$24,2,0),IFERROR(REPLACE(O235,FIND("ОПТ ",O235,1),4,""),O235)),"Check PLEASE")</f>
        <v>Converse</v>
      </c>
      <c r="J235" s="27" t="str">
        <f>VLOOKUP(I235,Brands!$E$2:$F$21,2,0)</f>
        <v>Converse</v>
      </c>
      <c r="K235" s="23">
        <f t="shared" si="22"/>
        <v>-182855.13</v>
      </c>
      <c r="L235" s="208"/>
      <c r="M235" s="205" t="s">
        <v>60</v>
      </c>
      <c r="N235" s="208"/>
      <c r="O235" s="205"/>
      <c r="P235" s="205"/>
      <c r="Q235" s="205" t="s">
        <v>38</v>
      </c>
      <c r="R235" s="87" t="s">
        <v>104</v>
      </c>
      <c r="S235" s="84"/>
      <c r="T235" s="84"/>
      <c r="U235" s="84"/>
      <c r="V235" s="84"/>
      <c r="W235" s="4" t="str">
        <f t="shared" si="23"/>
        <v>Negative</v>
      </c>
      <c r="X235" s="206">
        <v>-182855.13</v>
      </c>
    </row>
    <row r="236" spans="1:24" ht="12" x14ac:dyDescent="0.2">
      <c r="A236" s="10" t="str">
        <f t="shared" si="19"/>
        <v>Deposit</v>
      </c>
      <c r="B236" s="13">
        <f t="array" ref="B236">IFERROR(INDEX(CreditDAY[Credit Days Nominal],MATCH(M236&amp;Q236&amp;I236,CreditDAY[Customer]&amp;CreditDAY[Договор.Наименование]&amp;CreditDAY[Brand Temp],0)),0)</f>
        <v>0</v>
      </c>
      <c r="C236" s="10"/>
      <c r="D236" s="165">
        <f t="shared" si="20"/>
        <v>0</v>
      </c>
      <c r="E236" s="16">
        <f t="shared" si="18"/>
        <v>0</v>
      </c>
      <c r="F236" s="23">
        <f t="shared" si="21"/>
        <v>44453</v>
      </c>
      <c r="G236" s="27" t="str">
        <f t="array" ref="G236">IF(K236&lt;0,"Advance",INDEX('Days Ranges'!$C$4:$C$12,MATCH(1,($F236&gt;='Days Ranges'!$A$4:$A$12)*($F236&lt;'Days Ranges'!$B$4:$B$12),0)))</f>
        <v>Advance</v>
      </c>
      <c r="H236" s="27" t="str">
        <f t="array" ref="H236">IF(K236&lt;0,"Advance",INDEX('Days Ranges'!$D$4:$D$12,MATCH(1,($F236&gt;'Days Ranges'!$A$4:$A$12)*($F236&lt;'Days Ranges'!$B$4:$B$12),0)))</f>
        <v>Advance</v>
      </c>
      <c r="I236" s="27" t="str">
        <f>IFERROR(IF(IFERROR(REPLACE(O236,FIND("ОПТ ",O236,1),4,""),O236)=0,VLOOKUP(MID(Q236,FIND(" ",Q236,1)+1,3),Brands!$B$2:$C$24,2,0),IFERROR(REPLACE(O236,FIND("ОПТ ",O236,1),4,""),O236)),"Check PLEASE")</f>
        <v>Converse</v>
      </c>
      <c r="J236" s="27" t="str">
        <f>VLOOKUP(I236,Brands!$E$2:$F$21,2,0)</f>
        <v>Converse</v>
      </c>
      <c r="K236" s="23">
        <f t="shared" si="22"/>
        <v>-245363.62</v>
      </c>
      <c r="L236" s="208"/>
      <c r="M236" s="205" t="s">
        <v>60</v>
      </c>
      <c r="N236" s="208"/>
      <c r="O236" s="205"/>
      <c r="P236" s="205"/>
      <c r="Q236" s="205" t="s">
        <v>1429</v>
      </c>
      <c r="R236" s="87" t="s">
        <v>724</v>
      </c>
      <c r="S236" s="84"/>
      <c r="T236" s="84"/>
      <c r="U236" s="84"/>
      <c r="V236" s="84"/>
      <c r="W236" s="4" t="str">
        <f t="shared" si="23"/>
        <v>Negative</v>
      </c>
      <c r="X236" s="206">
        <v>-245363.62</v>
      </c>
    </row>
    <row r="237" spans="1:24" ht="12" x14ac:dyDescent="0.2">
      <c r="A237" s="10" t="str">
        <f t="shared" si="19"/>
        <v>Deposit</v>
      </c>
      <c r="B237" s="13">
        <f t="array" ref="B237">IFERROR(INDEX(CreditDAY[Credit Days Nominal],MATCH(M237&amp;Q237&amp;I237,CreditDAY[Customer]&amp;CreditDAY[Договор.Наименование]&amp;CreditDAY[Brand Temp],0)),0)</f>
        <v>0</v>
      </c>
      <c r="C237" s="10"/>
      <c r="D237" s="165">
        <f t="shared" si="20"/>
        <v>0</v>
      </c>
      <c r="E237" s="16">
        <f t="shared" si="18"/>
        <v>0</v>
      </c>
      <c r="F237" s="23">
        <f t="shared" si="21"/>
        <v>44453</v>
      </c>
      <c r="G237" s="27" t="str">
        <f t="array" ref="G237">IF(K237&lt;0,"Advance",INDEX('Days Ranges'!$C$4:$C$12,MATCH(1,($F237&gt;='Days Ranges'!$A$4:$A$12)*($F237&lt;'Days Ranges'!$B$4:$B$12),0)))</f>
        <v>Advance</v>
      </c>
      <c r="H237" s="27" t="str">
        <f t="array" ref="H237">IF(K237&lt;0,"Advance",INDEX('Days Ranges'!$D$4:$D$12,MATCH(1,($F237&gt;'Days Ranges'!$A$4:$A$12)*($F237&lt;'Days Ranges'!$B$4:$B$12),0)))</f>
        <v>Advance</v>
      </c>
      <c r="I237" s="27" t="str">
        <f>IFERROR(IF(IFERROR(REPLACE(O237,FIND("ОПТ ",O237,1),4,""),O237)=0,VLOOKUP(MID(Q237,FIND(" ",Q237,1)+1,3),Brands!$B$2:$C$24,2,0),IFERROR(REPLACE(O237,FIND("ОПТ ",O237,1),4,""),O237)),"Check PLEASE")</f>
        <v>Converse</v>
      </c>
      <c r="J237" s="27" t="str">
        <f>VLOOKUP(I237,Brands!$E$2:$F$21,2,0)</f>
        <v>Converse</v>
      </c>
      <c r="K237" s="23">
        <f t="shared" si="22"/>
        <v>-97248.78</v>
      </c>
      <c r="L237" s="208"/>
      <c r="M237" s="205" t="s">
        <v>60</v>
      </c>
      <c r="N237" s="208"/>
      <c r="O237" s="205"/>
      <c r="P237" s="205"/>
      <c r="Q237" s="205" t="s">
        <v>39</v>
      </c>
      <c r="R237" s="87" t="s">
        <v>63</v>
      </c>
      <c r="S237" s="84"/>
      <c r="T237" s="84"/>
      <c r="U237" s="84"/>
      <c r="V237" s="84"/>
      <c r="W237" s="4" t="str">
        <f t="shared" si="23"/>
        <v>Negative</v>
      </c>
      <c r="X237" s="206">
        <v>-97248.78</v>
      </c>
    </row>
    <row r="238" spans="1:24" ht="12" x14ac:dyDescent="0.2">
      <c r="A238" s="10" t="str">
        <f t="shared" si="19"/>
        <v>Deposit</v>
      </c>
      <c r="B238" s="13">
        <f t="array" ref="B238">IFERROR(INDEX(CreditDAY[Credit Days Nominal],MATCH(M238&amp;Q238&amp;I238,CreditDAY[Customer]&amp;CreditDAY[Договор.Наименование]&amp;CreditDAY[Brand Temp],0)),0)</f>
        <v>0</v>
      </c>
      <c r="C238" s="10"/>
      <c r="D238" s="165">
        <f t="shared" si="20"/>
        <v>0</v>
      </c>
      <c r="E238" s="16">
        <f t="shared" si="18"/>
        <v>0</v>
      </c>
      <c r="F238" s="23">
        <f t="shared" si="21"/>
        <v>44453</v>
      </c>
      <c r="G238" s="27" t="str">
        <f t="array" ref="G238">IF(K238&lt;0,"Advance",INDEX('Days Ranges'!$C$4:$C$12,MATCH(1,($F238&gt;='Days Ranges'!$A$4:$A$12)*($F238&lt;'Days Ranges'!$B$4:$B$12),0)))</f>
        <v>Advance</v>
      </c>
      <c r="H238" s="27" t="str">
        <f t="array" ref="H238">IF(K238&lt;0,"Advance",INDEX('Days Ranges'!$D$4:$D$12,MATCH(1,($F238&gt;'Days Ranges'!$A$4:$A$12)*($F238&lt;'Days Ranges'!$B$4:$B$12),0)))</f>
        <v>Advance</v>
      </c>
      <c r="I238" s="27" t="str">
        <f>IFERROR(IF(IFERROR(REPLACE(O238,FIND("ОПТ ",O238,1),4,""),O238)=0,VLOOKUP(MID(Q238,FIND(" ",Q238,1)+1,3),Brands!$B$2:$C$24,2,0),IFERROR(REPLACE(O238,FIND("ОПТ ",O238,1),4,""),O238)),"Check PLEASE")</f>
        <v>Dr.Martens</v>
      </c>
      <c r="J238" s="27" t="str">
        <f>VLOOKUP(I238,Brands!$E$2:$F$21,2,0)</f>
        <v>Dr.Martens</v>
      </c>
      <c r="K238" s="23">
        <f t="shared" si="22"/>
        <v>-1240850.1399999999</v>
      </c>
      <c r="L238" s="208"/>
      <c r="M238" s="205" t="s">
        <v>60</v>
      </c>
      <c r="N238" s="208"/>
      <c r="O238" s="205"/>
      <c r="P238" s="205"/>
      <c r="Q238" s="205" t="s">
        <v>723</v>
      </c>
      <c r="R238" s="87" t="s">
        <v>725</v>
      </c>
      <c r="S238" s="84"/>
      <c r="T238" s="84"/>
      <c r="U238" s="84"/>
      <c r="V238" s="84"/>
      <c r="W238" s="4" t="str">
        <f t="shared" si="23"/>
        <v>Negative</v>
      </c>
      <c r="X238" s="206">
        <v>-1240850.1399999999</v>
      </c>
    </row>
    <row r="239" spans="1:24" ht="12" x14ac:dyDescent="0.2">
      <c r="A239" s="10" t="str">
        <f t="shared" si="19"/>
        <v>Deposit</v>
      </c>
      <c r="B239" s="13">
        <f t="array" ref="B239">IFERROR(INDEX(CreditDAY[Credit Days Nominal],MATCH(M239&amp;Q239&amp;I239,CreditDAY[Customer]&amp;CreditDAY[Договор.Наименование]&amp;CreditDAY[Brand Temp],0)),0)</f>
        <v>0</v>
      </c>
      <c r="C239" s="10"/>
      <c r="D239" s="165">
        <f t="shared" si="20"/>
        <v>0</v>
      </c>
      <c r="E239" s="16">
        <f t="shared" si="18"/>
        <v>0</v>
      </c>
      <c r="F239" s="23">
        <f t="shared" si="21"/>
        <v>44453</v>
      </c>
      <c r="G239" s="27" t="str">
        <f t="array" ref="G239">IF(K239&lt;0,"Advance",INDEX('Days Ranges'!$C$4:$C$12,MATCH(1,($F239&gt;='Days Ranges'!$A$4:$A$12)*($F239&lt;'Days Ranges'!$B$4:$B$12),0)))</f>
        <v>Advance</v>
      </c>
      <c r="H239" s="27" t="str">
        <f t="array" ref="H239">IF(K239&lt;0,"Advance",INDEX('Days Ranges'!$D$4:$D$12,MATCH(1,($F239&gt;'Days Ranges'!$A$4:$A$12)*($F239&lt;'Days Ranges'!$B$4:$B$12),0)))</f>
        <v>Advance</v>
      </c>
      <c r="I239" s="27" t="str">
        <f>IFERROR(IF(IFERROR(REPLACE(O239,FIND("ОПТ ",O239,1),4,""),O239)=0,VLOOKUP(MID(Q239,FIND(" ",Q239,1)+1,3),Brands!$B$2:$C$24,2,0),IFERROR(REPLACE(O239,FIND("ОПТ ",O239,1),4,""),O239)),"Check PLEASE")</f>
        <v>Dr.Martens</v>
      </c>
      <c r="J239" s="27" t="str">
        <f>VLOOKUP(I239,Brands!$E$2:$F$21,2,0)</f>
        <v>Dr.Martens</v>
      </c>
      <c r="K239" s="23">
        <f t="shared" si="22"/>
        <v>-375778.75</v>
      </c>
      <c r="L239" s="208"/>
      <c r="M239" s="205" t="s">
        <v>60</v>
      </c>
      <c r="N239" s="208"/>
      <c r="O239" s="205"/>
      <c r="P239" s="205"/>
      <c r="Q239" s="205" t="s">
        <v>1484</v>
      </c>
      <c r="R239" s="87" t="s">
        <v>42</v>
      </c>
      <c r="S239" s="84"/>
      <c r="T239" s="84"/>
      <c r="U239" s="84"/>
      <c r="V239" s="84"/>
      <c r="W239" s="4" t="str">
        <f t="shared" si="23"/>
        <v>Negative</v>
      </c>
      <c r="X239" s="206">
        <v>-375778.75</v>
      </c>
    </row>
    <row r="240" spans="1:24" ht="12" x14ac:dyDescent="0.2">
      <c r="A240" s="10" t="str">
        <f t="shared" si="19"/>
        <v>Deposit</v>
      </c>
      <c r="B240" s="13">
        <f t="array" ref="B240">IFERROR(INDEX(CreditDAY[Credit Days Nominal],MATCH(M240&amp;Q240&amp;I240,CreditDAY[Customer]&amp;CreditDAY[Договор.Наименование]&amp;CreditDAY[Brand Temp],0)),0)</f>
        <v>0</v>
      </c>
      <c r="C240" s="10"/>
      <c r="D240" s="165">
        <f t="shared" si="20"/>
        <v>0</v>
      </c>
      <c r="E240" s="16">
        <f t="shared" si="18"/>
        <v>0</v>
      </c>
      <c r="F240" s="23">
        <f t="shared" si="21"/>
        <v>44453</v>
      </c>
      <c r="G240" s="27" t="str">
        <f t="array" ref="G240">IF(K240&lt;0,"Advance",INDEX('Days Ranges'!$C$4:$C$12,MATCH(1,($F240&gt;='Days Ranges'!$A$4:$A$12)*($F240&lt;'Days Ranges'!$B$4:$B$12),0)))</f>
        <v>Advance</v>
      </c>
      <c r="H240" s="27" t="str">
        <f t="array" ref="H240">IF(K240&lt;0,"Advance",INDEX('Days Ranges'!$D$4:$D$12,MATCH(1,($F240&gt;'Days Ranges'!$A$4:$A$12)*($F240&lt;'Days Ranges'!$B$4:$B$12),0)))</f>
        <v>Advance</v>
      </c>
      <c r="I240" s="27" t="str">
        <f>IFERROR(IF(IFERROR(REPLACE(O240,FIND("ОПТ ",O240,1),4,""),O240)=0,VLOOKUP(MID(Q240,FIND(" ",Q240,1)+1,3),Brands!$B$2:$C$24,2,0),IFERROR(REPLACE(O240,FIND("ОПТ ",O240,1),4,""),O240)),"Check PLEASE")</f>
        <v>Saucony</v>
      </c>
      <c r="J240" s="27" t="str">
        <f>VLOOKUP(I240,Brands!$E$2:$F$21,2,0)</f>
        <v>Saucony</v>
      </c>
      <c r="K240" s="23">
        <f t="shared" si="22"/>
        <v>-448843.37</v>
      </c>
      <c r="L240" s="208"/>
      <c r="M240" s="205" t="s">
        <v>60</v>
      </c>
      <c r="N240" s="208"/>
      <c r="O240" s="205"/>
      <c r="P240" s="205"/>
      <c r="Q240" s="205" t="s">
        <v>65</v>
      </c>
      <c r="R240" s="87" t="s">
        <v>39</v>
      </c>
      <c r="S240" s="84"/>
      <c r="T240" s="84"/>
      <c r="U240" s="84"/>
      <c r="V240" s="84"/>
      <c r="W240" s="4" t="str">
        <f t="shared" si="23"/>
        <v>Negative</v>
      </c>
      <c r="X240" s="206">
        <v>-448843.37</v>
      </c>
    </row>
    <row r="241" spans="1:24" ht="12" x14ac:dyDescent="0.2">
      <c r="A241" s="10" t="str">
        <f t="shared" si="19"/>
        <v>Deposit</v>
      </c>
      <c r="B241" s="13">
        <f t="array" ref="B241">IFERROR(INDEX(CreditDAY[Credit Days Nominal],MATCH(M241&amp;Q241&amp;I241,CreditDAY[Customer]&amp;CreditDAY[Договор.Наименование]&amp;CreditDAY[Brand Temp],0)),0)</f>
        <v>0</v>
      </c>
      <c r="C241" s="10"/>
      <c r="D241" s="165">
        <f t="shared" si="20"/>
        <v>0</v>
      </c>
      <c r="E241" s="16">
        <f t="shared" si="18"/>
        <v>0</v>
      </c>
      <c r="F241" s="23">
        <f t="shared" si="21"/>
        <v>44453</v>
      </c>
      <c r="G241" s="27" t="str">
        <f t="array" ref="G241">IF(K241&lt;0,"Advance",INDEX('Days Ranges'!$C$4:$C$12,MATCH(1,($F241&gt;='Days Ranges'!$A$4:$A$12)*($F241&lt;'Days Ranges'!$B$4:$B$12),0)))</f>
        <v>Advance</v>
      </c>
      <c r="H241" s="27" t="str">
        <f t="array" ref="H241">IF(K241&lt;0,"Advance",INDEX('Days Ranges'!$D$4:$D$12,MATCH(1,($F241&gt;'Days Ranges'!$A$4:$A$12)*($F241&lt;'Days Ranges'!$B$4:$B$12),0)))</f>
        <v>Advance</v>
      </c>
      <c r="I241" s="27" t="str">
        <f>IFERROR(IF(IFERROR(REPLACE(O241,FIND("ОПТ ",O241,1),4,""),O241)=0,VLOOKUP(MID(Q241,FIND(" ",Q241,1)+1,3),Brands!$B$2:$C$24,2,0),IFERROR(REPLACE(O241,FIND("ОПТ ",O241,1),4,""),O241)),"Check PLEASE")</f>
        <v>Saucony</v>
      </c>
      <c r="J241" s="27" t="str">
        <f>VLOOKUP(I241,Brands!$E$2:$F$21,2,0)</f>
        <v>Saucony</v>
      </c>
      <c r="K241" s="23">
        <f t="shared" si="22"/>
        <v>-440491.9</v>
      </c>
      <c r="L241" s="208"/>
      <c r="M241" s="205" t="s">
        <v>60</v>
      </c>
      <c r="N241" s="208"/>
      <c r="O241" s="205"/>
      <c r="P241" s="205"/>
      <c r="Q241" s="205" t="s">
        <v>1393</v>
      </c>
      <c r="R241" s="87" t="s">
        <v>724</v>
      </c>
      <c r="S241" s="84"/>
      <c r="T241" s="84"/>
      <c r="U241" s="84"/>
      <c r="V241" s="84"/>
      <c r="W241" s="4" t="str">
        <f t="shared" si="23"/>
        <v>Negative</v>
      </c>
      <c r="X241" s="206">
        <v>-440491.9</v>
      </c>
    </row>
    <row r="242" spans="1:24" ht="12" x14ac:dyDescent="0.2">
      <c r="A242" s="10" t="str">
        <f t="shared" si="19"/>
        <v>Deposit</v>
      </c>
      <c r="B242" s="13">
        <f t="array" ref="B242">IFERROR(INDEX(CreditDAY[Credit Days Nominal],MATCH(M242&amp;Q242&amp;I242,CreditDAY[Customer]&amp;CreditDAY[Договор.Наименование]&amp;CreditDAY[Brand Temp],0)),0)</f>
        <v>0</v>
      </c>
      <c r="C242" s="10"/>
      <c r="D242" s="165">
        <f t="shared" si="20"/>
        <v>0</v>
      </c>
      <c r="E242" s="16">
        <f t="shared" si="18"/>
        <v>0</v>
      </c>
      <c r="F242" s="23">
        <f t="shared" si="21"/>
        <v>44453</v>
      </c>
      <c r="G242" s="27" t="str">
        <f t="array" ref="G242">IF(K242&lt;0,"Advance",INDEX('Days Ranges'!$C$4:$C$12,MATCH(1,($F242&gt;='Days Ranges'!$A$4:$A$12)*($F242&lt;'Days Ranges'!$B$4:$B$12),0)))</f>
        <v>Advance</v>
      </c>
      <c r="H242" s="27" t="str">
        <f t="array" ref="H242">IF(K242&lt;0,"Advance",INDEX('Days Ranges'!$D$4:$D$12,MATCH(1,($F242&gt;'Days Ranges'!$A$4:$A$12)*($F242&lt;'Days Ranges'!$B$4:$B$12),0)))</f>
        <v>Advance</v>
      </c>
      <c r="I242" s="27" t="str">
        <f>IFERROR(IF(IFERROR(REPLACE(O242,FIND("ОПТ ",O242,1),4,""),O242)=0,VLOOKUP(MID(Q242,FIND(" ",Q242,1)+1,3),Brands!$B$2:$C$24,2,0),IFERROR(REPLACE(O242,FIND("ОПТ ",O242,1),4,""),O242)),"Check PLEASE")</f>
        <v>Converse</v>
      </c>
      <c r="J242" s="27" t="str">
        <f>VLOOKUP(I242,Brands!$E$2:$F$21,2,0)</f>
        <v>Converse</v>
      </c>
      <c r="K242" s="23">
        <f t="shared" si="22"/>
        <v>-2306405.39</v>
      </c>
      <c r="L242" s="208"/>
      <c r="M242" s="205" t="s">
        <v>98</v>
      </c>
      <c r="N242" s="208"/>
      <c r="O242" s="205"/>
      <c r="P242" s="205"/>
      <c r="Q242" s="205" t="s">
        <v>42</v>
      </c>
      <c r="R242" s="87" t="s">
        <v>110</v>
      </c>
      <c r="S242" s="84"/>
      <c r="T242" s="84"/>
      <c r="U242" s="84"/>
      <c r="V242" s="84"/>
      <c r="W242" s="4" t="str">
        <f t="shared" si="23"/>
        <v>Negative</v>
      </c>
      <c r="X242" s="206">
        <v>-2306405.39</v>
      </c>
    </row>
    <row r="243" spans="1:24" ht="12" x14ac:dyDescent="0.2">
      <c r="A243" s="10" t="str">
        <f t="shared" si="19"/>
        <v>Deposit</v>
      </c>
      <c r="B243" s="13">
        <f t="array" ref="B243">IFERROR(INDEX(CreditDAY[Credit Days Nominal],MATCH(M243&amp;Q243&amp;I243,CreditDAY[Customer]&amp;CreditDAY[Договор.Наименование]&amp;CreditDAY[Brand Temp],0)),0)</f>
        <v>0</v>
      </c>
      <c r="C243" s="10"/>
      <c r="D243" s="165">
        <f t="shared" si="20"/>
        <v>0</v>
      </c>
      <c r="E243" s="16">
        <f t="shared" si="18"/>
        <v>0</v>
      </c>
      <c r="F243" s="23">
        <f t="shared" si="21"/>
        <v>44453</v>
      </c>
      <c r="G243" s="27" t="str">
        <f t="array" ref="G243">IF(K243&lt;0,"Advance",INDEX('Days Ranges'!$C$4:$C$12,MATCH(1,($F243&gt;='Days Ranges'!$A$4:$A$12)*($F243&lt;'Days Ranges'!$B$4:$B$12),0)))</f>
        <v>Advance</v>
      </c>
      <c r="H243" s="27" t="str">
        <f t="array" ref="H243">IF(K243&lt;0,"Advance",INDEX('Days Ranges'!$D$4:$D$12,MATCH(1,($F243&gt;'Days Ranges'!$A$4:$A$12)*($F243&lt;'Days Ranges'!$B$4:$B$12),0)))</f>
        <v>Advance</v>
      </c>
      <c r="I243" s="27" t="str">
        <f>IFERROR(IF(IFERROR(REPLACE(O243,FIND("ОПТ ",O243,1),4,""),O243)=0,VLOOKUP(MID(Q243,FIND(" ",Q243,1)+1,3),Brands!$B$2:$C$24,2,0),IFERROR(REPLACE(O243,FIND("ОПТ ",O243,1),4,""),O243)),"Check PLEASE")</f>
        <v>Converse</v>
      </c>
      <c r="J243" s="27" t="str">
        <f>VLOOKUP(I243,Brands!$E$2:$F$21,2,0)</f>
        <v>Converse</v>
      </c>
      <c r="K243" s="23">
        <f t="shared" si="22"/>
        <v>-6516518.8300000001</v>
      </c>
      <c r="L243" s="208"/>
      <c r="M243" s="205" t="s">
        <v>98</v>
      </c>
      <c r="N243" s="208"/>
      <c r="O243" s="205"/>
      <c r="P243" s="205"/>
      <c r="Q243" s="205" t="s">
        <v>1429</v>
      </c>
      <c r="R243" s="87" t="s">
        <v>724</v>
      </c>
      <c r="S243" s="84"/>
      <c r="T243" s="84"/>
      <c r="U243" s="84"/>
      <c r="V243" s="84"/>
      <c r="W243" s="4" t="str">
        <f t="shared" si="23"/>
        <v>Negative</v>
      </c>
      <c r="X243" s="206">
        <v>-6516518.8300000001</v>
      </c>
    </row>
    <row r="244" spans="1:24" ht="12" x14ac:dyDescent="0.2">
      <c r="A244" s="10" t="str">
        <f t="shared" si="19"/>
        <v>Deposit</v>
      </c>
      <c r="B244" s="13">
        <f t="array" ref="B244">IFERROR(INDEX(CreditDAY[Credit Days Nominal],MATCH(M244&amp;Q244&amp;I244,CreditDAY[Customer]&amp;CreditDAY[Договор.Наименование]&amp;CreditDAY[Brand Temp],0)),0)</f>
        <v>0</v>
      </c>
      <c r="C244" s="10"/>
      <c r="D244" s="165">
        <f t="shared" si="20"/>
        <v>0</v>
      </c>
      <c r="E244" s="16">
        <f t="shared" si="18"/>
        <v>0</v>
      </c>
      <c r="F244" s="23">
        <f t="shared" si="21"/>
        <v>44453</v>
      </c>
      <c r="G244" s="27" t="str">
        <f t="array" ref="G244">IF(K244&lt;0,"Advance",INDEX('Days Ranges'!$C$4:$C$12,MATCH(1,($F244&gt;='Days Ranges'!$A$4:$A$12)*($F244&lt;'Days Ranges'!$B$4:$B$12),0)))</f>
        <v>Advance</v>
      </c>
      <c r="H244" s="27" t="str">
        <f t="array" ref="H244">IF(K244&lt;0,"Advance",INDEX('Days Ranges'!$D$4:$D$12,MATCH(1,($F244&gt;'Days Ranges'!$A$4:$A$12)*($F244&lt;'Days Ranges'!$B$4:$B$12),0)))</f>
        <v>Advance</v>
      </c>
      <c r="I244" s="27" t="str">
        <f>IFERROR(IF(IFERROR(REPLACE(O244,FIND("ОПТ ",O244,1),4,""),O244)=0,VLOOKUP(MID(Q244,FIND(" ",Q244,1)+1,3),Brands!$B$2:$C$24,2,0),IFERROR(REPLACE(O244,FIND("ОПТ ",O244,1),4,""),O244)),"Check PLEASE")</f>
        <v>Dr.Martens</v>
      </c>
      <c r="J244" s="27" t="str">
        <f>VLOOKUP(I244,Brands!$E$2:$F$21,2,0)</f>
        <v>Dr.Martens</v>
      </c>
      <c r="K244" s="23">
        <f t="shared" si="22"/>
        <v>-9349156.1199999992</v>
      </c>
      <c r="L244" s="208"/>
      <c r="M244" s="205" t="s">
        <v>98</v>
      </c>
      <c r="N244" s="208"/>
      <c r="O244" s="205"/>
      <c r="P244" s="205"/>
      <c r="Q244" s="205" t="s">
        <v>724</v>
      </c>
      <c r="R244" s="87" t="s">
        <v>725</v>
      </c>
      <c r="S244" s="84"/>
      <c r="T244" s="84"/>
      <c r="U244" s="84"/>
      <c r="V244" s="84"/>
      <c r="W244" s="4" t="str">
        <f t="shared" si="23"/>
        <v>Negative</v>
      </c>
      <c r="X244" s="206">
        <v>-9349156.1199999992</v>
      </c>
    </row>
    <row r="245" spans="1:24" ht="12" x14ac:dyDescent="0.2">
      <c r="A245" s="10" t="str">
        <f t="shared" si="19"/>
        <v>Deposit</v>
      </c>
      <c r="B245" s="13">
        <f t="array" ref="B245">IFERROR(INDEX(CreditDAY[Credit Days Nominal],MATCH(M245&amp;Q245&amp;I245,CreditDAY[Customer]&amp;CreditDAY[Договор.Наименование]&amp;CreditDAY[Brand Temp],0)),0)</f>
        <v>0</v>
      </c>
      <c r="C245" s="10"/>
      <c r="D245" s="165">
        <f t="shared" si="20"/>
        <v>0</v>
      </c>
      <c r="E245" s="16">
        <f t="shared" si="18"/>
        <v>0</v>
      </c>
      <c r="F245" s="23">
        <f t="shared" si="21"/>
        <v>44453</v>
      </c>
      <c r="G245" s="27" t="str">
        <f t="array" ref="G245">IF(K245&lt;0,"Advance",INDEX('Days Ranges'!$C$4:$C$12,MATCH(1,($F245&gt;='Days Ranges'!$A$4:$A$12)*($F245&lt;'Days Ranges'!$B$4:$B$12),0)))</f>
        <v>Advance</v>
      </c>
      <c r="H245" s="27" t="str">
        <f t="array" ref="H245">IF(K245&lt;0,"Advance",INDEX('Days Ranges'!$D$4:$D$12,MATCH(1,($F245&gt;'Days Ranges'!$A$4:$A$12)*($F245&lt;'Days Ranges'!$B$4:$B$12),0)))</f>
        <v>Advance</v>
      </c>
      <c r="I245" s="27" t="str">
        <f>IFERROR(IF(IFERROR(REPLACE(O245,FIND("ОПТ ",O245,1),4,""),O245)=0,VLOOKUP(MID(Q245,FIND(" ",Q245,1)+1,3),Brands!$B$2:$C$24,2,0),IFERROR(REPLACE(O245,FIND("ОПТ ",O245,1),4,""),O245)),"Check PLEASE")</f>
        <v>Dr.Martens</v>
      </c>
      <c r="J245" s="27" t="str">
        <f>VLOOKUP(I245,Brands!$E$2:$F$21,2,0)</f>
        <v>Dr.Martens</v>
      </c>
      <c r="K245" s="23">
        <f t="shared" si="22"/>
        <v>-658615.67000000004</v>
      </c>
      <c r="L245" s="208"/>
      <c r="M245" s="205" t="s">
        <v>98</v>
      </c>
      <c r="N245" s="208"/>
      <c r="O245" s="205"/>
      <c r="P245" s="205"/>
      <c r="Q245" s="205" t="s">
        <v>1484</v>
      </c>
      <c r="R245" s="87" t="s">
        <v>112</v>
      </c>
      <c r="S245" s="84"/>
      <c r="T245" s="84"/>
      <c r="U245" s="84"/>
      <c r="V245" s="84"/>
      <c r="W245" s="4" t="str">
        <f t="shared" si="23"/>
        <v>Negative</v>
      </c>
      <c r="X245" s="206">
        <v>-658615.67000000004</v>
      </c>
    </row>
    <row r="246" spans="1:24" ht="12" x14ac:dyDescent="0.2">
      <c r="A246" s="10" t="str">
        <f t="shared" si="19"/>
        <v>Deposit</v>
      </c>
      <c r="B246" s="13">
        <f t="array" ref="B246">IFERROR(INDEX(CreditDAY[Credit Days Nominal],MATCH(M246&amp;Q246&amp;I246,CreditDAY[Customer]&amp;CreditDAY[Договор.Наименование]&amp;CreditDAY[Brand Temp],0)),0)</f>
        <v>0</v>
      </c>
      <c r="C246" s="10"/>
      <c r="D246" s="165">
        <f t="shared" si="20"/>
        <v>0</v>
      </c>
      <c r="E246" s="16">
        <f t="shared" si="18"/>
        <v>0</v>
      </c>
      <c r="F246" s="23">
        <f t="shared" si="21"/>
        <v>44453</v>
      </c>
      <c r="G246" s="27" t="str">
        <f t="array" ref="G246">IF(K246&lt;0,"Advance",INDEX('Days Ranges'!$C$4:$C$12,MATCH(1,($F246&gt;='Days Ranges'!$A$4:$A$12)*($F246&lt;'Days Ranges'!$B$4:$B$12),0)))</f>
        <v>Advance</v>
      </c>
      <c r="H246" s="27" t="str">
        <f t="array" ref="H246">IF(K246&lt;0,"Advance",INDEX('Days Ranges'!$D$4:$D$12,MATCH(1,($F246&gt;'Days Ranges'!$A$4:$A$12)*($F246&lt;'Days Ranges'!$B$4:$B$12),0)))</f>
        <v>Advance</v>
      </c>
      <c r="I246" s="27" t="str">
        <f>IFERROR(IF(IFERROR(REPLACE(O246,FIND("ОПТ ",O246,1),4,""),O246)=0,VLOOKUP(MID(Q246,FIND(" ",Q246,1)+1,3),Brands!$B$2:$C$24,2,0),IFERROR(REPLACE(O246,FIND("ОПТ ",O246,1),4,""),O246)),"Check PLEASE")</f>
        <v>Havaianas</v>
      </c>
      <c r="J246" s="27" t="str">
        <f>VLOOKUP(I246,Brands!$E$2:$F$21,2,0)</f>
        <v>Havaianas</v>
      </c>
      <c r="K246" s="23">
        <f t="shared" si="22"/>
        <v>-147697.51999999999</v>
      </c>
      <c r="L246" s="208"/>
      <c r="M246" s="205" t="s">
        <v>98</v>
      </c>
      <c r="N246" s="208"/>
      <c r="O246" s="205"/>
      <c r="P246" s="205"/>
      <c r="Q246" s="205" t="s">
        <v>1548</v>
      </c>
      <c r="R246" s="87" t="s">
        <v>113</v>
      </c>
      <c r="S246" s="84"/>
      <c r="T246" s="84"/>
      <c r="U246" s="84"/>
      <c r="V246" s="84"/>
      <c r="W246" s="4" t="str">
        <f t="shared" si="23"/>
        <v>Negative</v>
      </c>
      <c r="X246" s="206">
        <v>-147697.51999999999</v>
      </c>
    </row>
    <row r="247" spans="1:24" ht="12" x14ac:dyDescent="0.2">
      <c r="A247" s="10" t="str">
        <f t="shared" si="19"/>
        <v>Deposit</v>
      </c>
      <c r="B247" s="13">
        <f t="array" ref="B247">IFERROR(INDEX(CreditDAY[Credit Days Nominal],MATCH(M247&amp;Q247&amp;I247,CreditDAY[Customer]&amp;CreditDAY[Договор.Наименование]&amp;CreditDAY[Brand Temp],0)),0)</f>
        <v>0</v>
      </c>
      <c r="C247" s="10"/>
      <c r="D247" s="165">
        <f t="shared" si="20"/>
        <v>0</v>
      </c>
      <c r="E247" s="16">
        <f t="shared" si="18"/>
        <v>0</v>
      </c>
      <c r="F247" s="23">
        <f t="shared" si="21"/>
        <v>44453</v>
      </c>
      <c r="G247" s="27" t="str">
        <f t="array" ref="G247">IF(K247&lt;0,"Advance",INDEX('Days Ranges'!$C$4:$C$12,MATCH(1,($F247&gt;='Days Ranges'!$A$4:$A$12)*($F247&lt;'Days Ranges'!$B$4:$B$12),0)))</f>
        <v>Advance</v>
      </c>
      <c r="H247" s="27" t="str">
        <f t="array" ref="H247">IF(K247&lt;0,"Advance",INDEX('Days Ranges'!$D$4:$D$12,MATCH(1,($F247&gt;'Days Ranges'!$A$4:$A$12)*($F247&lt;'Days Ranges'!$B$4:$B$12),0)))</f>
        <v>Advance</v>
      </c>
      <c r="I247" s="27" t="str">
        <f>IFERROR(IF(IFERROR(REPLACE(O247,FIND("ОПТ ",O247,1),4,""),O247)=0,VLOOKUP(MID(Q247,FIND(" ",Q247,1)+1,3),Brands!$B$2:$C$24,2,0),IFERROR(REPLACE(O247,FIND("ОПТ ",O247,1),4,""),O247)),"Check PLEASE")</f>
        <v>Saucony</v>
      </c>
      <c r="J247" s="27" t="str">
        <f>VLOOKUP(I247,Brands!$E$2:$F$21,2,0)</f>
        <v>Saucony</v>
      </c>
      <c r="K247" s="23">
        <f t="shared" si="22"/>
        <v>-637085.55000000005</v>
      </c>
      <c r="L247" s="208"/>
      <c r="M247" s="205" t="s">
        <v>98</v>
      </c>
      <c r="N247" s="208"/>
      <c r="O247" s="205"/>
      <c r="P247" s="205"/>
      <c r="Q247" s="205" t="s">
        <v>1393</v>
      </c>
      <c r="R247" s="87" t="s">
        <v>38</v>
      </c>
      <c r="S247" s="84"/>
      <c r="T247" s="84"/>
      <c r="U247" s="84"/>
      <c r="V247" s="84"/>
      <c r="W247" s="4" t="str">
        <f t="shared" si="23"/>
        <v>Negative</v>
      </c>
      <c r="X247" s="206">
        <v>-637085.55000000005</v>
      </c>
    </row>
    <row r="248" spans="1:24" ht="12" x14ac:dyDescent="0.2">
      <c r="A248" s="10" t="str">
        <f t="shared" si="19"/>
        <v>Deposit</v>
      </c>
      <c r="B248" s="13">
        <f t="array" ref="B248">IFERROR(INDEX(CreditDAY[Credit Days Nominal],MATCH(M248&amp;Q248&amp;I248,CreditDAY[Customer]&amp;CreditDAY[Договор.Наименование]&amp;CreditDAY[Brand Temp],0)),0)</f>
        <v>0</v>
      </c>
      <c r="C248" s="10"/>
      <c r="D248" s="165">
        <f t="shared" si="20"/>
        <v>0</v>
      </c>
      <c r="E248" s="16">
        <f t="shared" si="18"/>
        <v>0</v>
      </c>
      <c r="F248" s="23">
        <f t="shared" si="21"/>
        <v>44453</v>
      </c>
      <c r="G248" s="27" t="str">
        <f t="array" ref="G248">IF(K248&lt;0,"Advance",INDEX('Days Ranges'!$C$4:$C$12,MATCH(1,($F248&gt;='Days Ranges'!$A$4:$A$12)*($F248&lt;'Days Ranges'!$B$4:$B$12),0)))</f>
        <v>Advance</v>
      </c>
      <c r="H248" s="27" t="str">
        <f t="array" ref="H248">IF(K248&lt;0,"Advance",INDEX('Days Ranges'!$D$4:$D$12,MATCH(1,($F248&gt;'Days Ranges'!$A$4:$A$12)*($F248&lt;'Days Ranges'!$B$4:$B$12),0)))</f>
        <v>Advance</v>
      </c>
      <c r="I248" s="27" t="str">
        <f>IFERROR(IF(IFERROR(REPLACE(O248,FIND("ОПТ ",O248,1),4,""),O248)=0,VLOOKUP(MID(Q248,FIND(" ",Q248,1)+1,3),Brands!$B$2:$C$24,2,0),IFERROR(REPLACE(O248,FIND("ОПТ ",O248,1),4,""),O248)),"Check PLEASE")</f>
        <v>Converse</v>
      </c>
      <c r="J248" s="27" t="str">
        <f>VLOOKUP(I248,Brands!$E$2:$F$21,2,0)</f>
        <v>Converse</v>
      </c>
      <c r="K248" s="23">
        <f t="shared" si="22"/>
        <v>-807310.42</v>
      </c>
      <c r="L248" s="208"/>
      <c r="M248" s="205" t="s">
        <v>99</v>
      </c>
      <c r="N248" s="208"/>
      <c r="O248" s="205"/>
      <c r="P248" s="205"/>
      <c r="Q248" s="205" t="s">
        <v>42</v>
      </c>
      <c r="R248" s="87" t="s">
        <v>723</v>
      </c>
      <c r="S248" s="84"/>
      <c r="T248" s="84"/>
      <c r="U248" s="84"/>
      <c r="V248" s="84"/>
      <c r="W248" s="4" t="str">
        <f t="shared" si="23"/>
        <v>Negative</v>
      </c>
      <c r="X248" s="206">
        <v>-807310.42</v>
      </c>
    </row>
    <row r="249" spans="1:24" ht="12" x14ac:dyDescent="0.2">
      <c r="A249" s="10" t="str">
        <f t="shared" si="19"/>
        <v>Deposit</v>
      </c>
      <c r="B249" s="13">
        <f t="array" ref="B249">IFERROR(INDEX(CreditDAY[Credit Days Nominal],MATCH(M249&amp;Q249&amp;I249,CreditDAY[Customer]&amp;CreditDAY[Договор.Наименование]&amp;CreditDAY[Brand Temp],0)),0)</f>
        <v>0</v>
      </c>
      <c r="C249" s="10"/>
      <c r="D249" s="165">
        <f t="shared" si="20"/>
        <v>0</v>
      </c>
      <c r="E249" s="16">
        <f t="shared" si="18"/>
        <v>0</v>
      </c>
      <c r="F249" s="23">
        <f t="shared" si="21"/>
        <v>44453</v>
      </c>
      <c r="G249" s="27" t="str">
        <f t="array" ref="G249">IF(K249&lt;0,"Advance",INDEX('Days Ranges'!$C$4:$C$12,MATCH(1,($F249&gt;='Days Ranges'!$A$4:$A$12)*($F249&lt;'Days Ranges'!$B$4:$B$12),0)))</f>
        <v>Advance</v>
      </c>
      <c r="H249" s="27" t="str">
        <f t="array" ref="H249">IF(K249&lt;0,"Advance",INDEX('Days Ranges'!$D$4:$D$12,MATCH(1,($F249&gt;'Days Ranges'!$A$4:$A$12)*($F249&lt;'Days Ranges'!$B$4:$B$12),0)))</f>
        <v>Advance</v>
      </c>
      <c r="I249" s="27" t="str">
        <f>IFERROR(IF(IFERROR(REPLACE(O249,FIND("ОПТ ",O249,1),4,""),O249)=0,VLOOKUP(MID(Q249,FIND(" ",Q249,1)+1,3),Brands!$B$2:$C$24,2,0),IFERROR(REPLACE(O249,FIND("ОПТ ",O249,1),4,""),O249)),"Check PLEASE")</f>
        <v>Converse</v>
      </c>
      <c r="J249" s="27" t="str">
        <f>VLOOKUP(I249,Brands!$E$2:$F$21,2,0)</f>
        <v>Converse</v>
      </c>
      <c r="K249" s="23">
        <f t="shared" si="22"/>
        <v>-1487268.94</v>
      </c>
      <c r="L249" s="208"/>
      <c r="M249" s="205" t="s">
        <v>99</v>
      </c>
      <c r="N249" s="208"/>
      <c r="O249" s="205"/>
      <c r="P249" s="205"/>
      <c r="Q249" s="205" t="s">
        <v>38</v>
      </c>
      <c r="R249" s="87" t="s">
        <v>1393</v>
      </c>
      <c r="S249" s="84"/>
      <c r="T249" s="84"/>
      <c r="U249" s="84"/>
      <c r="V249" s="84"/>
      <c r="W249" s="4" t="str">
        <f t="shared" si="23"/>
        <v>Negative</v>
      </c>
      <c r="X249" s="206">
        <v>-1487268.94</v>
      </c>
    </row>
    <row r="250" spans="1:24" ht="12" x14ac:dyDescent="0.2">
      <c r="A250" s="10" t="str">
        <f t="shared" si="19"/>
        <v>Deposit</v>
      </c>
      <c r="B250" s="13">
        <f t="array" ref="B250">IFERROR(INDEX(CreditDAY[Credit Days Nominal],MATCH(M250&amp;Q250&amp;I250,CreditDAY[Customer]&amp;CreditDAY[Договор.Наименование]&amp;CreditDAY[Brand Temp],0)),0)</f>
        <v>0</v>
      </c>
      <c r="C250" s="10"/>
      <c r="D250" s="165">
        <f t="shared" si="20"/>
        <v>0</v>
      </c>
      <c r="E250" s="16">
        <f t="shared" si="18"/>
        <v>0</v>
      </c>
      <c r="F250" s="23">
        <f t="shared" si="21"/>
        <v>44453</v>
      </c>
      <c r="G250" s="27" t="str">
        <f t="array" ref="G250">IF(K250&lt;0,"Advance",INDEX('Days Ranges'!$C$4:$C$12,MATCH(1,($F250&gt;='Days Ranges'!$A$4:$A$12)*($F250&lt;'Days Ranges'!$B$4:$B$12),0)))</f>
        <v>Advance</v>
      </c>
      <c r="H250" s="27" t="str">
        <f t="array" ref="H250">IF(K250&lt;0,"Advance",INDEX('Days Ranges'!$D$4:$D$12,MATCH(1,($F250&gt;'Days Ranges'!$A$4:$A$12)*($F250&lt;'Days Ranges'!$B$4:$B$12),0)))</f>
        <v>Advance</v>
      </c>
      <c r="I250" s="27" t="str">
        <f>IFERROR(IF(IFERROR(REPLACE(O250,FIND("ОПТ ",O250,1),4,""),O250)=0,VLOOKUP(MID(Q250,FIND(" ",Q250,1)+1,3),Brands!$B$2:$C$24,2,0),IFERROR(REPLACE(O250,FIND("ОПТ ",O250,1),4,""),O250)),"Check PLEASE")</f>
        <v>Converse</v>
      </c>
      <c r="J250" s="27" t="str">
        <f>VLOOKUP(I250,Brands!$E$2:$F$21,2,0)</f>
        <v>Converse</v>
      </c>
      <c r="K250" s="23">
        <f t="shared" si="22"/>
        <v>-2224397.5099999998</v>
      </c>
      <c r="L250" s="208"/>
      <c r="M250" s="205" t="s">
        <v>99</v>
      </c>
      <c r="N250" s="208"/>
      <c r="O250" s="205"/>
      <c r="P250" s="205"/>
      <c r="Q250" s="205" t="s">
        <v>1429</v>
      </c>
      <c r="R250" s="87" t="s">
        <v>118</v>
      </c>
      <c r="S250" s="84"/>
      <c r="T250" s="84"/>
      <c r="U250" s="84"/>
      <c r="V250" s="84"/>
      <c r="W250" s="4" t="str">
        <f t="shared" si="23"/>
        <v>Negative</v>
      </c>
      <c r="X250" s="206">
        <v>-2224397.5099999998</v>
      </c>
    </row>
    <row r="251" spans="1:24" ht="12" x14ac:dyDescent="0.2">
      <c r="A251" s="10" t="str">
        <f t="shared" si="19"/>
        <v>Deposit</v>
      </c>
      <c r="B251" s="13">
        <f t="array" ref="B251">IFERROR(INDEX(CreditDAY[Credit Days Nominal],MATCH(M251&amp;Q251&amp;I251,CreditDAY[Customer]&amp;CreditDAY[Договор.Наименование]&amp;CreditDAY[Brand Temp],0)),0)</f>
        <v>0</v>
      </c>
      <c r="C251" s="10"/>
      <c r="D251" s="165">
        <f t="shared" si="20"/>
        <v>0</v>
      </c>
      <c r="E251" s="16">
        <f t="shared" si="18"/>
        <v>0</v>
      </c>
      <c r="F251" s="23">
        <f t="shared" si="21"/>
        <v>44453</v>
      </c>
      <c r="G251" s="27" t="str">
        <f t="array" ref="G251">IF(K251&lt;0,"Advance",INDEX('Days Ranges'!$C$4:$C$12,MATCH(1,($F251&gt;='Days Ranges'!$A$4:$A$12)*($F251&lt;'Days Ranges'!$B$4:$B$12),0)))</f>
        <v>Advance</v>
      </c>
      <c r="H251" s="27" t="str">
        <f t="array" ref="H251">IF(K251&lt;0,"Advance",INDEX('Days Ranges'!$D$4:$D$12,MATCH(1,($F251&gt;'Days Ranges'!$A$4:$A$12)*($F251&lt;'Days Ranges'!$B$4:$B$12),0)))</f>
        <v>Advance</v>
      </c>
      <c r="I251" s="27" t="str">
        <f>IFERROR(IF(IFERROR(REPLACE(O251,FIND("ОПТ ",O251,1),4,""),O251)=0,VLOOKUP(MID(Q251,FIND(" ",Q251,1)+1,3),Brands!$B$2:$C$24,2,0),IFERROR(REPLACE(O251,FIND("ОПТ ",O251,1),4,""),O251)),"Check PLEASE")</f>
        <v>Dr.Martens</v>
      </c>
      <c r="J251" s="27" t="str">
        <f>VLOOKUP(I251,Brands!$E$2:$F$21,2,0)</f>
        <v>Dr.Martens</v>
      </c>
      <c r="K251" s="23">
        <f t="shared" si="22"/>
        <v>-1530002.96</v>
      </c>
      <c r="L251" s="208"/>
      <c r="M251" s="205" t="s">
        <v>99</v>
      </c>
      <c r="N251" s="208"/>
      <c r="O251" s="205"/>
      <c r="P251" s="205"/>
      <c r="Q251" s="205" t="s">
        <v>724</v>
      </c>
      <c r="R251" s="87" t="s">
        <v>1393</v>
      </c>
      <c r="S251" s="84"/>
      <c r="T251" s="84"/>
      <c r="U251" s="84"/>
      <c r="V251" s="84"/>
      <c r="W251" s="4" t="str">
        <f t="shared" si="23"/>
        <v>Negative</v>
      </c>
      <c r="X251" s="206">
        <v>-1530002.96</v>
      </c>
    </row>
    <row r="252" spans="1:24" ht="12" x14ac:dyDescent="0.2">
      <c r="A252" s="10" t="str">
        <f t="shared" si="19"/>
        <v>Deposit</v>
      </c>
      <c r="B252" s="13">
        <f t="array" ref="B252">IFERROR(INDEX(CreditDAY[Credit Days Nominal],MATCH(M252&amp;Q252&amp;I252,CreditDAY[Customer]&amp;CreditDAY[Договор.Наименование]&amp;CreditDAY[Brand Temp],0)),0)</f>
        <v>0</v>
      </c>
      <c r="C252" s="10"/>
      <c r="D252" s="165">
        <f t="shared" si="20"/>
        <v>0</v>
      </c>
      <c r="E252" s="16">
        <f t="shared" si="18"/>
        <v>0</v>
      </c>
      <c r="F252" s="23">
        <f t="shared" si="21"/>
        <v>44453</v>
      </c>
      <c r="G252" s="27" t="str">
        <f t="array" ref="G252">IF(K252&lt;0,"Advance",INDEX('Days Ranges'!$C$4:$C$12,MATCH(1,($F252&gt;='Days Ranges'!$A$4:$A$12)*($F252&lt;'Days Ranges'!$B$4:$B$12),0)))</f>
        <v>Advance</v>
      </c>
      <c r="H252" s="27" t="str">
        <f t="array" ref="H252">IF(K252&lt;0,"Advance",INDEX('Days Ranges'!$D$4:$D$12,MATCH(1,($F252&gt;'Days Ranges'!$A$4:$A$12)*($F252&lt;'Days Ranges'!$B$4:$B$12),0)))</f>
        <v>Advance</v>
      </c>
      <c r="I252" s="27" t="str">
        <f>IFERROR(IF(IFERROR(REPLACE(O252,FIND("ОПТ ",O252,1),4,""),O252)=0,VLOOKUP(MID(Q252,FIND(" ",Q252,1)+1,3),Brands!$B$2:$C$24,2,0),IFERROR(REPLACE(O252,FIND("ОПТ ",O252,1),4,""),O252)),"Check PLEASE")</f>
        <v>Havaianas</v>
      </c>
      <c r="J252" s="27" t="str">
        <f>VLOOKUP(I252,Brands!$E$2:$F$21,2,0)</f>
        <v>Havaianas</v>
      </c>
      <c r="K252" s="23">
        <f t="shared" si="22"/>
        <v>-230964.89</v>
      </c>
      <c r="L252" s="208"/>
      <c r="M252" s="205" t="s">
        <v>99</v>
      </c>
      <c r="N252" s="208"/>
      <c r="O252" s="205"/>
      <c r="P252" s="205"/>
      <c r="Q252" s="205" t="s">
        <v>1548</v>
      </c>
      <c r="R252" s="87" t="s">
        <v>725</v>
      </c>
      <c r="S252" s="84"/>
      <c r="T252" s="84"/>
      <c r="U252" s="84"/>
      <c r="V252" s="84"/>
      <c r="W252" s="4" t="str">
        <f t="shared" si="23"/>
        <v>Negative</v>
      </c>
      <c r="X252" s="206">
        <v>-230964.89</v>
      </c>
    </row>
    <row r="253" spans="1:24" ht="12" x14ac:dyDescent="0.2">
      <c r="A253" s="10" t="str">
        <f t="shared" si="19"/>
        <v>Deposit</v>
      </c>
      <c r="B253" s="13">
        <f t="array" ref="B253">IFERROR(INDEX(CreditDAY[Credit Days Nominal],MATCH(M253&amp;Q253&amp;I253,CreditDAY[Customer]&amp;CreditDAY[Договор.Наименование]&amp;CreditDAY[Brand Temp],0)),0)</f>
        <v>0</v>
      </c>
      <c r="C253" s="10"/>
      <c r="D253" s="165">
        <f t="shared" si="20"/>
        <v>0</v>
      </c>
      <c r="E253" s="16">
        <f t="shared" si="18"/>
        <v>0</v>
      </c>
      <c r="F253" s="23">
        <f t="shared" si="21"/>
        <v>44453</v>
      </c>
      <c r="G253" s="27" t="str">
        <f t="array" ref="G253">IF(K253&lt;0,"Advance",INDEX('Days Ranges'!$C$4:$C$12,MATCH(1,($F253&gt;='Days Ranges'!$A$4:$A$12)*($F253&lt;'Days Ranges'!$B$4:$B$12),0)))</f>
        <v>Advance</v>
      </c>
      <c r="H253" s="27" t="str">
        <f t="array" ref="H253">IF(K253&lt;0,"Advance",INDEX('Days Ranges'!$D$4:$D$12,MATCH(1,($F253&gt;'Days Ranges'!$A$4:$A$12)*($F253&lt;'Days Ranges'!$B$4:$B$12),0)))</f>
        <v>Advance</v>
      </c>
      <c r="I253" s="27" t="str">
        <f>IFERROR(IF(IFERROR(REPLACE(O253,FIND("ОПТ ",O253,1),4,""),O253)=0,VLOOKUP(MID(Q253,FIND(" ",Q253,1)+1,3),Brands!$B$2:$C$24,2,0),IFERROR(REPLACE(O253,FIND("ОПТ ",O253,1),4,""),O253)),"Check PLEASE")</f>
        <v>Saucony</v>
      </c>
      <c r="J253" s="27" t="str">
        <f>VLOOKUP(I253,Brands!$E$2:$F$21,2,0)</f>
        <v>Saucony</v>
      </c>
      <c r="K253" s="23">
        <f t="shared" si="22"/>
        <v>-451454.78</v>
      </c>
      <c r="L253" s="208"/>
      <c r="M253" s="205" t="s">
        <v>99</v>
      </c>
      <c r="N253" s="208"/>
      <c r="O253" s="205"/>
      <c r="P253" s="205"/>
      <c r="Q253" s="205" t="s">
        <v>65</v>
      </c>
      <c r="R253" s="87" t="s">
        <v>113</v>
      </c>
      <c r="S253" s="84"/>
      <c r="T253" s="84"/>
      <c r="U253" s="84"/>
      <c r="V253" s="84"/>
      <c r="W253" s="4" t="str">
        <f t="shared" si="23"/>
        <v>Negative</v>
      </c>
      <c r="X253" s="206">
        <v>-451454.78</v>
      </c>
    </row>
    <row r="254" spans="1:24" ht="12" x14ac:dyDescent="0.2">
      <c r="A254" s="10" t="str">
        <f t="shared" si="19"/>
        <v>Deposit</v>
      </c>
      <c r="B254" s="13">
        <f t="array" ref="B254">IFERROR(INDEX(CreditDAY[Credit Days Nominal],MATCH(M254&amp;Q254&amp;I254,CreditDAY[Customer]&amp;CreditDAY[Договор.Наименование]&amp;CreditDAY[Brand Temp],0)),0)</f>
        <v>0</v>
      </c>
      <c r="C254" s="10"/>
      <c r="D254" s="165">
        <f t="shared" si="20"/>
        <v>0</v>
      </c>
      <c r="E254" s="16">
        <f t="shared" si="18"/>
        <v>0</v>
      </c>
      <c r="F254" s="23">
        <f t="shared" si="21"/>
        <v>44453</v>
      </c>
      <c r="G254" s="27" t="str">
        <f t="array" ref="G254">IF(K254&lt;0,"Advance",INDEX('Days Ranges'!$C$4:$C$12,MATCH(1,($F254&gt;='Days Ranges'!$A$4:$A$12)*($F254&lt;'Days Ranges'!$B$4:$B$12),0)))</f>
        <v>Advance</v>
      </c>
      <c r="H254" s="27" t="str">
        <f t="array" ref="H254">IF(K254&lt;0,"Advance",INDEX('Days Ranges'!$D$4:$D$12,MATCH(1,($F254&gt;'Days Ranges'!$A$4:$A$12)*($F254&lt;'Days Ranges'!$B$4:$B$12),0)))</f>
        <v>Advance</v>
      </c>
      <c r="I254" s="27" t="str">
        <f>IFERROR(IF(IFERROR(REPLACE(O254,FIND("ОПТ ",O254,1),4,""),O254)=0,VLOOKUP(MID(Q254,FIND(" ",Q254,1)+1,3),Brands!$B$2:$C$24,2,0),IFERROR(REPLACE(O254,FIND("ОПТ ",O254,1),4,""),O254)),"Check PLEASE")</f>
        <v>Saucony</v>
      </c>
      <c r="J254" s="27" t="str">
        <f>VLOOKUP(I254,Brands!$E$2:$F$21,2,0)</f>
        <v>Saucony</v>
      </c>
      <c r="K254" s="23">
        <f t="shared" si="22"/>
        <v>-421283.43</v>
      </c>
      <c r="L254" s="208"/>
      <c r="M254" s="205" t="s">
        <v>99</v>
      </c>
      <c r="N254" s="208"/>
      <c r="O254" s="205"/>
      <c r="P254" s="205"/>
      <c r="Q254" s="205" t="s">
        <v>1393</v>
      </c>
      <c r="R254" s="87" t="s">
        <v>42</v>
      </c>
      <c r="S254" s="84"/>
      <c r="T254" s="84"/>
      <c r="U254" s="84"/>
      <c r="V254" s="84"/>
      <c r="W254" s="4" t="str">
        <f t="shared" si="23"/>
        <v>Negative</v>
      </c>
      <c r="X254" s="206">
        <v>-421283.43</v>
      </c>
    </row>
    <row r="255" spans="1:24" ht="12" x14ac:dyDescent="0.2">
      <c r="A255" s="10" t="str">
        <f t="shared" si="19"/>
        <v>Deposit</v>
      </c>
      <c r="B255" s="13">
        <f t="array" ref="B255">IFERROR(INDEX(CreditDAY[Credit Days Nominal],MATCH(M255&amp;Q255&amp;I255,CreditDAY[Customer]&amp;CreditDAY[Договор.Наименование]&amp;CreditDAY[Brand Temp],0)),0)</f>
        <v>0</v>
      </c>
      <c r="C255" s="10"/>
      <c r="D255" s="165">
        <f t="shared" si="20"/>
        <v>0</v>
      </c>
      <c r="E255" s="16">
        <f t="shared" si="18"/>
        <v>0</v>
      </c>
      <c r="F255" s="23">
        <f t="shared" si="21"/>
        <v>44453</v>
      </c>
      <c r="G255" s="27" t="str">
        <f t="array" ref="G255">IF(K255&lt;0,"Advance",INDEX('Days Ranges'!$C$4:$C$12,MATCH(1,($F255&gt;='Days Ranges'!$A$4:$A$12)*($F255&lt;'Days Ranges'!$B$4:$B$12),0)))</f>
        <v>Advance</v>
      </c>
      <c r="H255" s="27" t="str">
        <f t="array" ref="H255">IF(K255&lt;0,"Advance",INDEX('Days Ranges'!$D$4:$D$12,MATCH(1,($F255&gt;'Days Ranges'!$A$4:$A$12)*($F255&lt;'Days Ranges'!$B$4:$B$12),0)))</f>
        <v>Advance</v>
      </c>
      <c r="I255" s="27" t="str">
        <f>IFERROR(IF(IFERROR(REPLACE(O255,FIND("ОПТ ",O255,1),4,""),O255)=0,VLOOKUP(MID(Q255,FIND(" ",Q255,1)+1,3),Brands!$B$2:$C$24,2,0),IFERROR(REPLACE(O255,FIND("ОПТ ",O255,1),4,""),O255)),"Check PLEASE")</f>
        <v>UGG</v>
      </c>
      <c r="J255" s="27" t="str">
        <f>VLOOKUP(I255,Brands!$E$2:$F$21,2,0)</f>
        <v>UGG</v>
      </c>
      <c r="K255" s="23">
        <f t="shared" si="22"/>
        <v>-4525122.43</v>
      </c>
      <c r="L255" s="208"/>
      <c r="M255" s="205" t="s">
        <v>99</v>
      </c>
      <c r="N255" s="208"/>
      <c r="O255" s="205"/>
      <c r="P255" s="205"/>
      <c r="Q255" s="205" t="s">
        <v>735</v>
      </c>
      <c r="R255" s="87" t="s">
        <v>63</v>
      </c>
      <c r="S255" s="84"/>
      <c r="T255" s="84"/>
      <c r="U255" s="84"/>
      <c r="V255" s="84"/>
      <c r="W255" s="4" t="str">
        <f t="shared" si="23"/>
        <v>Negative</v>
      </c>
      <c r="X255" s="206">
        <v>-4525122.43</v>
      </c>
    </row>
    <row r="256" spans="1:24" ht="12" x14ac:dyDescent="0.2">
      <c r="A256" s="10" t="str">
        <f t="shared" si="19"/>
        <v>Deposit</v>
      </c>
      <c r="B256" s="13">
        <f t="array" ref="B256">IFERROR(INDEX(CreditDAY[Credit Days Nominal],MATCH(M256&amp;Q256&amp;I256,CreditDAY[Customer]&amp;CreditDAY[Договор.Наименование]&amp;CreditDAY[Brand Temp],0)),0)</f>
        <v>0</v>
      </c>
      <c r="C256" s="10"/>
      <c r="D256" s="165">
        <f t="shared" si="20"/>
        <v>0</v>
      </c>
      <c r="E256" s="16">
        <f t="shared" si="18"/>
        <v>0</v>
      </c>
      <c r="F256" s="23">
        <f t="shared" si="21"/>
        <v>44453</v>
      </c>
      <c r="G256" s="27" t="str">
        <f t="array" ref="G256">IF(K256&lt;0,"Advance",INDEX('Days Ranges'!$C$4:$C$12,MATCH(1,($F256&gt;='Days Ranges'!$A$4:$A$12)*($F256&lt;'Days Ranges'!$B$4:$B$12),0)))</f>
        <v>Advance</v>
      </c>
      <c r="H256" s="27" t="str">
        <f t="array" ref="H256">IF(K256&lt;0,"Advance",INDEX('Days Ranges'!$D$4:$D$12,MATCH(1,($F256&gt;'Days Ranges'!$A$4:$A$12)*($F256&lt;'Days Ranges'!$B$4:$B$12),0)))</f>
        <v>Advance</v>
      </c>
      <c r="I256" s="27" t="str">
        <f>IFERROR(IF(IFERROR(REPLACE(O256,FIND("ОПТ ",O256,1),4,""),O256)=0,VLOOKUP(MID(Q256,FIND(" ",Q256,1)+1,3),Brands!$B$2:$C$24,2,0),IFERROR(REPLACE(O256,FIND("ОПТ ",O256,1),4,""),O256)),"Check PLEASE")</f>
        <v>Converse</v>
      </c>
      <c r="J256" s="27" t="str">
        <f>VLOOKUP(I256,Brands!$E$2:$F$21,2,0)</f>
        <v>Converse</v>
      </c>
      <c r="K256" s="23">
        <f t="shared" si="22"/>
        <v>-95259.43</v>
      </c>
      <c r="L256" s="208"/>
      <c r="M256" s="205" t="s">
        <v>103</v>
      </c>
      <c r="N256" s="208"/>
      <c r="O256" s="205"/>
      <c r="P256" s="205"/>
      <c r="Q256" s="205" t="s">
        <v>104</v>
      </c>
      <c r="R256" s="87" t="s">
        <v>731</v>
      </c>
      <c r="S256" s="84"/>
      <c r="T256" s="84"/>
      <c r="U256" s="84"/>
      <c r="V256" s="84"/>
      <c r="W256" s="4" t="str">
        <f t="shared" si="23"/>
        <v>Negative</v>
      </c>
      <c r="X256" s="206">
        <v>-95259.43</v>
      </c>
    </row>
    <row r="257" spans="1:24" ht="12" x14ac:dyDescent="0.2">
      <c r="A257" s="10" t="str">
        <f t="shared" si="19"/>
        <v>Deposit</v>
      </c>
      <c r="B257" s="13">
        <f t="array" ref="B257">IFERROR(INDEX(CreditDAY[Credit Days Nominal],MATCH(M257&amp;Q257&amp;I257,CreditDAY[Customer]&amp;CreditDAY[Договор.Наименование]&amp;CreditDAY[Brand Temp],0)),0)</f>
        <v>0</v>
      </c>
      <c r="C257" s="10"/>
      <c r="D257" s="165">
        <f t="shared" si="20"/>
        <v>0</v>
      </c>
      <c r="E257" s="16">
        <f t="shared" si="18"/>
        <v>0</v>
      </c>
      <c r="F257" s="23">
        <f t="shared" si="21"/>
        <v>44453</v>
      </c>
      <c r="G257" s="27" t="str">
        <f t="array" ref="G257">IF(K257&lt;0,"Advance",INDEX('Days Ranges'!$C$4:$C$12,MATCH(1,($F257&gt;='Days Ranges'!$A$4:$A$12)*($F257&lt;'Days Ranges'!$B$4:$B$12),0)))</f>
        <v>Advance</v>
      </c>
      <c r="H257" s="27" t="str">
        <f t="array" ref="H257">IF(K257&lt;0,"Advance",INDEX('Days Ranges'!$D$4:$D$12,MATCH(1,($F257&gt;'Days Ranges'!$A$4:$A$12)*($F257&lt;'Days Ranges'!$B$4:$B$12),0)))</f>
        <v>Advance</v>
      </c>
      <c r="I257" s="27" t="str">
        <f>IFERROR(IF(IFERROR(REPLACE(O257,FIND("ОПТ ",O257,1),4,""),O257)=0,VLOOKUP(MID(Q257,FIND(" ",Q257,1)+1,3),Brands!$B$2:$C$24,2,0),IFERROR(REPLACE(O257,FIND("ОПТ ",O257,1),4,""),O257)),"Check PLEASE")</f>
        <v>Converse</v>
      </c>
      <c r="J257" s="27" t="str">
        <f>VLOOKUP(I257,Brands!$E$2:$F$21,2,0)</f>
        <v>Converse</v>
      </c>
      <c r="K257" s="23">
        <f t="shared" si="22"/>
        <v>-74760.47</v>
      </c>
      <c r="L257" s="208"/>
      <c r="M257" s="205" t="s">
        <v>103</v>
      </c>
      <c r="N257" s="208"/>
      <c r="O257" s="205"/>
      <c r="P257" s="205"/>
      <c r="Q257" s="205" t="s">
        <v>1429</v>
      </c>
      <c r="R257" s="87" t="s">
        <v>128</v>
      </c>
      <c r="S257" s="84"/>
      <c r="T257" s="84"/>
      <c r="U257" s="84"/>
      <c r="V257" s="84"/>
      <c r="W257" s="4" t="str">
        <f t="shared" si="23"/>
        <v>Negative</v>
      </c>
      <c r="X257" s="206">
        <v>-74760.47</v>
      </c>
    </row>
    <row r="258" spans="1:24" ht="12" x14ac:dyDescent="0.2">
      <c r="A258" s="10" t="str">
        <f t="shared" si="19"/>
        <v>Deposit</v>
      </c>
      <c r="B258" s="13">
        <f t="array" ref="B258">IFERROR(INDEX(CreditDAY[Credit Days Nominal],MATCH(M258&amp;Q258&amp;I258,CreditDAY[Customer]&amp;CreditDAY[Договор.Наименование]&amp;CreditDAY[Brand Temp],0)),0)</f>
        <v>0</v>
      </c>
      <c r="C258" s="10"/>
      <c r="D258" s="165">
        <f t="shared" si="20"/>
        <v>0</v>
      </c>
      <c r="E258" s="16">
        <f t="shared" si="18"/>
        <v>0</v>
      </c>
      <c r="F258" s="23">
        <f t="shared" si="21"/>
        <v>44453</v>
      </c>
      <c r="G258" s="27" t="str">
        <f t="array" ref="G258">IF(K258&lt;0,"Advance",INDEX('Days Ranges'!$C$4:$C$12,MATCH(1,($F258&gt;='Days Ranges'!$A$4:$A$12)*($F258&lt;'Days Ranges'!$B$4:$B$12),0)))</f>
        <v>Advance</v>
      </c>
      <c r="H258" s="27" t="str">
        <f t="array" ref="H258">IF(K258&lt;0,"Advance",INDEX('Days Ranges'!$D$4:$D$12,MATCH(1,($F258&gt;'Days Ranges'!$A$4:$A$12)*($F258&lt;'Days Ranges'!$B$4:$B$12),0)))</f>
        <v>Advance</v>
      </c>
      <c r="I258" s="27" t="str">
        <f>IFERROR(IF(IFERROR(REPLACE(O258,FIND("ОПТ ",O258,1),4,""),O258)=0,VLOOKUP(MID(Q258,FIND(" ",Q258,1)+1,3),Brands!$B$2:$C$24,2,0),IFERROR(REPLACE(O258,FIND("ОПТ ",O258,1),4,""),O258)),"Check PLEASE")</f>
        <v>Dr.Martens</v>
      </c>
      <c r="J258" s="27" t="str">
        <f>VLOOKUP(I258,Brands!$E$2:$F$21,2,0)</f>
        <v>Dr.Martens</v>
      </c>
      <c r="K258" s="23">
        <f t="shared" si="22"/>
        <v>-220329.27</v>
      </c>
      <c r="L258" s="208"/>
      <c r="M258" s="205" t="s">
        <v>103</v>
      </c>
      <c r="N258" s="208"/>
      <c r="O258" s="205"/>
      <c r="P258" s="205"/>
      <c r="Q258" s="205" t="s">
        <v>724</v>
      </c>
      <c r="R258" s="87" t="s">
        <v>723</v>
      </c>
      <c r="S258" s="84"/>
      <c r="T258" s="84"/>
      <c r="U258" s="84"/>
      <c r="V258" s="84"/>
      <c r="W258" s="4" t="str">
        <f t="shared" si="23"/>
        <v>Negative</v>
      </c>
      <c r="X258" s="206">
        <v>-220329.27</v>
      </c>
    </row>
    <row r="259" spans="1:24" ht="12" x14ac:dyDescent="0.2">
      <c r="A259" s="10" t="str">
        <f t="shared" si="19"/>
        <v>Deposit</v>
      </c>
      <c r="B259" s="13">
        <f t="array" ref="B259">IFERROR(INDEX(CreditDAY[Credit Days Nominal],MATCH(M259&amp;Q259&amp;I259,CreditDAY[Customer]&amp;CreditDAY[Договор.Наименование]&amp;CreditDAY[Brand Temp],0)),0)</f>
        <v>0</v>
      </c>
      <c r="C259" s="10"/>
      <c r="D259" s="165">
        <f t="shared" si="20"/>
        <v>0</v>
      </c>
      <c r="E259" s="16">
        <f t="shared" si="18"/>
        <v>0</v>
      </c>
      <c r="F259" s="23">
        <f t="shared" si="21"/>
        <v>44453</v>
      </c>
      <c r="G259" s="27" t="str">
        <f t="array" ref="G259">IF(K259&lt;0,"Advance",INDEX('Days Ranges'!$C$4:$C$12,MATCH(1,($F259&gt;='Days Ranges'!$A$4:$A$12)*($F259&lt;'Days Ranges'!$B$4:$B$12),0)))</f>
        <v>Advance</v>
      </c>
      <c r="H259" s="27" t="str">
        <f t="array" ref="H259">IF(K259&lt;0,"Advance",INDEX('Days Ranges'!$D$4:$D$12,MATCH(1,($F259&gt;'Days Ranges'!$A$4:$A$12)*($F259&lt;'Days Ranges'!$B$4:$B$12),0)))</f>
        <v>Advance</v>
      </c>
      <c r="I259" s="27" t="str">
        <f>IFERROR(IF(IFERROR(REPLACE(O259,FIND("ОПТ ",O259,1),4,""),O259)=0,VLOOKUP(MID(Q259,FIND(" ",Q259,1)+1,3),Brands!$B$2:$C$24,2,0),IFERROR(REPLACE(O259,FIND("ОПТ ",O259,1),4,""),O259)),"Check PLEASE")</f>
        <v>Dr.Martens</v>
      </c>
      <c r="J259" s="27" t="str">
        <f>VLOOKUP(I259,Brands!$E$2:$F$21,2,0)</f>
        <v>Dr.Martens</v>
      </c>
      <c r="K259" s="23">
        <f t="shared" si="22"/>
        <v>-86569.63</v>
      </c>
      <c r="L259" s="208"/>
      <c r="M259" s="205" t="s">
        <v>103</v>
      </c>
      <c r="N259" s="208"/>
      <c r="O259" s="205"/>
      <c r="P259" s="205"/>
      <c r="Q259" s="205" t="s">
        <v>1484</v>
      </c>
      <c r="R259" s="87" t="s">
        <v>42</v>
      </c>
      <c r="S259" s="84"/>
      <c r="T259" s="84"/>
      <c r="U259" s="84"/>
      <c r="V259" s="84"/>
      <c r="W259" s="4" t="str">
        <f t="shared" si="23"/>
        <v>Negative</v>
      </c>
      <c r="X259" s="206">
        <v>-86569.63</v>
      </c>
    </row>
    <row r="260" spans="1:24" ht="12" x14ac:dyDescent="0.2">
      <c r="A260" s="10" t="str">
        <f t="shared" si="19"/>
        <v>Deposit</v>
      </c>
      <c r="B260" s="13">
        <f t="array" ref="B260">IFERROR(INDEX(CreditDAY[Credit Days Nominal],MATCH(M260&amp;Q260&amp;I260,CreditDAY[Customer]&amp;CreditDAY[Договор.Наименование]&amp;CreditDAY[Brand Temp],0)),0)</f>
        <v>0</v>
      </c>
      <c r="C260" s="10"/>
      <c r="D260" s="165">
        <f t="shared" si="20"/>
        <v>0</v>
      </c>
      <c r="E260" s="16">
        <f t="shared" si="18"/>
        <v>0</v>
      </c>
      <c r="F260" s="23">
        <f t="shared" si="21"/>
        <v>44453</v>
      </c>
      <c r="G260" s="27" t="str">
        <f t="array" ref="G260">IF(K260&lt;0,"Advance",INDEX('Days Ranges'!$C$4:$C$12,MATCH(1,($F260&gt;='Days Ranges'!$A$4:$A$12)*($F260&lt;'Days Ranges'!$B$4:$B$12),0)))</f>
        <v>Advance</v>
      </c>
      <c r="H260" s="27" t="str">
        <f t="array" ref="H260">IF(K260&lt;0,"Advance",INDEX('Days Ranges'!$D$4:$D$12,MATCH(1,($F260&gt;'Days Ranges'!$A$4:$A$12)*($F260&lt;'Days Ranges'!$B$4:$B$12),0)))</f>
        <v>Advance</v>
      </c>
      <c r="I260" s="27" t="str">
        <f>IFERROR(IF(IFERROR(REPLACE(O260,FIND("ОПТ ",O260,1),4,""),O260)=0,VLOOKUP(MID(Q260,FIND(" ",Q260,1)+1,3),Brands!$B$2:$C$24,2,0),IFERROR(REPLACE(O260,FIND("ОПТ ",O260,1),4,""),O260)),"Check PLEASE")</f>
        <v>UGG</v>
      </c>
      <c r="J260" s="27" t="str">
        <f>VLOOKUP(I260,Brands!$E$2:$F$21,2,0)</f>
        <v>UGG</v>
      </c>
      <c r="K260" s="23">
        <f t="shared" si="22"/>
        <v>-377357.64</v>
      </c>
      <c r="L260" s="208"/>
      <c r="M260" s="205" t="s">
        <v>103</v>
      </c>
      <c r="N260" s="208"/>
      <c r="O260" s="205"/>
      <c r="P260" s="205"/>
      <c r="Q260" s="205" t="s">
        <v>725</v>
      </c>
      <c r="R260" s="87" t="s">
        <v>63</v>
      </c>
      <c r="S260" s="84"/>
      <c r="T260" s="84"/>
      <c r="U260" s="84"/>
      <c r="V260" s="84"/>
      <c r="W260" s="4" t="str">
        <f t="shared" si="23"/>
        <v>Negative</v>
      </c>
      <c r="X260" s="206">
        <v>-377357.64</v>
      </c>
    </row>
    <row r="261" spans="1:24" ht="12" x14ac:dyDescent="0.2">
      <c r="A261" s="10" t="str">
        <f t="shared" si="19"/>
        <v>Deposit</v>
      </c>
      <c r="B261" s="13">
        <f t="array" ref="B261">IFERROR(INDEX(CreditDAY[Credit Days Nominal],MATCH(M261&amp;Q261&amp;I261,CreditDAY[Customer]&amp;CreditDAY[Договор.Наименование]&amp;CreditDAY[Brand Temp],0)),0)</f>
        <v>0</v>
      </c>
      <c r="C261" s="10"/>
      <c r="D261" s="165">
        <f t="shared" si="20"/>
        <v>0</v>
      </c>
      <c r="E261" s="16">
        <f t="shared" si="18"/>
        <v>0</v>
      </c>
      <c r="F261" s="23">
        <f t="shared" si="21"/>
        <v>44453</v>
      </c>
      <c r="G261" s="27" t="str">
        <f t="array" ref="G261">IF(K261&lt;0,"Advance",INDEX('Days Ranges'!$C$4:$C$12,MATCH(1,($F261&gt;='Days Ranges'!$A$4:$A$12)*($F261&lt;'Days Ranges'!$B$4:$B$12),0)))</f>
        <v>Advance</v>
      </c>
      <c r="H261" s="27" t="str">
        <f t="array" ref="H261">IF(K261&lt;0,"Advance",INDEX('Days Ranges'!$D$4:$D$12,MATCH(1,($F261&gt;'Days Ranges'!$A$4:$A$12)*($F261&lt;'Days Ranges'!$B$4:$B$12),0)))</f>
        <v>Advance</v>
      </c>
      <c r="I261" s="27" t="str">
        <f>IFERROR(IF(IFERROR(REPLACE(O261,FIND("ОПТ ",O261,1),4,""),O261)=0,VLOOKUP(MID(Q261,FIND(" ",Q261,1)+1,3),Brands!$B$2:$C$24,2,0),IFERROR(REPLACE(O261,FIND("ОПТ ",O261,1),4,""),O261)),"Check PLEASE")</f>
        <v>Converse</v>
      </c>
      <c r="J261" s="27" t="str">
        <f>VLOOKUP(I261,Brands!$E$2:$F$21,2,0)</f>
        <v>Converse</v>
      </c>
      <c r="K261" s="23">
        <f t="shared" si="22"/>
        <v>-45319</v>
      </c>
      <c r="L261" s="208"/>
      <c r="M261" s="205" t="s">
        <v>105</v>
      </c>
      <c r="N261" s="208"/>
      <c r="O261" s="205"/>
      <c r="P261" s="205"/>
      <c r="Q261" s="205" t="s">
        <v>1429</v>
      </c>
      <c r="R261" s="87" t="s">
        <v>724</v>
      </c>
      <c r="S261" s="84"/>
      <c r="T261" s="84"/>
      <c r="U261" s="84"/>
      <c r="V261" s="84"/>
      <c r="W261" s="4" t="str">
        <f t="shared" si="23"/>
        <v>Negative</v>
      </c>
      <c r="X261" s="206">
        <v>-45319</v>
      </c>
    </row>
    <row r="262" spans="1:24" ht="12" x14ac:dyDescent="0.2">
      <c r="A262" s="10" t="str">
        <f t="shared" si="19"/>
        <v>Deposit</v>
      </c>
      <c r="B262" s="13">
        <f t="array" ref="B262">IFERROR(INDEX(CreditDAY[Credit Days Nominal],MATCH(M262&amp;Q262&amp;I262,CreditDAY[Customer]&amp;CreditDAY[Договор.Наименование]&amp;CreditDAY[Brand Temp],0)),0)</f>
        <v>0</v>
      </c>
      <c r="C262" s="10"/>
      <c r="D262" s="165">
        <f t="shared" si="20"/>
        <v>0</v>
      </c>
      <c r="E262" s="16">
        <f t="shared" ref="E262:E325" si="24">N262+B262+C262</f>
        <v>0</v>
      </c>
      <c r="F262" s="23">
        <f t="shared" si="21"/>
        <v>44453</v>
      </c>
      <c r="G262" s="27" t="str">
        <f t="array" ref="G262">IF(K262&lt;0,"Advance",INDEX('Days Ranges'!$C$4:$C$12,MATCH(1,($F262&gt;='Days Ranges'!$A$4:$A$12)*($F262&lt;'Days Ranges'!$B$4:$B$12),0)))</f>
        <v>Advance</v>
      </c>
      <c r="H262" s="27" t="str">
        <f t="array" ref="H262">IF(K262&lt;0,"Advance",INDEX('Days Ranges'!$D$4:$D$12,MATCH(1,($F262&gt;'Days Ranges'!$A$4:$A$12)*($F262&lt;'Days Ranges'!$B$4:$B$12),0)))</f>
        <v>Advance</v>
      </c>
      <c r="I262" s="27" t="str">
        <f>IFERROR(IF(IFERROR(REPLACE(O262,FIND("ОПТ ",O262,1),4,""),O262)=0,VLOOKUP(MID(Q262,FIND(" ",Q262,1)+1,3),Brands!$B$2:$C$24,2,0),IFERROR(REPLACE(O262,FIND("ОПТ ",O262,1),4,""),O262)),"Check PLEASE")</f>
        <v>Converse</v>
      </c>
      <c r="J262" s="27" t="str">
        <f>VLOOKUP(I262,Brands!$E$2:$F$21,2,0)</f>
        <v>Converse</v>
      </c>
      <c r="K262" s="23">
        <f t="shared" si="22"/>
        <v>-40000</v>
      </c>
      <c r="L262" s="208"/>
      <c r="M262" s="205" t="s">
        <v>105</v>
      </c>
      <c r="N262" s="208"/>
      <c r="O262" s="205"/>
      <c r="P262" s="205"/>
      <c r="Q262" s="205" t="s">
        <v>1487</v>
      </c>
      <c r="R262" s="87" t="s">
        <v>65</v>
      </c>
      <c r="S262" s="84"/>
      <c r="T262" s="84"/>
      <c r="U262" s="84"/>
      <c r="V262" s="84"/>
      <c r="W262" s="4" t="str">
        <f t="shared" si="23"/>
        <v>Negative</v>
      </c>
      <c r="X262" s="206">
        <v>-40000</v>
      </c>
    </row>
    <row r="263" spans="1:24" ht="12" x14ac:dyDescent="0.2">
      <c r="A263" s="10" t="str">
        <f t="shared" ref="A263:A326" si="25">IFERROR(LEFT(L263,FIND("УТ",L263,1)-2),IF(ISERROR(FIND("Платежное",L263,1)),"Deposit","Платежное поручение входящее"))</f>
        <v>Deposit</v>
      </c>
      <c r="B263" s="13">
        <f t="array" ref="B263">IFERROR(INDEX(CreditDAY[Credit Days Nominal],MATCH(M263&amp;Q263&amp;I263,CreditDAY[Customer]&amp;CreditDAY[Договор.Наименование]&amp;CreditDAY[Brand Temp],0)),0)</f>
        <v>0</v>
      </c>
      <c r="C263" s="10"/>
      <c r="D263" s="165">
        <f t="shared" ref="D263:D326" si="26">DATE(YEAR(N263),MONTH(N263),DAY(N263))</f>
        <v>0</v>
      </c>
      <c r="E263" s="16">
        <f t="shared" si="24"/>
        <v>0</v>
      </c>
      <c r="F263" s="23">
        <f t="shared" ref="F263:F326" si="27">IFERROR($B$1-E263,100000)</f>
        <v>44453</v>
      </c>
      <c r="G263" s="27" t="str">
        <f t="array" ref="G263">IF(K263&lt;0,"Advance",INDEX('Days Ranges'!$C$4:$C$12,MATCH(1,($F263&gt;='Days Ranges'!$A$4:$A$12)*($F263&lt;'Days Ranges'!$B$4:$B$12),0)))</f>
        <v>Advance</v>
      </c>
      <c r="H263" s="27" t="str">
        <f t="array" ref="H263">IF(K263&lt;0,"Advance",INDEX('Days Ranges'!$D$4:$D$12,MATCH(1,($F263&gt;'Days Ranges'!$A$4:$A$12)*($F263&lt;'Days Ranges'!$B$4:$B$12),0)))</f>
        <v>Advance</v>
      </c>
      <c r="I263" s="27" t="str">
        <f>IFERROR(IF(IFERROR(REPLACE(O263,FIND("ОПТ ",O263,1),4,""),O263)=0,VLOOKUP(MID(Q263,FIND(" ",Q263,1)+1,3),Brands!$B$2:$C$24,2,0),IFERROR(REPLACE(O263,FIND("ОПТ ",O263,1),4,""),O263)),"Check PLEASE")</f>
        <v>Converse</v>
      </c>
      <c r="J263" s="27" t="str">
        <f>VLOOKUP(I263,Brands!$E$2:$F$21,2,0)</f>
        <v>Converse</v>
      </c>
      <c r="K263" s="23">
        <f t="shared" ref="K263:K326" si="28">X263</f>
        <v>-47713</v>
      </c>
      <c r="L263" s="208"/>
      <c r="M263" s="205" t="s">
        <v>106</v>
      </c>
      <c r="N263" s="208"/>
      <c r="O263" s="205"/>
      <c r="P263" s="205"/>
      <c r="Q263" s="205" t="s">
        <v>42</v>
      </c>
      <c r="R263" s="87" t="s">
        <v>113</v>
      </c>
      <c r="S263" s="84"/>
      <c r="T263" s="84"/>
      <c r="U263" s="84"/>
      <c r="V263" s="84"/>
      <c r="W263" s="4" t="str">
        <f t="shared" ref="W263:W326" si="29">IF(X263&lt;0,"Negative","Positive")</f>
        <v>Negative</v>
      </c>
      <c r="X263" s="206">
        <v>-47713</v>
      </c>
    </row>
    <row r="264" spans="1:24" ht="12" x14ac:dyDescent="0.2">
      <c r="A264" s="10" t="str">
        <f t="shared" si="25"/>
        <v>Deposit</v>
      </c>
      <c r="B264" s="13">
        <f t="array" ref="B264">IFERROR(INDEX(CreditDAY[Credit Days Nominal],MATCH(M264&amp;Q264&amp;I264,CreditDAY[Customer]&amp;CreditDAY[Договор.Наименование]&amp;CreditDAY[Brand Temp],0)),0)</f>
        <v>0</v>
      </c>
      <c r="C264" s="10"/>
      <c r="D264" s="165">
        <f t="shared" si="26"/>
        <v>0</v>
      </c>
      <c r="E264" s="16">
        <f t="shared" si="24"/>
        <v>0</v>
      </c>
      <c r="F264" s="23">
        <f t="shared" si="27"/>
        <v>44453</v>
      </c>
      <c r="G264" s="27" t="str">
        <f t="array" ref="G264">IF(K264&lt;0,"Advance",INDEX('Days Ranges'!$C$4:$C$12,MATCH(1,($F264&gt;='Days Ranges'!$A$4:$A$12)*($F264&lt;'Days Ranges'!$B$4:$B$12),0)))</f>
        <v>Advance</v>
      </c>
      <c r="H264" s="27" t="str">
        <f t="array" ref="H264">IF(K264&lt;0,"Advance",INDEX('Days Ranges'!$D$4:$D$12,MATCH(1,($F264&gt;'Days Ranges'!$A$4:$A$12)*($F264&lt;'Days Ranges'!$B$4:$B$12),0)))</f>
        <v>Advance</v>
      </c>
      <c r="I264" s="27" t="str">
        <f>IFERROR(IF(IFERROR(REPLACE(O264,FIND("ОПТ ",O264,1),4,""),O264)=0,VLOOKUP(MID(Q264,FIND(" ",Q264,1)+1,3),Brands!$B$2:$C$24,2,0),IFERROR(REPLACE(O264,FIND("ОПТ ",O264,1),4,""),O264)),"Check PLEASE")</f>
        <v>Converse</v>
      </c>
      <c r="J264" s="27" t="str">
        <f>VLOOKUP(I264,Brands!$E$2:$F$21,2,0)</f>
        <v>Converse</v>
      </c>
      <c r="K264" s="23">
        <f t="shared" si="28"/>
        <v>-418785</v>
      </c>
      <c r="L264" s="208"/>
      <c r="M264" s="205" t="s">
        <v>106</v>
      </c>
      <c r="N264" s="208"/>
      <c r="O264" s="205"/>
      <c r="P264" s="205"/>
      <c r="Q264" s="205" t="s">
        <v>1429</v>
      </c>
      <c r="R264" s="87" t="s">
        <v>141</v>
      </c>
      <c r="S264" s="84"/>
      <c r="T264" s="84"/>
      <c r="U264" s="84"/>
      <c r="V264" s="84"/>
      <c r="W264" s="4" t="str">
        <f t="shared" si="29"/>
        <v>Negative</v>
      </c>
      <c r="X264" s="206">
        <v>-418785</v>
      </c>
    </row>
    <row r="265" spans="1:24" ht="12" x14ac:dyDescent="0.2">
      <c r="A265" s="10" t="str">
        <f t="shared" si="25"/>
        <v>Deposit</v>
      </c>
      <c r="B265" s="13">
        <f t="array" ref="B265">IFERROR(INDEX(CreditDAY[Credit Days Nominal],MATCH(M265&amp;Q265&amp;I265,CreditDAY[Customer]&amp;CreditDAY[Договор.Наименование]&amp;CreditDAY[Brand Temp],0)),0)</f>
        <v>0</v>
      </c>
      <c r="C265" s="10"/>
      <c r="D265" s="165">
        <f t="shared" si="26"/>
        <v>0</v>
      </c>
      <c r="E265" s="16">
        <f t="shared" si="24"/>
        <v>0</v>
      </c>
      <c r="F265" s="23">
        <f t="shared" si="27"/>
        <v>44453</v>
      </c>
      <c r="G265" s="27" t="str">
        <f t="array" ref="G265">IF(K265&lt;0,"Advance",INDEX('Days Ranges'!$C$4:$C$12,MATCH(1,($F265&gt;='Days Ranges'!$A$4:$A$12)*($F265&lt;'Days Ranges'!$B$4:$B$12),0)))</f>
        <v>Advance</v>
      </c>
      <c r="H265" s="27" t="str">
        <f t="array" ref="H265">IF(K265&lt;0,"Advance",INDEX('Days Ranges'!$D$4:$D$12,MATCH(1,($F265&gt;'Days Ranges'!$A$4:$A$12)*($F265&lt;'Days Ranges'!$B$4:$B$12),0)))</f>
        <v>Advance</v>
      </c>
      <c r="I265" s="27" t="str">
        <f>IFERROR(IF(IFERROR(REPLACE(O265,FIND("ОПТ ",O265,1),4,""),O265)=0,VLOOKUP(MID(Q265,FIND(" ",Q265,1)+1,3),Brands!$B$2:$C$24,2,0),IFERROR(REPLACE(O265,FIND("ОПТ ",O265,1),4,""),O265)),"Check PLEASE")</f>
        <v>Converse</v>
      </c>
      <c r="J265" s="27" t="str">
        <f>VLOOKUP(I265,Brands!$E$2:$F$21,2,0)</f>
        <v>Converse</v>
      </c>
      <c r="K265" s="23">
        <f t="shared" si="28"/>
        <v>-140484</v>
      </c>
      <c r="L265" s="208"/>
      <c r="M265" s="205" t="s">
        <v>106</v>
      </c>
      <c r="N265" s="208"/>
      <c r="O265" s="205"/>
      <c r="P265" s="205"/>
      <c r="Q265" s="205" t="s">
        <v>39</v>
      </c>
      <c r="R265" s="87" t="s">
        <v>104</v>
      </c>
      <c r="S265" s="84"/>
      <c r="T265" s="84"/>
      <c r="U265" s="84"/>
      <c r="V265" s="84"/>
      <c r="W265" s="4" t="str">
        <f t="shared" si="29"/>
        <v>Negative</v>
      </c>
      <c r="X265" s="206">
        <v>-140484</v>
      </c>
    </row>
    <row r="266" spans="1:24" ht="12" x14ac:dyDescent="0.2">
      <c r="A266" s="10" t="str">
        <f t="shared" si="25"/>
        <v>Deposit</v>
      </c>
      <c r="B266" s="13">
        <f t="array" ref="B266">IFERROR(INDEX(CreditDAY[Credit Days Nominal],MATCH(M266&amp;Q266&amp;I266,CreditDAY[Customer]&amp;CreditDAY[Договор.Наименование]&amp;CreditDAY[Brand Temp],0)),0)</f>
        <v>0</v>
      </c>
      <c r="C266" s="10"/>
      <c r="D266" s="165">
        <f t="shared" si="26"/>
        <v>0</v>
      </c>
      <c r="E266" s="16">
        <f t="shared" si="24"/>
        <v>0</v>
      </c>
      <c r="F266" s="23">
        <f t="shared" si="27"/>
        <v>44453</v>
      </c>
      <c r="G266" s="27" t="str">
        <f t="array" ref="G266">IF(K266&lt;0,"Advance",INDEX('Days Ranges'!$C$4:$C$12,MATCH(1,($F266&gt;='Days Ranges'!$A$4:$A$12)*($F266&lt;'Days Ranges'!$B$4:$B$12),0)))</f>
        <v>Advance</v>
      </c>
      <c r="H266" s="27" t="str">
        <f t="array" ref="H266">IF(K266&lt;0,"Advance",INDEX('Days Ranges'!$D$4:$D$12,MATCH(1,($F266&gt;'Days Ranges'!$A$4:$A$12)*($F266&lt;'Days Ranges'!$B$4:$B$12),0)))</f>
        <v>Advance</v>
      </c>
      <c r="I266" s="27" t="str">
        <f>IFERROR(IF(IFERROR(REPLACE(O266,FIND("ОПТ ",O266,1),4,""),O266)=0,VLOOKUP(MID(Q266,FIND(" ",Q266,1)+1,3),Brands!$B$2:$C$24,2,0),IFERROR(REPLACE(O266,FIND("ОПТ ",O266,1),4,""),O266)),"Check PLEASE")</f>
        <v>Dr.Martens</v>
      </c>
      <c r="J266" s="27" t="str">
        <f>VLOOKUP(I266,Brands!$E$2:$F$21,2,0)</f>
        <v>Dr.Martens</v>
      </c>
      <c r="K266" s="23">
        <f t="shared" si="28"/>
        <v>-49486</v>
      </c>
      <c r="L266" s="208"/>
      <c r="M266" s="205" t="s">
        <v>106</v>
      </c>
      <c r="N266" s="208"/>
      <c r="O266" s="205"/>
      <c r="P266" s="205"/>
      <c r="Q266" s="205" t="s">
        <v>724</v>
      </c>
      <c r="R266" s="87" t="s">
        <v>1389</v>
      </c>
      <c r="S266" s="84"/>
      <c r="T266" s="84"/>
      <c r="U266" s="84"/>
      <c r="V266" s="84"/>
      <c r="W266" s="4" t="str">
        <f t="shared" si="29"/>
        <v>Negative</v>
      </c>
      <c r="X266" s="206">
        <v>-49486</v>
      </c>
    </row>
    <row r="267" spans="1:24" ht="12" x14ac:dyDescent="0.2">
      <c r="A267" s="10" t="str">
        <f t="shared" si="25"/>
        <v>Deposit</v>
      </c>
      <c r="B267" s="13">
        <f t="array" ref="B267">IFERROR(INDEX(CreditDAY[Credit Days Nominal],MATCH(M267&amp;Q267&amp;I267,CreditDAY[Customer]&amp;CreditDAY[Договор.Наименование]&amp;CreditDAY[Brand Temp],0)),0)</f>
        <v>0</v>
      </c>
      <c r="C267" s="10"/>
      <c r="D267" s="165">
        <f t="shared" si="26"/>
        <v>0</v>
      </c>
      <c r="E267" s="16">
        <f t="shared" si="24"/>
        <v>0</v>
      </c>
      <c r="F267" s="23">
        <f t="shared" si="27"/>
        <v>44453</v>
      </c>
      <c r="G267" s="27" t="str">
        <f t="array" ref="G267">IF(K267&lt;0,"Advance",INDEX('Days Ranges'!$C$4:$C$12,MATCH(1,($F267&gt;='Days Ranges'!$A$4:$A$12)*($F267&lt;'Days Ranges'!$B$4:$B$12),0)))</f>
        <v>Advance</v>
      </c>
      <c r="H267" s="27" t="str">
        <f t="array" ref="H267">IF(K267&lt;0,"Advance",INDEX('Days Ranges'!$D$4:$D$12,MATCH(1,($F267&gt;'Days Ranges'!$A$4:$A$12)*($F267&lt;'Days Ranges'!$B$4:$B$12),0)))</f>
        <v>Advance</v>
      </c>
      <c r="I267" s="27" t="str">
        <f>IFERROR(IF(IFERROR(REPLACE(O267,FIND("ОПТ ",O267,1),4,""),O267)=0,VLOOKUP(MID(Q267,FIND(" ",Q267,1)+1,3),Brands!$B$2:$C$24,2,0),IFERROR(REPLACE(O267,FIND("ОПТ ",O267,1),4,""),O267)),"Check PLEASE")</f>
        <v>Saucony</v>
      </c>
      <c r="J267" s="27" t="str">
        <f>VLOOKUP(I267,Brands!$E$2:$F$21,2,0)</f>
        <v>Saucony</v>
      </c>
      <c r="K267" s="23">
        <f t="shared" si="28"/>
        <v>-11533.5</v>
      </c>
      <c r="L267" s="208"/>
      <c r="M267" s="205" t="s">
        <v>109</v>
      </c>
      <c r="N267" s="208"/>
      <c r="O267" s="205"/>
      <c r="P267" s="205"/>
      <c r="Q267" s="205" t="s">
        <v>110</v>
      </c>
      <c r="R267" s="87" t="s">
        <v>724</v>
      </c>
      <c r="S267" s="84"/>
      <c r="T267" s="84"/>
      <c r="U267" s="84"/>
      <c r="V267" s="84"/>
      <c r="W267" s="4" t="str">
        <f t="shared" si="29"/>
        <v>Negative</v>
      </c>
      <c r="X267" s="206">
        <v>-11533.5</v>
      </c>
    </row>
    <row r="268" spans="1:24" ht="12" x14ac:dyDescent="0.2">
      <c r="A268" s="10" t="str">
        <f t="shared" si="25"/>
        <v>Deposit</v>
      </c>
      <c r="B268" s="13">
        <f t="array" ref="B268">IFERROR(INDEX(CreditDAY[Credit Days Nominal],MATCH(M268&amp;Q268&amp;I268,CreditDAY[Customer]&amp;CreditDAY[Договор.Наименование]&amp;CreditDAY[Brand Temp],0)),0)</f>
        <v>0</v>
      </c>
      <c r="C268" s="10"/>
      <c r="D268" s="165">
        <f t="shared" si="26"/>
        <v>0</v>
      </c>
      <c r="E268" s="16">
        <f t="shared" si="24"/>
        <v>0</v>
      </c>
      <c r="F268" s="23">
        <f t="shared" si="27"/>
        <v>44453</v>
      </c>
      <c r="G268" s="27" t="str">
        <f t="array" ref="G268">IF(K268&lt;0,"Advance",INDEX('Days Ranges'!$C$4:$C$12,MATCH(1,($F268&gt;='Days Ranges'!$A$4:$A$12)*($F268&lt;'Days Ranges'!$B$4:$B$12),0)))</f>
        <v>Advance</v>
      </c>
      <c r="H268" s="27" t="str">
        <f t="array" ref="H268">IF(K268&lt;0,"Advance",INDEX('Days Ranges'!$D$4:$D$12,MATCH(1,($F268&gt;'Days Ranges'!$A$4:$A$12)*($F268&lt;'Days Ranges'!$B$4:$B$12),0)))</f>
        <v>Advance</v>
      </c>
      <c r="I268" s="27" t="str">
        <f>IFERROR(IF(IFERROR(REPLACE(O268,FIND("ОПТ ",O268,1),4,""),O268)=0,VLOOKUP(MID(Q268,FIND(" ",Q268,1)+1,3),Brands!$B$2:$C$24,2,0),IFERROR(REPLACE(O268,FIND("ОПТ ",O268,1),4,""),O268)),"Check PLEASE")</f>
        <v>Dr.Martens</v>
      </c>
      <c r="J268" s="27" t="str">
        <f>VLOOKUP(I268,Brands!$E$2:$F$21,2,0)</f>
        <v>Dr.Martens</v>
      </c>
      <c r="K268" s="23">
        <f t="shared" si="28"/>
        <v>-256988</v>
      </c>
      <c r="L268" s="208"/>
      <c r="M268" s="205" t="s">
        <v>726</v>
      </c>
      <c r="N268" s="208"/>
      <c r="O268" s="205"/>
      <c r="P268" s="205"/>
      <c r="Q268" s="205" t="s">
        <v>724</v>
      </c>
      <c r="R268" s="87" t="s">
        <v>64</v>
      </c>
      <c r="S268" s="84"/>
      <c r="T268" s="84"/>
      <c r="U268" s="84"/>
      <c r="V268" s="84"/>
      <c r="W268" s="4" t="str">
        <f t="shared" si="29"/>
        <v>Negative</v>
      </c>
      <c r="X268" s="206">
        <v>-256988</v>
      </c>
    </row>
    <row r="269" spans="1:24" ht="12" x14ac:dyDescent="0.2">
      <c r="A269" s="10" t="str">
        <f t="shared" si="25"/>
        <v>Deposit</v>
      </c>
      <c r="B269" s="13">
        <f t="array" ref="B269">IFERROR(INDEX(CreditDAY[Credit Days Nominal],MATCH(M269&amp;Q269&amp;I269,CreditDAY[Customer]&amp;CreditDAY[Договор.Наименование]&amp;CreditDAY[Brand Temp],0)),0)</f>
        <v>0</v>
      </c>
      <c r="C269" s="10"/>
      <c r="D269" s="165">
        <f t="shared" si="26"/>
        <v>0</v>
      </c>
      <c r="E269" s="16">
        <f t="shared" si="24"/>
        <v>0</v>
      </c>
      <c r="F269" s="23">
        <f t="shared" si="27"/>
        <v>44453</v>
      </c>
      <c r="G269" s="27" t="str">
        <f t="array" ref="G269">IF(K269&lt;0,"Advance",INDEX('Days Ranges'!$C$4:$C$12,MATCH(1,($F269&gt;='Days Ranges'!$A$4:$A$12)*($F269&lt;'Days Ranges'!$B$4:$B$12),0)))</f>
        <v>Advance</v>
      </c>
      <c r="H269" s="27" t="str">
        <f t="array" ref="H269">IF(K269&lt;0,"Advance",INDEX('Days Ranges'!$D$4:$D$12,MATCH(1,($F269&gt;'Days Ranges'!$A$4:$A$12)*($F269&lt;'Days Ranges'!$B$4:$B$12),0)))</f>
        <v>Advance</v>
      </c>
      <c r="I269" s="27" t="str">
        <f>IFERROR(IF(IFERROR(REPLACE(O269,FIND("ОПТ ",O269,1),4,""),O269)=0,VLOOKUP(MID(Q269,FIND(" ",Q269,1)+1,3),Brands!$B$2:$C$24,2,0),IFERROR(REPLACE(O269,FIND("ОПТ ",O269,1),4,""),O269)),"Check PLEASE")</f>
        <v>Dr.Martens</v>
      </c>
      <c r="J269" s="27" t="str">
        <f>VLOOKUP(I269,Brands!$E$2:$F$21,2,0)</f>
        <v>Dr.Martens</v>
      </c>
      <c r="K269" s="23">
        <f t="shared" si="28"/>
        <v>-99768</v>
      </c>
      <c r="L269" s="208"/>
      <c r="M269" s="205" t="s">
        <v>726</v>
      </c>
      <c r="N269" s="208"/>
      <c r="O269" s="205"/>
      <c r="P269" s="205"/>
      <c r="Q269" s="205" t="s">
        <v>1484</v>
      </c>
      <c r="R269" s="87" t="s">
        <v>38</v>
      </c>
      <c r="S269" s="84"/>
      <c r="T269" s="84"/>
      <c r="U269" s="84"/>
      <c r="V269" s="84"/>
      <c r="W269" s="4" t="str">
        <f t="shared" si="29"/>
        <v>Negative</v>
      </c>
      <c r="X269" s="206">
        <v>-99768</v>
      </c>
    </row>
    <row r="270" spans="1:24" ht="12" x14ac:dyDescent="0.2">
      <c r="A270" s="10" t="str">
        <f t="shared" si="25"/>
        <v>Deposit</v>
      </c>
      <c r="B270" s="13">
        <f t="array" ref="B270">IFERROR(INDEX(CreditDAY[Credit Days Nominal],MATCH(M270&amp;Q270&amp;I270,CreditDAY[Customer]&amp;CreditDAY[Договор.Наименование]&amp;CreditDAY[Brand Temp],0)),0)</f>
        <v>0</v>
      </c>
      <c r="C270" s="10"/>
      <c r="D270" s="165">
        <f t="shared" si="26"/>
        <v>0</v>
      </c>
      <c r="E270" s="16">
        <f t="shared" si="24"/>
        <v>0</v>
      </c>
      <c r="F270" s="23">
        <f t="shared" si="27"/>
        <v>44453</v>
      </c>
      <c r="G270" s="27" t="str">
        <f t="array" ref="G270">IF(K270&lt;0,"Advance",INDEX('Days Ranges'!$C$4:$C$12,MATCH(1,($F270&gt;='Days Ranges'!$A$4:$A$12)*($F270&lt;'Days Ranges'!$B$4:$B$12),0)))</f>
        <v>Advance</v>
      </c>
      <c r="H270" s="27" t="str">
        <f t="array" ref="H270">IF(K270&lt;0,"Advance",INDEX('Days Ranges'!$D$4:$D$12,MATCH(1,($F270&gt;'Days Ranges'!$A$4:$A$12)*($F270&lt;'Days Ranges'!$B$4:$B$12),0)))</f>
        <v>Advance</v>
      </c>
      <c r="I270" s="27" t="str">
        <f>IFERROR(IF(IFERROR(REPLACE(O270,FIND("ОПТ ",O270,1),4,""),O270)=0,VLOOKUP(MID(Q270,FIND(" ",Q270,1)+1,3),Brands!$B$2:$C$24,2,0),IFERROR(REPLACE(O270,FIND("ОПТ ",O270,1),4,""),O270)),"Check PLEASE")</f>
        <v>UGG</v>
      </c>
      <c r="J270" s="27" t="str">
        <f>VLOOKUP(I270,Brands!$E$2:$F$21,2,0)</f>
        <v>UGG</v>
      </c>
      <c r="K270" s="23">
        <f t="shared" si="28"/>
        <v>-437968</v>
      </c>
      <c r="L270" s="208"/>
      <c r="M270" s="205" t="s">
        <v>726</v>
      </c>
      <c r="N270" s="208"/>
      <c r="O270" s="205"/>
      <c r="P270" s="205"/>
      <c r="Q270" s="205" t="s">
        <v>725</v>
      </c>
      <c r="R270" s="87" t="s">
        <v>39</v>
      </c>
      <c r="S270" s="84"/>
      <c r="T270" s="84"/>
      <c r="U270" s="84"/>
      <c r="V270" s="84"/>
      <c r="W270" s="4" t="str">
        <f t="shared" si="29"/>
        <v>Negative</v>
      </c>
      <c r="X270" s="206">
        <v>-437968</v>
      </c>
    </row>
    <row r="271" spans="1:24" ht="12" x14ac:dyDescent="0.2">
      <c r="A271" s="10" t="str">
        <f t="shared" si="25"/>
        <v>Deposit</v>
      </c>
      <c r="B271" s="13">
        <f t="array" ref="B271">IFERROR(INDEX(CreditDAY[Credit Days Nominal],MATCH(M271&amp;Q271&amp;I271,CreditDAY[Customer]&amp;CreditDAY[Договор.Наименование]&amp;CreditDAY[Brand Temp],0)),0)</f>
        <v>0</v>
      </c>
      <c r="C271" s="10"/>
      <c r="D271" s="165">
        <f t="shared" si="26"/>
        <v>0</v>
      </c>
      <c r="E271" s="16">
        <f t="shared" si="24"/>
        <v>0</v>
      </c>
      <c r="F271" s="23">
        <f t="shared" si="27"/>
        <v>44453</v>
      </c>
      <c r="G271" s="27" t="str">
        <f t="array" ref="G271">IF(K271&lt;0,"Advance",INDEX('Days Ranges'!$C$4:$C$12,MATCH(1,($F271&gt;='Days Ranges'!$A$4:$A$12)*($F271&lt;'Days Ranges'!$B$4:$B$12),0)))</f>
        <v>Advance</v>
      </c>
      <c r="H271" s="27" t="str">
        <f t="array" ref="H271">IF(K271&lt;0,"Advance",INDEX('Days Ranges'!$D$4:$D$12,MATCH(1,($F271&gt;'Days Ranges'!$A$4:$A$12)*($F271&lt;'Days Ranges'!$B$4:$B$12),0)))</f>
        <v>Advance</v>
      </c>
      <c r="I271" s="27" t="str">
        <f>IFERROR(IF(IFERROR(REPLACE(O271,FIND("ОПТ ",O271,1),4,""),O271)=0,VLOOKUP(MID(Q271,FIND(" ",Q271,1)+1,3),Brands!$B$2:$C$24,2,0),IFERROR(REPLACE(O271,FIND("ОПТ ",O271,1),4,""),O271)),"Check PLEASE")</f>
        <v>UGG</v>
      </c>
      <c r="J271" s="27" t="str">
        <f>VLOOKUP(I271,Brands!$E$2:$F$21,2,0)</f>
        <v>UGG</v>
      </c>
      <c r="K271" s="23">
        <f t="shared" si="28"/>
        <v>-349625</v>
      </c>
      <c r="L271" s="208"/>
      <c r="M271" s="205" t="s">
        <v>726</v>
      </c>
      <c r="N271" s="208"/>
      <c r="O271" s="205"/>
      <c r="P271" s="205"/>
      <c r="Q271" s="205" t="s">
        <v>1457</v>
      </c>
      <c r="R271" s="87" t="s">
        <v>723</v>
      </c>
      <c r="S271" s="84"/>
      <c r="T271" s="84"/>
      <c r="U271" s="84"/>
      <c r="V271" s="84"/>
      <c r="W271" s="4" t="str">
        <f t="shared" si="29"/>
        <v>Negative</v>
      </c>
      <c r="X271" s="206">
        <v>-349625</v>
      </c>
    </row>
    <row r="272" spans="1:24" ht="12" x14ac:dyDescent="0.2">
      <c r="A272" s="10" t="str">
        <f t="shared" si="25"/>
        <v>Deposit</v>
      </c>
      <c r="B272" s="13">
        <f t="array" ref="B272">IFERROR(INDEX(CreditDAY[Credit Days Nominal],MATCH(M272&amp;Q272&amp;I272,CreditDAY[Customer]&amp;CreditDAY[Договор.Наименование]&amp;CreditDAY[Brand Temp],0)),0)</f>
        <v>0</v>
      </c>
      <c r="C272" s="10"/>
      <c r="D272" s="165">
        <f t="shared" si="26"/>
        <v>0</v>
      </c>
      <c r="E272" s="16">
        <f t="shared" si="24"/>
        <v>0</v>
      </c>
      <c r="F272" s="23">
        <f t="shared" si="27"/>
        <v>44453</v>
      </c>
      <c r="G272" s="27" t="str">
        <f t="array" ref="G272">IF(K272&lt;0,"Advance",INDEX('Days Ranges'!$C$4:$C$12,MATCH(1,($F272&gt;='Days Ranges'!$A$4:$A$12)*($F272&lt;'Days Ranges'!$B$4:$B$12),0)))</f>
        <v>Advance</v>
      </c>
      <c r="H272" s="27" t="str">
        <f t="array" ref="H272">IF(K272&lt;0,"Advance",INDEX('Days Ranges'!$D$4:$D$12,MATCH(1,($F272&gt;'Days Ranges'!$A$4:$A$12)*($F272&lt;'Days Ranges'!$B$4:$B$12),0)))</f>
        <v>Advance</v>
      </c>
      <c r="I272" s="27" t="str">
        <f>IFERROR(IF(IFERROR(REPLACE(O272,FIND("ОПТ ",O272,1),4,""),O272)=0,VLOOKUP(MID(Q272,FIND(" ",Q272,1)+1,3),Brands!$B$2:$C$24,2,0),IFERROR(REPLACE(O272,FIND("ОПТ ",O272,1),4,""),O272)),"Check PLEASE")</f>
        <v>Converse</v>
      </c>
      <c r="J272" s="27" t="str">
        <f>VLOOKUP(I272,Brands!$E$2:$F$21,2,0)</f>
        <v>Converse</v>
      </c>
      <c r="K272" s="23">
        <f t="shared" si="28"/>
        <v>-120577.83</v>
      </c>
      <c r="L272" s="208"/>
      <c r="M272" s="205" t="s">
        <v>111</v>
      </c>
      <c r="N272" s="208"/>
      <c r="O272" s="205"/>
      <c r="P272" s="205"/>
      <c r="Q272" s="205" t="s">
        <v>112</v>
      </c>
      <c r="R272" s="87" t="s">
        <v>1393</v>
      </c>
      <c r="S272" s="84"/>
      <c r="T272" s="84"/>
      <c r="U272" s="84"/>
      <c r="V272" s="84"/>
      <c r="W272" s="4" t="str">
        <f t="shared" si="29"/>
        <v>Negative</v>
      </c>
      <c r="X272" s="206">
        <v>-120577.83</v>
      </c>
    </row>
    <row r="273" spans="1:24" ht="12" x14ac:dyDescent="0.2">
      <c r="A273" s="10" t="str">
        <f t="shared" si="25"/>
        <v>Deposit</v>
      </c>
      <c r="B273" s="13">
        <f t="array" ref="B273">IFERROR(INDEX(CreditDAY[Credit Days Nominal],MATCH(M273&amp;Q273&amp;I273,CreditDAY[Customer]&amp;CreditDAY[Договор.Наименование]&amp;CreditDAY[Brand Temp],0)),0)</f>
        <v>0</v>
      </c>
      <c r="C273" s="10"/>
      <c r="D273" s="165">
        <f t="shared" si="26"/>
        <v>0</v>
      </c>
      <c r="E273" s="16">
        <f t="shared" si="24"/>
        <v>0</v>
      </c>
      <c r="F273" s="23">
        <f t="shared" si="27"/>
        <v>44453</v>
      </c>
      <c r="G273" s="27" t="str">
        <f t="array" ref="G273">IF(K273&lt;0,"Advance",INDEX('Days Ranges'!$C$4:$C$12,MATCH(1,($F273&gt;='Days Ranges'!$A$4:$A$12)*($F273&lt;'Days Ranges'!$B$4:$B$12),0)))</f>
        <v>Advance</v>
      </c>
      <c r="H273" s="27" t="str">
        <f t="array" ref="H273">IF(K273&lt;0,"Advance",INDEX('Days Ranges'!$D$4:$D$12,MATCH(1,($F273&gt;'Days Ranges'!$A$4:$A$12)*($F273&lt;'Days Ranges'!$B$4:$B$12),0)))</f>
        <v>Advance</v>
      </c>
      <c r="I273" s="27" t="str">
        <f>IFERROR(IF(IFERROR(REPLACE(O273,FIND("ОПТ ",O273,1),4,""),O273)=0,VLOOKUP(MID(Q273,FIND(" ",Q273,1)+1,3),Brands!$B$2:$C$24,2,0),IFERROR(REPLACE(O273,FIND("ОПТ ",O273,1),4,""),O273)),"Check PLEASE")</f>
        <v>Converse</v>
      </c>
      <c r="J273" s="27" t="str">
        <f>VLOOKUP(I273,Brands!$E$2:$F$21,2,0)</f>
        <v>Converse</v>
      </c>
      <c r="K273" s="23">
        <f t="shared" si="28"/>
        <v>-46177.23</v>
      </c>
      <c r="L273" s="208"/>
      <c r="M273" s="205" t="s">
        <v>111</v>
      </c>
      <c r="N273" s="208"/>
      <c r="O273" s="205"/>
      <c r="P273" s="205"/>
      <c r="Q273" s="205" t="s">
        <v>113</v>
      </c>
      <c r="R273" s="87" t="s">
        <v>725</v>
      </c>
      <c r="S273" s="84"/>
      <c r="T273" s="84"/>
      <c r="U273" s="84"/>
      <c r="V273" s="84"/>
      <c r="W273" s="4" t="str">
        <f t="shared" si="29"/>
        <v>Negative</v>
      </c>
      <c r="X273" s="206">
        <v>-46177.23</v>
      </c>
    </row>
    <row r="274" spans="1:24" ht="12" x14ac:dyDescent="0.2">
      <c r="A274" s="10" t="str">
        <f t="shared" si="25"/>
        <v>Deposit</v>
      </c>
      <c r="B274" s="13">
        <f t="array" ref="B274">IFERROR(INDEX(CreditDAY[Credit Days Nominal],MATCH(M274&amp;Q274&amp;I274,CreditDAY[Customer]&amp;CreditDAY[Договор.Наименование]&amp;CreditDAY[Brand Temp],0)),0)</f>
        <v>0</v>
      </c>
      <c r="C274" s="10"/>
      <c r="D274" s="165">
        <f t="shared" si="26"/>
        <v>0</v>
      </c>
      <c r="E274" s="16">
        <f t="shared" si="24"/>
        <v>0</v>
      </c>
      <c r="F274" s="23">
        <f t="shared" si="27"/>
        <v>44453</v>
      </c>
      <c r="G274" s="27" t="str">
        <f t="array" ref="G274">IF(K274&lt;0,"Advance",INDEX('Days Ranges'!$C$4:$C$12,MATCH(1,($F274&gt;='Days Ranges'!$A$4:$A$12)*($F274&lt;'Days Ranges'!$B$4:$B$12),0)))</f>
        <v>Advance</v>
      </c>
      <c r="H274" s="27" t="str">
        <f t="array" ref="H274">IF(K274&lt;0,"Advance",INDEX('Days Ranges'!$D$4:$D$12,MATCH(1,($F274&gt;'Days Ranges'!$A$4:$A$12)*($F274&lt;'Days Ranges'!$B$4:$B$12),0)))</f>
        <v>Advance</v>
      </c>
      <c r="I274" s="27" t="str">
        <f>IFERROR(IF(IFERROR(REPLACE(O274,FIND("ОПТ ",O274,1),4,""),O274)=0,VLOOKUP(MID(Q274,FIND(" ",Q274,1)+1,3),Brands!$B$2:$C$24,2,0),IFERROR(REPLACE(O274,FIND("ОПТ ",O274,1),4,""),O274)),"Check PLEASE")</f>
        <v>Converse</v>
      </c>
      <c r="J274" s="27" t="str">
        <f>VLOOKUP(I274,Brands!$E$2:$F$21,2,0)</f>
        <v>Converse</v>
      </c>
      <c r="K274" s="23">
        <f t="shared" si="28"/>
        <v>-11259.9</v>
      </c>
      <c r="L274" s="208"/>
      <c r="M274" s="205" t="s">
        <v>114</v>
      </c>
      <c r="N274" s="208"/>
      <c r="O274" s="205"/>
      <c r="P274" s="205"/>
      <c r="Q274" s="205" t="s">
        <v>38</v>
      </c>
      <c r="R274" s="87" t="s">
        <v>151</v>
      </c>
      <c r="S274" s="84"/>
      <c r="T274" s="84"/>
      <c r="U274" s="84"/>
      <c r="V274" s="84"/>
      <c r="W274" s="4" t="str">
        <f t="shared" si="29"/>
        <v>Negative</v>
      </c>
      <c r="X274" s="206">
        <v>-11259.9</v>
      </c>
    </row>
    <row r="275" spans="1:24" ht="12" x14ac:dyDescent="0.2">
      <c r="A275" s="10" t="str">
        <f t="shared" si="25"/>
        <v>Deposit</v>
      </c>
      <c r="B275" s="13">
        <f t="array" ref="B275">IFERROR(INDEX(CreditDAY[Credit Days Nominal],MATCH(M275&amp;Q275&amp;I275,CreditDAY[Customer]&amp;CreditDAY[Договор.Наименование]&amp;CreditDAY[Brand Temp],0)),0)</f>
        <v>0</v>
      </c>
      <c r="C275" s="10"/>
      <c r="D275" s="165">
        <f t="shared" si="26"/>
        <v>0</v>
      </c>
      <c r="E275" s="16">
        <f t="shared" si="24"/>
        <v>0</v>
      </c>
      <c r="F275" s="23">
        <f t="shared" si="27"/>
        <v>44453</v>
      </c>
      <c r="G275" s="27" t="str">
        <f t="array" ref="G275">IF(K275&lt;0,"Advance",INDEX('Days Ranges'!$C$4:$C$12,MATCH(1,($F275&gt;='Days Ranges'!$A$4:$A$12)*($F275&lt;'Days Ranges'!$B$4:$B$12),0)))</f>
        <v>Advance</v>
      </c>
      <c r="H275" s="27" t="str">
        <f t="array" ref="H275">IF(K275&lt;0,"Advance",INDEX('Days Ranges'!$D$4:$D$12,MATCH(1,($F275&gt;'Days Ranges'!$A$4:$A$12)*($F275&lt;'Days Ranges'!$B$4:$B$12),0)))</f>
        <v>Advance</v>
      </c>
      <c r="I275" s="27" t="str">
        <f>IFERROR(IF(IFERROR(REPLACE(O275,FIND("ОПТ ",O275,1),4,""),O275)=0,VLOOKUP(MID(Q275,FIND(" ",Q275,1)+1,3),Brands!$B$2:$C$24,2,0),IFERROR(REPLACE(O275,FIND("ОПТ ",O275,1),4,""),O275)),"Check PLEASE")</f>
        <v>Converse</v>
      </c>
      <c r="J275" s="27" t="str">
        <f>VLOOKUP(I275,Brands!$E$2:$F$21,2,0)</f>
        <v>Converse</v>
      </c>
      <c r="K275" s="23">
        <f t="shared" si="28"/>
        <v>-25376</v>
      </c>
      <c r="L275" s="208"/>
      <c r="M275" s="205" t="s">
        <v>114</v>
      </c>
      <c r="N275" s="208"/>
      <c r="O275" s="205"/>
      <c r="P275" s="205"/>
      <c r="Q275" s="205" t="s">
        <v>1429</v>
      </c>
      <c r="R275" s="87" t="s">
        <v>38</v>
      </c>
      <c r="S275" s="84"/>
      <c r="T275" s="84"/>
      <c r="U275" s="84"/>
      <c r="V275" s="84"/>
      <c r="W275" s="4" t="str">
        <f t="shared" si="29"/>
        <v>Negative</v>
      </c>
      <c r="X275" s="206">
        <v>-25376</v>
      </c>
    </row>
    <row r="276" spans="1:24" ht="12" x14ac:dyDescent="0.2">
      <c r="A276" s="10" t="str">
        <f t="shared" si="25"/>
        <v>Deposit</v>
      </c>
      <c r="B276" s="13">
        <f t="array" ref="B276">IFERROR(INDEX(CreditDAY[Credit Days Nominal],MATCH(M276&amp;Q276&amp;I276,CreditDAY[Customer]&amp;CreditDAY[Договор.Наименование]&amp;CreditDAY[Brand Temp],0)),0)</f>
        <v>0</v>
      </c>
      <c r="C276" s="10"/>
      <c r="D276" s="165">
        <f t="shared" si="26"/>
        <v>0</v>
      </c>
      <c r="E276" s="16">
        <f t="shared" si="24"/>
        <v>0</v>
      </c>
      <c r="F276" s="23">
        <f t="shared" si="27"/>
        <v>44453</v>
      </c>
      <c r="G276" s="27" t="str">
        <f t="array" ref="G276">IF(K276&lt;0,"Advance",INDEX('Days Ranges'!$C$4:$C$12,MATCH(1,($F276&gt;='Days Ranges'!$A$4:$A$12)*($F276&lt;'Days Ranges'!$B$4:$B$12),0)))</f>
        <v>Advance</v>
      </c>
      <c r="H276" s="27" t="str">
        <f t="array" ref="H276">IF(K276&lt;0,"Advance",INDEX('Days Ranges'!$D$4:$D$12,MATCH(1,($F276&gt;'Days Ranges'!$A$4:$A$12)*($F276&lt;'Days Ranges'!$B$4:$B$12),0)))</f>
        <v>Advance</v>
      </c>
      <c r="I276" s="27" t="str">
        <f>IFERROR(IF(IFERROR(REPLACE(O276,FIND("ОПТ ",O276,1),4,""),O276)=0,VLOOKUP(MID(Q276,FIND(" ",Q276,1)+1,3),Brands!$B$2:$C$24,2,0),IFERROR(REPLACE(O276,FIND("ОПТ ",O276,1),4,""),O276)),"Check PLEASE")</f>
        <v>Converse</v>
      </c>
      <c r="J276" s="27" t="str">
        <f>VLOOKUP(I276,Brands!$E$2:$F$21,2,0)</f>
        <v>Converse</v>
      </c>
      <c r="K276" s="23">
        <f t="shared" si="28"/>
        <v>-51614.61</v>
      </c>
      <c r="L276" s="208"/>
      <c r="M276" s="205" t="s">
        <v>116</v>
      </c>
      <c r="N276" s="208"/>
      <c r="O276" s="205"/>
      <c r="P276" s="205"/>
      <c r="Q276" s="205" t="s">
        <v>1429</v>
      </c>
      <c r="R276" s="87" t="s">
        <v>153</v>
      </c>
      <c r="S276" s="84"/>
      <c r="T276" s="84"/>
      <c r="U276" s="84"/>
      <c r="V276" s="84"/>
      <c r="W276" s="4" t="str">
        <f t="shared" si="29"/>
        <v>Negative</v>
      </c>
      <c r="X276" s="206">
        <v>-51614.61</v>
      </c>
    </row>
    <row r="277" spans="1:24" ht="12" x14ac:dyDescent="0.2">
      <c r="A277" s="10" t="str">
        <f t="shared" si="25"/>
        <v>Deposit</v>
      </c>
      <c r="B277" s="13">
        <f t="array" ref="B277">IFERROR(INDEX(CreditDAY[Credit Days Nominal],MATCH(M277&amp;Q277&amp;I277,CreditDAY[Customer]&amp;CreditDAY[Договор.Наименование]&amp;CreditDAY[Brand Temp],0)),0)</f>
        <v>0</v>
      </c>
      <c r="C277" s="10"/>
      <c r="D277" s="165">
        <f t="shared" si="26"/>
        <v>0</v>
      </c>
      <c r="E277" s="16">
        <f t="shared" si="24"/>
        <v>0</v>
      </c>
      <c r="F277" s="23">
        <f t="shared" si="27"/>
        <v>44453</v>
      </c>
      <c r="G277" s="27" t="str">
        <f t="array" ref="G277">IF(K277&lt;0,"Advance",INDEX('Days Ranges'!$C$4:$C$12,MATCH(1,($F277&gt;='Days Ranges'!$A$4:$A$12)*($F277&lt;'Days Ranges'!$B$4:$B$12),0)))</f>
        <v>Advance</v>
      </c>
      <c r="H277" s="27" t="str">
        <f t="array" ref="H277">IF(K277&lt;0,"Advance",INDEX('Days Ranges'!$D$4:$D$12,MATCH(1,($F277&gt;'Days Ranges'!$A$4:$A$12)*($F277&lt;'Days Ranges'!$B$4:$B$12),0)))</f>
        <v>Advance</v>
      </c>
      <c r="I277" s="27" t="str">
        <f>IFERROR(IF(IFERROR(REPLACE(O277,FIND("ОПТ ",O277,1),4,""),O277)=0,VLOOKUP(MID(Q277,FIND(" ",Q277,1)+1,3),Brands!$B$2:$C$24,2,0),IFERROR(REPLACE(O277,FIND("ОПТ ",O277,1),4,""),O277)),"Check PLEASE")</f>
        <v>Dr.Martens</v>
      </c>
      <c r="J277" s="27" t="str">
        <f>VLOOKUP(I277,Brands!$E$2:$F$21,2,0)</f>
        <v>Dr.Martens</v>
      </c>
      <c r="K277" s="23">
        <f t="shared" si="28"/>
        <v>-100506.83</v>
      </c>
      <c r="L277" s="208"/>
      <c r="M277" s="205" t="s">
        <v>116</v>
      </c>
      <c r="N277" s="208"/>
      <c r="O277" s="205"/>
      <c r="P277" s="205"/>
      <c r="Q277" s="205" t="s">
        <v>723</v>
      </c>
      <c r="R277" s="87" t="s">
        <v>155</v>
      </c>
      <c r="S277" s="84"/>
      <c r="T277" s="84"/>
      <c r="U277" s="84"/>
      <c r="V277" s="84"/>
      <c r="W277" s="4" t="str">
        <f t="shared" si="29"/>
        <v>Negative</v>
      </c>
      <c r="X277" s="206">
        <v>-100506.83</v>
      </c>
    </row>
    <row r="278" spans="1:24" ht="12" x14ac:dyDescent="0.2">
      <c r="A278" s="10" t="str">
        <f t="shared" si="25"/>
        <v>Deposit</v>
      </c>
      <c r="B278" s="13">
        <f t="array" ref="B278">IFERROR(INDEX(CreditDAY[Credit Days Nominal],MATCH(M278&amp;Q278&amp;I278,CreditDAY[Customer]&amp;CreditDAY[Договор.Наименование]&amp;CreditDAY[Brand Temp],0)),0)</f>
        <v>0</v>
      </c>
      <c r="C278" s="10"/>
      <c r="D278" s="165">
        <f t="shared" si="26"/>
        <v>0</v>
      </c>
      <c r="E278" s="16">
        <f t="shared" si="24"/>
        <v>0</v>
      </c>
      <c r="F278" s="23">
        <f t="shared" si="27"/>
        <v>44453</v>
      </c>
      <c r="G278" s="27" t="str">
        <f t="array" ref="G278">IF(K278&lt;0,"Advance",INDEX('Days Ranges'!$C$4:$C$12,MATCH(1,($F278&gt;='Days Ranges'!$A$4:$A$12)*($F278&lt;'Days Ranges'!$B$4:$B$12),0)))</f>
        <v>Advance</v>
      </c>
      <c r="H278" s="27" t="str">
        <f t="array" ref="H278">IF(K278&lt;0,"Advance",INDEX('Days Ranges'!$D$4:$D$12,MATCH(1,($F278&gt;'Days Ranges'!$A$4:$A$12)*($F278&lt;'Days Ranges'!$B$4:$B$12),0)))</f>
        <v>Advance</v>
      </c>
      <c r="I278" s="27" t="str">
        <f>IFERROR(IF(IFERROR(REPLACE(O278,FIND("ОПТ ",O278,1),4,""),O278)=0,VLOOKUP(MID(Q278,FIND(" ",Q278,1)+1,3),Brands!$B$2:$C$24,2,0),IFERROR(REPLACE(O278,FIND("ОПТ ",O278,1),4,""),O278)),"Check PLEASE")</f>
        <v>Saucony</v>
      </c>
      <c r="J278" s="27" t="str">
        <f>VLOOKUP(I278,Brands!$E$2:$F$21,2,0)</f>
        <v>Saucony</v>
      </c>
      <c r="K278" s="23">
        <f t="shared" si="28"/>
        <v>-66778.42</v>
      </c>
      <c r="L278" s="208"/>
      <c r="M278" s="205" t="s">
        <v>116</v>
      </c>
      <c r="N278" s="208"/>
      <c r="O278" s="205"/>
      <c r="P278" s="205"/>
      <c r="Q278" s="205" t="s">
        <v>1393</v>
      </c>
      <c r="R278" s="87" t="s">
        <v>39</v>
      </c>
      <c r="S278" s="84"/>
      <c r="T278" s="84"/>
      <c r="U278" s="84"/>
      <c r="V278" s="84"/>
      <c r="W278" s="4" t="str">
        <f t="shared" si="29"/>
        <v>Negative</v>
      </c>
      <c r="X278" s="206">
        <v>-66778.42</v>
      </c>
    </row>
    <row r="279" spans="1:24" ht="12" x14ac:dyDescent="0.2">
      <c r="A279" s="10" t="str">
        <f t="shared" si="25"/>
        <v>Deposit</v>
      </c>
      <c r="B279" s="13">
        <f t="array" ref="B279">IFERROR(INDEX(CreditDAY[Credit Days Nominal],MATCH(M279&amp;Q279&amp;I279,CreditDAY[Customer]&amp;CreditDAY[Договор.Наименование]&amp;CreditDAY[Brand Temp],0)),0)</f>
        <v>0</v>
      </c>
      <c r="C279" s="10"/>
      <c r="D279" s="165">
        <f t="shared" si="26"/>
        <v>0</v>
      </c>
      <c r="E279" s="16">
        <f t="shared" si="24"/>
        <v>0</v>
      </c>
      <c r="F279" s="23">
        <f t="shared" si="27"/>
        <v>44453</v>
      </c>
      <c r="G279" s="27" t="str">
        <f t="array" ref="G279">IF(K279&lt;0,"Advance",INDEX('Days Ranges'!$C$4:$C$12,MATCH(1,($F279&gt;='Days Ranges'!$A$4:$A$12)*($F279&lt;'Days Ranges'!$B$4:$B$12),0)))</f>
        <v>Advance</v>
      </c>
      <c r="H279" s="27" t="str">
        <f t="array" ref="H279">IF(K279&lt;0,"Advance",INDEX('Days Ranges'!$D$4:$D$12,MATCH(1,($F279&gt;'Days Ranges'!$A$4:$A$12)*($F279&lt;'Days Ranges'!$B$4:$B$12),0)))</f>
        <v>Advance</v>
      </c>
      <c r="I279" s="27" t="str">
        <f>IFERROR(IF(IFERROR(REPLACE(O279,FIND("ОПТ ",O279,1),4,""),O279)=0,VLOOKUP(MID(Q279,FIND(" ",Q279,1)+1,3),Brands!$B$2:$C$24,2,0),IFERROR(REPLACE(O279,FIND("ОПТ ",O279,1),4,""),O279)),"Check PLEASE")</f>
        <v>Dr.Martens</v>
      </c>
      <c r="J279" s="27" t="str">
        <f>VLOOKUP(I279,Brands!$E$2:$F$21,2,0)</f>
        <v>Dr.Martens</v>
      </c>
      <c r="K279" s="23">
        <f t="shared" si="28"/>
        <v>-1759.12</v>
      </c>
      <c r="L279" s="208"/>
      <c r="M279" s="205" t="s">
        <v>117</v>
      </c>
      <c r="N279" s="208"/>
      <c r="O279" s="205"/>
      <c r="P279" s="205"/>
      <c r="Q279" s="205" t="s">
        <v>118</v>
      </c>
      <c r="R279" s="87" t="s">
        <v>104</v>
      </c>
      <c r="S279" s="84"/>
      <c r="T279" s="84"/>
      <c r="U279" s="84"/>
      <c r="V279" s="84"/>
      <c r="W279" s="4" t="str">
        <f t="shared" si="29"/>
        <v>Negative</v>
      </c>
      <c r="X279" s="206">
        <v>-1759.12</v>
      </c>
    </row>
    <row r="280" spans="1:24" ht="12" x14ac:dyDescent="0.2">
      <c r="A280" s="10" t="str">
        <f t="shared" si="25"/>
        <v>Deposit</v>
      </c>
      <c r="B280" s="13">
        <f t="array" ref="B280">IFERROR(INDEX(CreditDAY[Credit Days Nominal],MATCH(M280&amp;Q280&amp;I280,CreditDAY[Customer]&amp;CreditDAY[Договор.Наименование]&amp;CreditDAY[Brand Temp],0)),0)</f>
        <v>0</v>
      </c>
      <c r="C280" s="10"/>
      <c r="D280" s="165">
        <f t="shared" si="26"/>
        <v>0</v>
      </c>
      <c r="E280" s="16">
        <f t="shared" si="24"/>
        <v>0</v>
      </c>
      <c r="F280" s="23">
        <f t="shared" si="27"/>
        <v>44453</v>
      </c>
      <c r="G280" s="27" t="str">
        <f t="array" ref="G280">IF(K280&lt;0,"Advance",INDEX('Days Ranges'!$C$4:$C$12,MATCH(1,($F280&gt;='Days Ranges'!$A$4:$A$12)*($F280&lt;'Days Ranges'!$B$4:$B$12),0)))</f>
        <v>Advance</v>
      </c>
      <c r="H280" s="27" t="str">
        <f t="array" ref="H280">IF(K280&lt;0,"Advance",INDEX('Days Ranges'!$D$4:$D$12,MATCH(1,($F280&gt;'Days Ranges'!$A$4:$A$12)*($F280&lt;'Days Ranges'!$B$4:$B$12),0)))</f>
        <v>Advance</v>
      </c>
      <c r="I280" s="27" t="str">
        <f>IFERROR(IF(IFERROR(REPLACE(O280,FIND("ОПТ ",O280,1),4,""),O280)=0,VLOOKUP(MID(Q280,FIND(" ",Q280,1)+1,3),Brands!$B$2:$C$24,2,0),IFERROR(REPLACE(O280,FIND("ОПТ ",O280,1),4,""),O280)),"Check PLEASE")</f>
        <v>Converse</v>
      </c>
      <c r="J280" s="27" t="str">
        <f>VLOOKUP(I280,Brands!$E$2:$F$21,2,0)</f>
        <v>Converse</v>
      </c>
      <c r="K280" s="23">
        <f t="shared" si="28"/>
        <v>-85906.98</v>
      </c>
      <c r="L280" s="208"/>
      <c r="M280" s="205" t="s">
        <v>1485</v>
      </c>
      <c r="N280" s="208"/>
      <c r="O280" s="205"/>
      <c r="P280" s="205"/>
      <c r="Q280" s="205" t="s">
        <v>1429</v>
      </c>
      <c r="R280" s="87" t="s">
        <v>728</v>
      </c>
      <c r="S280" s="84"/>
      <c r="T280" s="84"/>
      <c r="U280" s="84"/>
      <c r="V280" s="84"/>
      <c r="W280" s="4" t="str">
        <f t="shared" si="29"/>
        <v>Negative</v>
      </c>
      <c r="X280" s="206">
        <v>-85906.98</v>
      </c>
    </row>
    <row r="281" spans="1:24" ht="12" x14ac:dyDescent="0.2">
      <c r="A281" s="10" t="str">
        <f t="shared" si="25"/>
        <v>Deposit</v>
      </c>
      <c r="B281" s="13">
        <f t="array" ref="B281">IFERROR(INDEX(CreditDAY[Credit Days Nominal],MATCH(M281&amp;Q281&amp;I281,CreditDAY[Customer]&amp;CreditDAY[Договор.Наименование]&amp;CreditDAY[Brand Temp],0)),0)</f>
        <v>0</v>
      </c>
      <c r="C281" s="10"/>
      <c r="D281" s="165">
        <f t="shared" si="26"/>
        <v>0</v>
      </c>
      <c r="E281" s="16">
        <f t="shared" si="24"/>
        <v>0</v>
      </c>
      <c r="F281" s="23">
        <f t="shared" si="27"/>
        <v>44453</v>
      </c>
      <c r="G281" s="27" t="str">
        <f t="array" ref="G281">IF(K281&lt;0,"Advance",INDEX('Days Ranges'!$C$4:$C$12,MATCH(1,($F281&gt;='Days Ranges'!$A$4:$A$12)*($F281&lt;'Days Ranges'!$B$4:$B$12),0)))</f>
        <v>Advance</v>
      </c>
      <c r="H281" s="27" t="str">
        <f t="array" ref="H281">IF(K281&lt;0,"Advance",INDEX('Days Ranges'!$D$4:$D$12,MATCH(1,($F281&gt;'Days Ranges'!$A$4:$A$12)*($F281&lt;'Days Ranges'!$B$4:$B$12),0)))</f>
        <v>Advance</v>
      </c>
      <c r="I281" s="27" t="str">
        <f>IFERROR(IF(IFERROR(REPLACE(O281,FIND("ОПТ ",O281,1),4,""),O281)=0,VLOOKUP(MID(Q281,FIND(" ",Q281,1)+1,3),Brands!$B$2:$C$24,2,0),IFERROR(REPLACE(O281,FIND("ОПТ ",O281,1),4,""),O281)),"Check PLEASE")</f>
        <v>Saucony</v>
      </c>
      <c r="J281" s="27" t="str">
        <f>VLOOKUP(I281,Brands!$E$2:$F$21,2,0)</f>
        <v>Saucony</v>
      </c>
      <c r="K281" s="23">
        <f t="shared" si="28"/>
        <v>-220629.55</v>
      </c>
      <c r="L281" s="208"/>
      <c r="M281" s="205" t="s">
        <v>1198</v>
      </c>
      <c r="N281" s="208"/>
      <c r="O281" s="205"/>
      <c r="P281" s="205"/>
      <c r="Q281" s="205" t="s">
        <v>1393</v>
      </c>
      <c r="R281" s="87" t="s">
        <v>724</v>
      </c>
      <c r="S281" s="84"/>
      <c r="T281" s="84"/>
      <c r="U281" s="84"/>
      <c r="V281" s="84"/>
      <c r="W281" s="4" t="str">
        <f t="shared" si="29"/>
        <v>Negative</v>
      </c>
      <c r="X281" s="206">
        <v>-220629.55</v>
      </c>
    </row>
    <row r="282" spans="1:24" ht="12" x14ac:dyDescent="0.2">
      <c r="A282" s="10" t="str">
        <f t="shared" si="25"/>
        <v>Deposit</v>
      </c>
      <c r="B282" s="13">
        <f t="array" ref="B282">IFERROR(INDEX(CreditDAY[Credit Days Nominal],MATCH(M282&amp;Q282&amp;I282,CreditDAY[Customer]&amp;CreditDAY[Договор.Наименование]&amp;CreditDAY[Brand Temp],0)),0)</f>
        <v>0</v>
      </c>
      <c r="C282" s="10"/>
      <c r="D282" s="165">
        <f t="shared" si="26"/>
        <v>0</v>
      </c>
      <c r="E282" s="16">
        <f t="shared" si="24"/>
        <v>0</v>
      </c>
      <c r="F282" s="23">
        <f t="shared" si="27"/>
        <v>44453</v>
      </c>
      <c r="G282" s="27" t="str">
        <f t="array" ref="G282">IF(K282&lt;0,"Advance",INDEX('Days Ranges'!$C$4:$C$12,MATCH(1,($F282&gt;='Days Ranges'!$A$4:$A$12)*($F282&lt;'Days Ranges'!$B$4:$B$12),0)))</f>
        <v>Advance</v>
      </c>
      <c r="H282" s="27" t="str">
        <f t="array" ref="H282">IF(K282&lt;0,"Advance",INDEX('Days Ranges'!$D$4:$D$12,MATCH(1,($F282&gt;'Days Ranges'!$A$4:$A$12)*($F282&lt;'Days Ranges'!$B$4:$B$12),0)))</f>
        <v>Advance</v>
      </c>
      <c r="I282" s="27" t="str">
        <f>IFERROR(IF(IFERROR(REPLACE(O282,FIND("ОПТ ",O282,1),4,""),O282)=0,VLOOKUP(MID(Q282,FIND(" ",Q282,1)+1,3),Brands!$B$2:$C$24,2,0),IFERROR(REPLACE(O282,FIND("ОПТ ",O282,1),4,""),O282)),"Check PLEASE")</f>
        <v>UGG</v>
      </c>
      <c r="J282" s="27" t="str">
        <f>VLOOKUP(I282,Brands!$E$2:$F$21,2,0)</f>
        <v>UGG</v>
      </c>
      <c r="K282" s="23">
        <f t="shared" si="28"/>
        <v>-69037.63</v>
      </c>
      <c r="L282" s="208"/>
      <c r="M282" s="205" t="s">
        <v>730</v>
      </c>
      <c r="N282" s="208"/>
      <c r="O282" s="205"/>
      <c r="P282" s="205"/>
      <c r="Q282" s="205" t="s">
        <v>725</v>
      </c>
      <c r="R282" s="87" t="s">
        <v>1389</v>
      </c>
      <c r="S282" s="84"/>
      <c r="T282" s="84"/>
      <c r="U282" s="84"/>
      <c r="V282" s="84"/>
      <c r="W282" s="4" t="str">
        <f t="shared" si="29"/>
        <v>Negative</v>
      </c>
      <c r="X282" s="206">
        <v>-69037.63</v>
      </c>
    </row>
    <row r="283" spans="1:24" ht="12" x14ac:dyDescent="0.2">
      <c r="A283" s="10" t="str">
        <f t="shared" si="25"/>
        <v>Deposit</v>
      </c>
      <c r="B283" s="13">
        <f t="array" ref="B283">IFERROR(INDEX(CreditDAY[Credit Days Nominal],MATCH(M283&amp;Q283&amp;I283,CreditDAY[Customer]&amp;CreditDAY[Договор.Наименование]&amp;CreditDAY[Brand Temp],0)),0)</f>
        <v>0</v>
      </c>
      <c r="C283" s="10"/>
      <c r="D283" s="165">
        <f t="shared" si="26"/>
        <v>0</v>
      </c>
      <c r="E283" s="16">
        <f t="shared" si="24"/>
        <v>0</v>
      </c>
      <c r="F283" s="23">
        <f t="shared" si="27"/>
        <v>44453</v>
      </c>
      <c r="G283" s="27" t="str">
        <f t="array" ref="G283">IF(K283&lt;0,"Advance",INDEX('Days Ranges'!$C$4:$C$12,MATCH(1,($F283&gt;='Days Ranges'!$A$4:$A$12)*($F283&lt;'Days Ranges'!$B$4:$B$12),0)))</f>
        <v>Advance</v>
      </c>
      <c r="H283" s="27" t="str">
        <f t="array" ref="H283">IF(K283&lt;0,"Advance",INDEX('Days Ranges'!$D$4:$D$12,MATCH(1,($F283&gt;'Days Ranges'!$A$4:$A$12)*($F283&lt;'Days Ranges'!$B$4:$B$12),0)))</f>
        <v>Advance</v>
      </c>
      <c r="I283" s="27" t="str">
        <f>IFERROR(IF(IFERROR(REPLACE(O283,FIND("ОПТ ",O283,1),4,""),O283)=0,VLOOKUP(MID(Q283,FIND(" ",Q283,1)+1,3),Brands!$B$2:$C$24,2,0),IFERROR(REPLACE(O283,FIND("ОПТ ",O283,1),4,""),O283)),"Check PLEASE")</f>
        <v>Converse</v>
      </c>
      <c r="J283" s="27" t="str">
        <f>VLOOKUP(I283,Brands!$E$2:$F$21,2,0)</f>
        <v>Converse</v>
      </c>
      <c r="K283" s="23">
        <f t="shared" si="28"/>
        <v>-50473</v>
      </c>
      <c r="L283" s="208"/>
      <c r="M283" s="205" t="s">
        <v>119</v>
      </c>
      <c r="N283" s="208"/>
      <c r="O283" s="205"/>
      <c r="P283" s="205"/>
      <c r="Q283" s="205" t="s">
        <v>113</v>
      </c>
      <c r="R283" s="87" t="s">
        <v>62</v>
      </c>
      <c r="S283" s="84"/>
      <c r="T283" s="84"/>
      <c r="U283" s="84"/>
      <c r="V283" s="84"/>
      <c r="W283" s="4" t="str">
        <f t="shared" si="29"/>
        <v>Negative</v>
      </c>
      <c r="X283" s="206">
        <v>-50473</v>
      </c>
    </row>
    <row r="284" spans="1:24" ht="12" x14ac:dyDescent="0.2">
      <c r="A284" s="10" t="str">
        <f t="shared" si="25"/>
        <v>Deposit</v>
      </c>
      <c r="B284" s="13">
        <f t="array" ref="B284">IFERROR(INDEX(CreditDAY[Credit Days Nominal],MATCH(M284&amp;Q284&amp;I284,CreditDAY[Customer]&amp;CreditDAY[Договор.Наименование]&amp;CreditDAY[Brand Temp],0)),0)</f>
        <v>0</v>
      </c>
      <c r="C284" s="10"/>
      <c r="D284" s="165">
        <f t="shared" si="26"/>
        <v>0</v>
      </c>
      <c r="E284" s="16">
        <f t="shared" si="24"/>
        <v>0</v>
      </c>
      <c r="F284" s="23">
        <f t="shared" si="27"/>
        <v>44453</v>
      </c>
      <c r="G284" s="27" t="str">
        <f t="array" ref="G284">IF(K284&lt;0,"Advance",INDEX('Days Ranges'!$C$4:$C$12,MATCH(1,($F284&gt;='Days Ranges'!$A$4:$A$12)*($F284&lt;'Days Ranges'!$B$4:$B$12),0)))</f>
        <v>Advance</v>
      </c>
      <c r="H284" s="27" t="str">
        <f t="array" ref="H284">IF(K284&lt;0,"Advance",INDEX('Days Ranges'!$D$4:$D$12,MATCH(1,($F284&gt;'Days Ranges'!$A$4:$A$12)*($F284&lt;'Days Ranges'!$B$4:$B$12),0)))</f>
        <v>Advance</v>
      </c>
      <c r="I284" s="27" t="str">
        <f>IFERROR(IF(IFERROR(REPLACE(O284,FIND("ОПТ ",O284,1),4,""),O284)=0,VLOOKUP(MID(Q284,FIND(" ",Q284,1)+1,3),Brands!$B$2:$C$24,2,0),IFERROR(REPLACE(O284,FIND("ОПТ ",O284,1),4,""),O284)),"Check PLEASE")</f>
        <v>Converse</v>
      </c>
      <c r="J284" s="27" t="str">
        <f>VLOOKUP(I284,Brands!$E$2:$F$21,2,0)</f>
        <v>Converse</v>
      </c>
      <c r="K284" s="23">
        <f t="shared" si="28"/>
        <v>-53892.24</v>
      </c>
      <c r="L284" s="208"/>
      <c r="M284" s="205" t="s">
        <v>120</v>
      </c>
      <c r="N284" s="208"/>
      <c r="O284" s="205"/>
      <c r="P284" s="205"/>
      <c r="Q284" s="205" t="s">
        <v>42</v>
      </c>
      <c r="R284" s="87" t="s">
        <v>724</v>
      </c>
      <c r="S284" s="84"/>
      <c r="T284" s="84"/>
      <c r="U284" s="84"/>
      <c r="V284" s="84"/>
      <c r="W284" s="4" t="str">
        <f t="shared" si="29"/>
        <v>Negative</v>
      </c>
      <c r="X284" s="206">
        <v>-53892.24</v>
      </c>
    </row>
    <row r="285" spans="1:24" ht="12" x14ac:dyDescent="0.2">
      <c r="A285" s="10" t="str">
        <f t="shared" si="25"/>
        <v>Deposit</v>
      </c>
      <c r="B285" s="13">
        <f t="array" ref="B285">IFERROR(INDEX(CreditDAY[Credit Days Nominal],MATCH(M285&amp;Q285&amp;I285,CreditDAY[Customer]&amp;CreditDAY[Договор.Наименование]&amp;CreditDAY[Brand Temp],0)),0)</f>
        <v>0</v>
      </c>
      <c r="C285" s="10"/>
      <c r="D285" s="165">
        <f t="shared" si="26"/>
        <v>0</v>
      </c>
      <c r="E285" s="16">
        <f t="shared" si="24"/>
        <v>0</v>
      </c>
      <c r="F285" s="23">
        <f t="shared" si="27"/>
        <v>44453</v>
      </c>
      <c r="G285" s="27" t="str">
        <f t="array" ref="G285">IF(K285&lt;0,"Advance",INDEX('Days Ranges'!$C$4:$C$12,MATCH(1,($F285&gt;='Days Ranges'!$A$4:$A$12)*($F285&lt;'Days Ranges'!$B$4:$B$12),0)))</f>
        <v>Advance</v>
      </c>
      <c r="H285" s="27" t="str">
        <f t="array" ref="H285">IF(K285&lt;0,"Advance",INDEX('Days Ranges'!$D$4:$D$12,MATCH(1,($F285&gt;'Days Ranges'!$A$4:$A$12)*($F285&lt;'Days Ranges'!$B$4:$B$12),0)))</f>
        <v>Advance</v>
      </c>
      <c r="I285" s="27" t="str">
        <f>IFERROR(IF(IFERROR(REPLACE(O285,FIND("ОПТ ",O285,1),4,""),O285)=0,VLOOKUP(MID(Q285,FIND(" ",Q285,1)+1,3),Brands!$B$2:$C$24,2,0),IFERROR(REPLACE(O285,FIND("ОПТ ",O285,1),4,""),O285)),"Check PLEASE")</f>
        <v>Converse</v>
      </c>
      <c r="J285" s="27" t="str">
        <f>VLOOKUP(I285,Brands!$E$2:$F$21,2,0)</f>
        <v>Converse</v>
      </c>
      <c r="K285" s="23">
        <f t="shared" si="28"/>
        <v>-28361.759999999998</v>
      </c>
      <c r="L285" s="208"/>
      <c r="M285" s="205" t="s">
        <v>120</v>
      </c>
      <c r="N285" s="208"/>
      <c r="O285" s="205"/>
      <c r="P285" s="205"/>
      <c r="Q285" s="205" t="s">
        <v>1429</v>
      </c>
      <c r="R285" s="87" t="s">
        <v>1393</v>
      </c>
      <c r="S285" s="84"/>
      <c r="T285" s="84"/>
      <c r="U285" s="84"/>
      <c r="V285" s="84"/>
      <c r="W285" s="4" t="str">
        <f t="shared" si="29"/>
        <v>Negative</v>
      </c>
      <c r="X285" s="207">
        <v>-28361.759999999998</v>
      </c>
    </row>
    <row r="286" spans="1:24" ht="12" x14ac:dyDescent="0.2">
      <c r="A286" s="10" t="str">
        <f t="shared" si="25"/>
        <v>Deposit</v>
      </c>
      <c r="B286" s="13">
        <f t="array" ref="B286">IFERROR(INDEX(CreditDAY[Credit Days Nominal],MATCH(M286&amp;Q286&amp;I286,CreditDAY[Customer]&amp;CreditDAY[Договор.Наименование]&amp;CreditDAY[Brand Temp],0)),0)</f>
        <v>0</v>
      </c>
      <c r="C286" s="10"/>
      <c r="D286" s="165">
        <f t="shared" si="26"/>
        <v>0</v>
      </c>
      <c r="E286" s="16">
        <f t="shared" si="24"/>
        <v>0</v>
      </c>
      <c r="F286" s="23">
        <f t="shared" si="27"/>
        <v>44453</v>
      </c>
      <c r="G286" s="27" t="str">
        <f t="array" ref="G286">IF(K286&lt;0,"Advance",INDEX('Days Ranges'!$C$4:$C$12,MATCH(1,($F286&gt;='Days Ranges'!$A$4:$A$12)*($F286&lt;'Days Ranges'!$B$4:$B$12),0)))</f>
        <v>Advance</v>
      </c>
      <c r="H286" s="27" t="str">
        <f t="array" ref="H286">IF(K286&lt;0,"Advance",INDEX('Days Ranges'!$D$4:$D$12,MATCH(1,($F286&gt;'Days Ranges'!$A$4:$A$12)*($F286&lt;'Days Ranges'!$B$4:$B$12),0)))</f>
        <v>Advance</v>
      </c>
      <c r="I286" s="27" t="str">
        <f>IFERROR(IF(IFERROR(REPLACE(O286,FIND("ОПТ ",O286,1),4,""),O286)=0,VLOOKUP(MID(Q286,FIND(" ",Q286,1)+1,3),Brands!$B$2:$C$24,2,0),IFERROR(REPLACE(O286,FIND("ОПТ ",O286,1),4,""),O286)),"Check PLEASE")</f>
        <v>Dr.Martens</v>
      </c>
      <c r="J286" s="27" t="str">
        <f>VLOOKUP(I286,Brands!$E$2:$F$21,2,0)</f>
        <v>Dr.Martens</v>
      </c>
      <c r="K286" s="23">
        <f t="shared" si="28"/>
        <v>-56290.6</v>
      </c>
      <c r="L286" s="208"/>
      <c r="M286" s="205" t="s">
        <v>121</v>
      </c>
      <c r="N286" s="208"/>
      <c r="O286" s="205"/>
      <c r="P286" s="205"/>
      <c r="Q286" s="205" t="s">
        <v>63</v>
      </c>
      <c r="R286" s="87" t="s">
        <v>725</v>
      </c>
      <c r="S286" s="84"/>
      <c r="T286" s="84"/>
      <c r="U286" s="84"/>
      <c r="V286" s="84"/>
      <c r="W286" s="4" t="str">
        <f t="shared" si="29"/>
        <v>Negative</v>
      </c>
      <c r="X286" s="206">
        <v>-56290.6</v>
      </c>
    </row>
    <row r="287" spans="1:24" ht="12" x14ac:dyDescent="0.2">
      <c r="A287" s="10" t="str">
        <f t="shared" si="25"/>
        <v>Deposit</v>
      </c>
      <c r="B287" s="13">
        <f t="array" ref="B287">IFERROR(INDEX(CreditDAY[Credit Days Nominal],MATCH(M287&amp;Q287&amp;I287,CreditDAY[Customer]&amp;CreditDAY[Договор.Наименование]&amp;CreditDAY[Brand Temp],0)),0)</f>
        <v>0</v>
      </c>
      <c r="C287" s="10"/>
      <c r="D287" s="165">
        <f t="shared" si="26"/>
        <v>0</v>
      </c>
      <c r="E287" s="16">
        <f t="shared" si="24"/>
        <v>0</v>
      </c>
      <c r="F287" s="23">
        <f t="shared" si="27"/>
        <v>44453</v>
      </c>
      <c r="G287" s="27" t="str">
        <f t="array" ref="G287">IF(K287&lt;0,"Advance",INDEX('Days Ranges'!$C$4:$C$12,MATCH(1,($F287&gt;='Days Ranges'!$A$4:$A$12)*($F287&lt;'Days Ranges'!$B$4:$B$12),0)))</f>
        <v>Advance</v>
      </c>
      <c r="H287" s="27" t="str">
        <f t="array" ref="H287">IF(K287&lt;0,"Advance",INDEX('Days Ranges'!$D$4:$D$12,MATCH(1,($F287&gt;'Days Ranges'!$A$4:$A$12)*($F287&lt;'Days Ranges'!$B$4:$B$12),0)))</f>
        <v>Advance</v>
      </c>
      <c r="I287" s="27" t="str">
        <f>IFERROR(IF(IFERROR(REPLACE(O287,FIND("ОПТ ",O287,1),4,""),O287)=0,VLOOKUP(MID(Q287,FIND(" ",Q287,1)+1,3),Brands!$B$2:$C$24,2,0),IFERROR(REPLACE(O287,FIND("ОПТ ",O287,1),4,""),O287)),"Check PLEASE")</f>
        <v>Saucony</v>
      </c>
      <c r="J287" s="27" t="str">
        <f>VLOOKUP(I287,Brands!$E$2:$F$21,2,0)</f>
        <v>Saucony</v>
      </c>
      <c r="K287" s="23">
        <f t="shared" si="28"/>
        <v>-78018.33</v>
      </c>
      <c r="L287" s="208"/>
      <c r="M287" s="205" t="s">
        <v>125</v>
      </c>
      <c r="N287" s="208"/>
      <c r="O287" s="205"/>
      <c r="P287" s="205"/>
      <c r="Q287" s="205" t="s">
        <v>731</v>
      </c>
      <c r="R287" s="87" t="s">
        <v>1393</v>
      </c>
      <c r="S287" s="84"/>
      <c r="T287" s="84"/>
      <c r="U287" s="84"/>
      <c r="V287" s="84"/>
      <c r="W287" s="4" t="str">
        <f t="shared" si="29"/>
        <v>Negative</v>
      </c>
      <c r="X287" s="206">
        <v>-78018.33</v>
      </c>
    </row>
    <row r="288" spans="1:24" ht="12" x14ac:dyDescent="0.2">
      <c r="A288" s="10" t="str">
        <f t="shared" si="25"/>
        <v>Deposit</v>
      </c>
      <c r="B288" s="13">
        <f t="array" ref="B288">IFERROR(INDEX(CreditDAY[Credit Days Nominal],MATCH(M288&amp;Q288&amp;I288,CreditDAY[Customer]&amp;CreditDAY[Договор.Наименование]&amp;CreditDAY[Brand Temp],0)),0)</f>
        <v>0</v>
      </c>
      <c r="C288" s="10"/>
      <c r="D288" s="165">
        <f t="shared" si="26"/>
        <v>0</v>
      </c>
      <c r="E288" s="16">
        <f t="shared" si="24"/>
        <v>0</v>
      </c>
      <c r="F288" s="23">
        <f t="shared" si="27"/>
        <v>44453</v>
      </c>
      <c r="G288" s="27" t="str">
        <f t="array" ref="G288">IF(K288&lt;0,"Advance",INDEX('Days Ranges'!$C$4:$C$12,MATCH(1,($F288&gt;='Days Ranges'!$A$4:$A$12)*($F288&lt;'Days Ranges'!$B$4:$B$12),0)))</f>
        <v>Advance</v>
      </c>
      <c r="H288" s="27" t="str">
        <f t="array" ref="H288">IF(K288&lt;0,"Advance",INDEX('Days Ranges'!$D$4:$D$12,MATCH(1,($F288&gt;'Days Ranges'!$A$4:$A$12)*($F288&lt;'Days Ranges'!$B$4:$B$12),0)))</f>
        <v>Advance</v>
      </c>
      <c r="I288" s="27" t="str">
        <f>IFERROR(IF(IFERROR(REPLACE(O288,FIND("ОПТ ",O288,1),4,""),O288)=0,VLOOKUP(MID(Q288,FIND(" ",Q288,1)+1,3),Brands!$B$2:$C$24,2,0),IFERROR(REPLACE(O288,FIND("ОПТ ",O288,1),4,""),O288)),"Check PLEASE")</f>
        <v>Converse</v>
      </c>
      <c r="J288" s="27" t="str">
        <f>VLOOKUP(I288,Brands!$E$2:$F$21,2,0)</f>
        <v>Converse</v>
      </c>
      <c r="K288" s="23">
        <f t="shared" si="28"/>
        <v>-95860</v>
      </c>
      <c r="L288" s="208"/>
      <c r="M288" s="205" t="s">
        <v>1486</v>
      </c>
      <c r="N288" s="208"/>
      <c r="O288" s="205"/>
      <c r="P288" s="205"/>
      <c r="Q288" s="205" t="s">
        <v>1429</v>
      </c>
      <c r="R288" s="87" t="s">
        <v>61</v>
      </c>
      <c r="S288" s="84"/>
      <c r="T288" s="84"/>
      <c r="U288" s="84"/>
      <c r="V288" s="84"/>
      <c r="W288" s="4" t="str">
        <f t="shared" si="29"/>
        <v>Negative</v>
      </c>
      <c r="X288" s="206">
        <v>-95860</v>
      </c>
    </row>
    <row r="289" spans="1:24" ht="12" x14ac:dyDescent="0.2">
      <c r="A289" s="10" t="str">
        <f t="shared" si="25"/>
        <v>Deposit</v>
      </c>
      <c r="B289" s="13">
        <f t="array" ref="B289">IFERROR(INDEX(CreditDAY[Credit Days Nominal],MATCH(M289&amp;Q289&amp;I289,CreditDAY[Customer]&amp;CreditDAY[Договор.Наименование]&amp;CreditDAY[Brand Temp],0)),0)</f>
        <v>0</v>
      </c>
      <c r="C289" s="10"/>
      <c r="D289" s="165">
        <f t="shared" si="26"/>
        <v>0</v>
      </c>
      <c r="E289" s="16">
        <f t="shared" si="24"/>
        <v>0</v>
      </c>
      <c r="F289" s="23">
        <f t="shared" si="27"/>
        <v>44453</v>
      </c>
      <c r="G289" s="27" t="str">
        <f t="array" ref="G289">IF(K289&lt;0,"Advance",INDEX('Days Ranges'!$C$4:$C$12,MATCH(1,($F289&gt;='Days Ranges'!$A$4:$A$12)*($F289&lt;'Days Ranges'!$B$4:$B$12),0)))</f>
        <v>Advance</v>
      </c>
      <c r="H289" s="27" t="str">
        <f t="array" ref="H289">IF(K289&lt;0,"Advance",INDEX('Days Ranges'!$D$4:$D$12,MATCH(1,($F289&gt;'Days Ranges'!$A$4:$A$12)*($F289&lt;'Days Ranges'!$B$4:$B$12),0)))</f>
        <v>Advance</v>
      </c>
      <c r="I289" s="27" t="str">
        <f>IFERROR(IF(IFERROR(REPLACE(O289,FIND("ОПТ ",O289,1),4,""),O289)=0,VLOOKUP(MID(Q289,FIND(" ",Q289,1)+1,3),Brands!$B$2:$C$24,2,0),IFERROR(REPLACE(O289,FIND("ОПТ ",O289,1),4,""),O289)),"Check PLEASE")</f>
        <v>Converse</v>
      </c>
      <c r="J289" s="27" t="str">
        <f>VLOOKUP(I289,Brands!$E$2:$F$21,2,0)</f>
        <v>Converse</v>
      </c>
      <c r="K289" s="23">
        <f t="shared" si="28"/>
        <v>-7199.46</v>
      </c>
      <c r="L289" s="208"/>
      <c r="M289" s="205" t="s">
        <v>127</v>
      </c>
      <c r="N289" s="208"/>
      <c r="O289" s="205"/>
      <c r="P289" s="205"/>
      <c r="Q289" s="205" t="s">
        <v>128</v>
      </c>
      <c r="R289" s="87" t="s">
        <v>735</v>
      </c>
      <c r="S289" s="84"/>
      <c r="T289" s="84"/>
      <c r="U289" s="84"/>
      <c r="V289" s="84"/>
      <c r="W289" s="4" t="str">
        <f t="shared" si="29"/>
        <v>Negative</v>
      </c>
      <c r="X289" s="206">
        <v>-7199.46</v>
      </c>
    </row>
    <row r="290" spans="1:24" ht="12" x14ac:dyDescent="0.2">
      <c r="A290" s="10" t="str">
        <f t="shared" si="25"/>
        <v>Deposit</v>
      </c>
      <c r="B290" s="13">
        <f t="array" ref="B290">IFERROR(INDEX(CreditDAY[Credit Days Nominal],MATCH(M290&amp;Q290&amp;I290,CreditDAY[Customer]&amp;CreditDAY[Договор.Наименование]&amp;CreditDAY[Brand Temp],0)),0)</f>
        <v>0</v>
      </c>
      <c r="C290" s="10"/>
      <c r="D290" s="165">
        <f t="shared" si="26"/>
        <v>0</v>
      </c>
      <c r="E290" s="16">
        <f t="shared" si="24"/>
        <v>0</v>
      </c>
      <c r="F290" s="23">
        <f t="shared" si="27"/>
        <v>44453</v>
      </c>
      <c r="G290" s="27" t="str">
        <f t="array" ref="G290">IF(K290&lt;0,"Advance",INDEX('Days Ranges'!$C$4:$C$12,MATCH(1,($F290&gt;='Days Ranges'!$A$4:$A$12)*($F290&lt;'Days Ranges'!$B$4:$B$12),0)))</f>
        <v>Advance</v>
      </c>
      <c r="H290" s="27" t="str">
        <f t="array" ref="H290">IF(K290&lt;0,"Advance",INDEX('Days Ranges'!$D$4:$D$12,MATCH(1,($F290&gt;'Days Ranges'!$A$4:$A$12)*($F290&lt;'Days Ranges'!$B$4:$B$12),0)))</f>
        <v>Advance</v>
      </c>
      <c r="I290" s="27" t="str">
        <f>IFERROR(IF(IFERROR(REPLACE(O290,FIND("ОПТ ",O290,1),4,""),O290)=0,VLOOKUP(MID(Q290,FIND(" ",Q290,1)+1,3),Brands!$B$2:$C$24,2,0),IFERROR(REPLACE(O290,FIND("ОПТ ",O290,1),4,""),O290)),"Check PLEASE")</f>
        <v>Dr.Martens</v>
      </c>
      <c r="J290" s="27" t="str">
        <f>VLOOKUP(I290,Brands!$E$2:$F$21,2,0)</f>
        <v>Dr.Martens</v>
      </c>
      <c r="K290" s="23">
        <f t="shared" si="28"/>
        <v>-103355.81</v>
      </c>
      <c r="L290" s="208"/>
      <c r="M290" s="205" t="s">
        <v>732</v>
      </c>
      <c r="N290" s="208"/>
      <c r="O290" s="205"/>
      <c r="P290" s="205"/>
      <c r="Q290" s="205" t="s">
        <v>723</v>
      </c>
      <c r="R290" s="87" t="s">
        <v>42</v>
      </c>
      <c r="S290" s="84"/>
      <c r="T290" s="84"/>
      <c r="U290" s="84"/>
      <c r="V290" s="84"/>
      <c r="W290" s="4" t="str">
        <f t="shared" si="29"/>
        <v>Negative</v>
      </c>
      <c r="X290" s="207">
        <v>-103355.81</v>
      </c>
    </row>
    <row r="291" spans="1:24" ht="12" x14ac:dyDescent="0.2">
      <c r="A291" s="10" t="str">
        <f t="shared" si="25"/>
        <v>Deposit</v>
      </c>
      <c r="B291" s="13">
        <f t="array" ref="B291">IFERROR(INDEX(CreditDAY[Credit Days Nominal],MATCH(M291&amp;Q291&amp;I291,CreditDAY[Customer]&amp;CreditDAY[Договор.Наименование]&amp;CreditDAY[Brand Temp],0)),0)</f>
        <v>0</v>
      </c>
      <c r="C291" s="10"/>
      <c r="D291" s="165">
        <f t="shared" si="26"/>
        <v>0</v>
      </c>
      <c r="E291" s="16">
        <f t="shared" si="24"/>
        <v>0</v>
      </c>
      <c r="F291" s="23">
        <f t="shared" si="27"/>
        <v>44453</v>
      </c>
      <c r="G291" s="27" t="str">
        <f t="array" ref="G291">IF(K291&lt;0,"Advance",INDEX('Days Ranges'!$C$4:$C$12,MATCH(1,($F291&gt;='Days Ranges'!$A$4:$A$12)*($F291&lt;'Days Ranges'!$B$4:$B$12),0)))</f>
        <v>Advance</v>
      </c>
      <c r="H291" s="27" t="str">
        <f t="array" ref="H291">IF(K291&lt;0,"Advance",INDEX('Days Ranges'!$D$4:$D$12,MATCH(1,($F291&gt;'Days Ranges'!$A$4:$A$12)*($F291&lt;'Days Ranges'!$B$4:$B$12),0)))</f>
        <v>Advance</v>
      </c>
      <c r="I291" s="27" t="str">
        <f>IFERROR(IF(IFERROR(REPLACE(O291,FIND("ОПТ ",O291,1),4,""),O291)=0,VLOOKUP(MID(Q291,FIND(" ",Q291,1)+1,3),Brands!$B$2:$C$24,2,0),IFERROR(REPLACE(O291,FIND("ОПТ ",O291,1),4,""),O291)),"Check PLEASE")</f>
        <v>Converse</v>
      </c>
      <c r="J291" s="27" t="str">
        <f>VLOOKUP(I291,Brands!$E$2:$F$21,2,0)</f>
        <v>Converse</v>
      </c>
      <c r="K291" s="23">
        <f t="shared" si="28"/>
        <v>-89872.75</v>
      </c>
      <c r="L291" s="208"/>
      <c r="M291" s="205" t="s">
        <v>133</v>
      </c>
      <c r="N291" s="208"/>
      <c r="O291" s="205"/>
      <c r="P291" s="205"/>
      <c r="Q291" s="205" t="s">
        <v>42</v>
      </c>
      <c r="R291" s="87" t="s">
        <v>38</v>
      </c>
      <c r="S291" s="84"/>
      <c r="T291" s="84"/>
      <c r="U291" s="84"/>
      <c r="V291" s="84"/>
      <c r="W291" s="4" t="str">
        <f t="shared" si="29"/>
        <v>Negative</v>
      </c>
      <c r="X291" s="206">
        <v>-89872.75</v>
      </c>
    </row>
    <row r="292" spans="1:24" ht="12" x14ac:dyDescent="0.2">
      <c r="A292" s="10" t="str">
        <f t="shared" si="25"/>
        <v>Deposit</v>
      </c>
      <c r="B292" s="13">
        <f t="array" ref="B292">IFERROR(INDEX(CreditDAY[Credit Days Nominal],MATCH(M292&amp;Q292&amp;I292,CreditDAY[Customer]&amp;CreditDAY[Договор.Наименование]&amp;CreditDAY[Brand Temp],0)),0)</f>
        <v>0</v>
      </c>
      <c r="C292" s="10"/>
      <c r="D292" s="165">
        <f t="shared" si="26"/>
        <v>0</v>
      </c>
      <c r="E292" s="16">
        <f t="shared" si="24"/>
        <v>0</v>
      </c>
      <c r="F292" s="23">
        <f t="shared" si="27"/>
        <v>44453</v>
      </c>
      <c r="G292" s="27" t="str">
        <f t="array" ref="G292">IF(K292&lt;0,"Advance",INDEX('Days Ranges'!$C$4:$C$12,MATCH(1,($F292&gt;='Days Ranges'!$A$4:$A$12)*($F292&lt;'Days Ranges'!$B$4:$B$12),0)))</f>
        <v>Advance</v>
      </c>
      <c r="H292" s="27" t="str">
        <f t="array" ref="H292">IF(K292&lt;0,"Advance",INDEX('Days Ranges'!$D$4:$D$12,MATCH(1,($F292&gt;'Days Ranges'!$A$4:$A$12)*($F292&lt;'Days Ranges'!$B$4:$B$12),0)))</f>
        <v>Advance</v>
      </c>
      <c r="I292" s="27" t="str">
        <f>IFERROR(IF(IFERROR(REPLACE(O292,FIND("ОПТ ",O292,1),4,""),O292)=0,VLOOKUP(MID(Q292,FIND(" ",Q292,1)+1,3),Brands!$B$2:$C$24,2,0),IFERROR(REPLACE(O292,FIND("ОПТ ",O292,1),4,""),O292)),"Check PLEASE")</f>
        <v>Converse</v>
      </c>
      <c r="J292" s="27" t="str">
        <f>VLOOKUP(I292,Brands!$E$2:$F$21,2,0)</f>
        <v>Converse</v>
      </c>
      <c r="K292" s="23">
        <f t="shared" si="28"/>
        <v>-165347.43</v>
      </c>
      <c r="L292" s="208"/>
      <c r="M292" s="205" t="s">
        <v>133</v>
      </c>
      <c r="N292" s="208"/>
      <c r="O292" s="205"/>
      <c r="P292" s="205"/>
      <c r="Q292" s="205" t="s">
        <v>1429</v>
      </c>
      <c r="R292" s="87" t="s">
        <v>1186</v>
      </c>
      <c r="S292" s="84"/>
      <c r="T292" s="84"/>
      <c r="U292" s="84"/>
      <c r="V292" s="84"/>
      <c r="W292" s="4" t="str">
        <f t="shared" si="29"/>
        <v>Negative</v>
      </c>
      <c r="X292" s="206">
        <v>-165347.43</v>
      </c>
    </row>
    <row r="293" spans="1:24" ht="12" x14ac:dyDescent="0.2">
      <c r="A293" s="10" t="str">
        <f t="shared" si="25"/>
        <v>Deposit</v>
      </c>
      <c r="B293" s="13">
        <f t="array" ref="B293">IFERROR(INDEX(CreditDAY[Credit Days Nominal],MATCH(M293&amp;Q293&amp;I293,CreditDAY[Customer]&amp;CreditDAY[Договор.Наименование]&amp;CreditDAY[Brand Temp],0)),0)</f>
        <v>0</v>
      </c>
      <c r="C293" s="10"/>
      <c r="D293" s="165">
        <f t="shared" si="26"/>
        <v>0</v>
      </c>
      <c r="E293" s="16">
        <f t="shared" si="24"/>
        <v>0</v>
      </c>
      <c r="F293" s="23">
        <f t="shared" si="27"/>
        <v>44453</v>
      </c>
      <c r="G293" s="27" t="str">
        <f t="array" ref="G293">IF(K293&lt;0,"Advance",INDEX('Days Ranges'!$C$4:$C$12,MATCH(1,($F293&gt;='Days Ranges'!$A$4:$A$12)*($F293&lt;'Days Ranges'!$B$4:$B$12),0)))</f>
        <v>Advance</v>
      </c>
      <c r="H293" s="27" t="str">
        <f t="array" ref="H293">IF(K293&lt;0,"Advance",INDEX('Days Ranges'!$D$4:$D$12,MATCH(1,($F293&gt;'Days Ranges'!$A$4:$A$12)*($F293&lt;'Days Ranges'!$B$4:$B$12),0)))</f>
        <v>Advance</v>
      </c>
      <c r="I293" s="27" t="str">
        <f>IFERROR(IF(IFERROR(REPLACE(O293,FIND("ОПТ ",O293,1),4,""),O293)=0,VLOOKUP(MID(Q293,FIND(" ",Q293,1)+1,3),Brands!$B$2:$C$24,2,0),IFERROR(REPLACE(O293,FIND("ОПТ ",O293,1),4,""),O293)),"Check PLEASE")</f>
        <v>Dr.Martens</v>
      </c>
      <c r="J293" s="27" t="str">
        <f>VLOOKUP(I293,Brands!$E$2:$F$21,2,0)</f>
        <v>Dr.Martens</v>
      </c>
      <c r="K293" s="23">
        <f t="shared" si="28"/>
        <v>-10188</v>
      </c>
      <c r="L293" s="208"/>
      <c r="M293" s="205" t="s">
        <v>134</v>
      </c>
      <c r="N293" s="208"/>
      <c r="O293" s="205"/>
      <c r="P293" s="205"/>
      <c r="Q293" s="205" t="s">
        <v>63</v>
      </c>
      <c r="R293" s="87" t="s">
        <v>66</v>
      </c>
      <c r="S293" s="84"/>
      <c r="T293" s="84"/>
      <c r="U293" s="84"/>
      <c r="V293" s="84"/>
      <c r="W293" s="4" t="str">
        <f t="shared" si="29"/>
        <v>Negative</v>
      </c>
      <c r="X293" s="206">
        <v>-10188</v>
      </c>
    </row>
    <row r="294" spans="1:24" ht="12" x14ac:dyDescent="0.2">
      <c r="A294" s="10" t="str">
        <f t="shared" si="25"/>
        <v>Deposit</v>
      </c>
      <c r="B294" s="13">
        <f t="array" ref="B294">IFERROR(INDEX(CreditDAY[Credit Days Nominal],MATCH(M294&amp;Q294&amp;I294,CreditDAY[Customer]&amp;CreditDAY[Договор.Наименование]&amp;CreditDAY[Brand Temp],0)),0)</f>
        <v>0</v>
      </c>
      <c r="C294" s="10"/>
      <c r="D294" s="165">
        <f t="shared" si="26"/>
        <v>0</v>
      </c>
      <c r="E294" s="16">
        <f t="shared" si="24"/>
        <v>0</v>
      </c>
      <c r="F294" s="23">
        <f t="shared" si="27"/>
        <v>44453</v>
      </c>
      <c r="G294" s="27" t="str">
        <f t="array" ref="G294">IF(K294&lt;0,"Advance",INDEX('Days Ranges'!$C$4:$C$12,MATCH(1,($F294&gt;='Days Ranges'!$A$4:$A$12)*($F294&lt;'Days Ranges'!$B$4:$B$12),0)))</f>
        <v>Advance</v>
      </c>
      <c r="H294" s="27" t="str">
        <f t="array" ref="H294">IF(K294&lt;0,"Advance",INDEX('Days Ranges'!$D$4:$D$12,MATCH(1,($F294&gt;'Days Ranges'!$A$4:$A$12)*($F294&lt;'Days Ranges'!$B$4:$B$12),0)))</f>
        <v>Advance</v>
      </c>
      <c r="I294" s="27" t="str">
        <f>IFERROR(IF(IFERROR(REPLACE(O294,FIND("ОПТ ",O294,1),4,""),O294)=0,VLOOKUP(MID(Q294,FIND(" ",Q294,1)+1,3),Brands!$B$2:$C$24,2,0),IFERROR(REPLACE(O294,FIND("ОПТ ",O294,1),4,""),O294)),"Check PLEASE")</f>
        <v>Converse</v>
      </c>
      <c r="J294" s="27" t="str">
        <f>VLOOKUP(I294,Brands!$E$2:$F$21,2,0)</f>
        <v>Converse</v>
      </c>
      <c r="K294" s="23">
        <f t="shared" si="28"/>
        <v>-73000</v>
      </c>
      <c r="L294" s="208"/>
      <c r="M294" s="205" t="s">
        <v>135</v>
      </c>
      <c r="N294" s="208"/>
      <c r="O294" s="205"/>
      <c r="P294" s="205"/>
      <c r="Q294" s="205" t="s">
        <v>1429</v>
      </c>
      <c r="R294" s="87" t="s">
        <v>735</v>
      </c>
      <c r="S294" s="84"/>
      <c r="T294" s="84"/>
      <c r="U294" s="84"/>
      <c r="V294" s="84"/>
      <c r="W294" s="4" t="str">
        <f t="shared" si="29"/>
        <v>Negative</v>
      </c>
      <c r="X294" s="206">
        <v>-73000</v>
      </c>
    </row>
    <row r="295" spans="1:24" ht="12" x14ac:dyDescent="0.2">
      <c r="A295" s="10" t="str">
        <f t="shared" si="25"/>
        <v>Deposit</v>
      </c>
      <c r="B295" s="13">
        <f t="array" ref="B295">IFERROR(INDEX(CreditDAY[Credit Days Nominal],MATCH(M295&amp;Q295&amp;I295,CreditDAY[Customer]&amp;CreditDAY[Договор.Наименование]&amp;CreditDAY[Brand Temp],0)),0)</f>
        <v>0</v>
      </c>
      <c r="C295" s="10"/>
      <c r="D295" s="165">
        <f t="shared" si="26"/>
        <v>0</v>
      </c>
      <c r="E295" s="16">
        <f t="shared" si="24"/>
        <v>0</v>
      </c>
      <c r="F295" s="23">
        <f t="shared" si="27"/>
        <v>44453</v>
      </c>
      <c r="G295" s="27" t="str">
        <f t="array" ref="G295">IF(K295&lt;0,"Advance",INDEX('Days Ranges'!$C$4:$C$12,MATCH(1,($F295&gt;='Days Ranges'!$A$4:$A$12)*($F295&lt;'Days Ranges'!$B$4:$B$12),0)))</f>
        <v>Advance</v>
      </c>
      <c r="H295" s="27" t="str">
        <f t="array" ref="H295">IF(K295&lt;0,"Advance",INDEX('Days Ranges'!$D$4:$D$12,MATCH(1,($F295&gt;'Days Ranges'!$A$4:$A$12)*($F295&lt;'Days Ranges'!$B$4:$B$12),0)))</f>
        <v>Advance</v>
      </c>
      <c r="I295" s="27" t="str">
        <f>IFERROR(IF(IFERROR(REPLACE(O295,FIND("ОПТ ",O295,1),4,""),O295)=0,VLOOKUP(MID(Q295,FIND(" ",Q295,1)+1,3),Brands!$B$2:$C$24,2,0),IFERROR(REPLACE(O295,FIND("ОПТ ",O295,1),4,""),O295)),"Check PLEASE")</f>
        <v>Converse</v>
      </c>
      <c r="J295" s="27" t="str">
        <f>VLOOKUP(I295,Brands!$E$2:$F$21,2,0)</f>
        <v>Converse</v>
      </c>
      <c r="K295" s="23">
        <f t="shared" si="28"/>
        <v>-167760.57999999999</v>
      </c>
      <c r="L295" s="208"/>
      <c r="M295" s="205" t="s">
        <v>1428</v>
      </c>
      <c r="N295" s="208"/>
      <c r="O295" s="205"/>
      <c r="P295" s="205"/>
      <c r="Q295" s="205" t="s">
        <v>1429</v>
      </c>
      <c r="R295" s="87" t="s">
        <v>65</v>
      </c>
      <c r="S295" s="84"/>
      <c r="T295" s="84"/>
      <c r="U295" s="84"/>
      <c r="V295" s="84"/>
      <c r="W295" s="4" t="str">
        <f t="shared" si="29"/>
        <v>Negative</v>
      </c>
      <c r="X295" s="206">
        <v>-167760.57999999999</v>
      </c>
    </row>
    <row r="296" spans="1:24" ht="12" x14ac:dyDescent="0.2">
      <c r="A296" s="10" t="str">
        <f t="shared" si="25"/>
        <v>Deposit</v>
      </c>
      <c r="B296" s="13">
        <f t="array" ref="B296">IFERROR(INDEX(CreditDAY[Credit Days Nominal],MATCH(M296&amp;Q296&amp;I296,CreditDAY[Customer]&amp;CreditDAY[Договор.Наименование]&amp;CreditDAY[Brand Temp],0)),0)</f>
        <v>0</v>
      </c>
      <c r="C296" s="10"/>
      <c r="D296" s="165">
        <f t="shared" si="26"/>
        <v>0</v>
      </c>
      <c r="E296" s="16">
        <f t="shared" si="24"/>
        <v>0</v>
      </c>
      <c r="F296" s="23">
        <f t="shared" si="27"/>
        <v>44453</v>
      </c>
      <c r="G296" s="27" t="str">
        <f t="array" ref="G296">IF(K296&lt;0,"Advance",INDEX('Days Ranges'!$C$4:$C$12,MATCH(1,($F296&gt;='Days Ranges'!$A$4:$A$12)*($F296&lt;'Days Ranges'!$B$4:$B$12),0)))</f>
        <v>Advance</v>
      </c>
      <c r="H296" s="27" t="str">
        <f t="array" ref="H296">IF(K296&lt;0,"Advance",INDEX('Days Ranges'!$D$4:$D$12,MATCH(1,($F296&gt;'Days Ranges'!$A$4:$A$12)*($F296&lt;'Days Ranges'!$B$4:$B$12),0)))</f>
        <v>Advance</v>
      </c>
      <c r="I296" s="27" t="str">
        <f>IFERROR(IF(IFERROR(REPLACE(O296,FIND("ОПТ ",O296,1),4,""),O296)=0,VLOOKUP(MID(Q296,FIND(" ",Q296,1)+1,3),Brands!$B$2:$C$24,2,0),IFERROR(REPLACE(O296,FIND("ОПТ ",O296,1),4,""),O296)),"Check PLEASE")</f>
        <v>Dr.Martens</v>
      </c>
      <c r="J296" s="27" t="str">
        <f>VLOOKUP(I296,Brands!$E$2:$F$21,2,0)</f>
        <v>Dr.Martens</v>
      </c>
      <c r="K296" s="23">
        <f t="shared" si="28"/>
        <v>-465170</v>
      </c>
      <c r="L296" s="208"/>
      <c r="M296" s="205" t="s">
        <v>733</v>
      </c>
      <c r="N296" s="208"/>
      <c r="O296" s="205"/>
      <c r="P296" s="205"/>
      <c r="Q296" s="205" t="s">
        <v>724</v>
      </c>
      <c r="R296" s="87" t="s">
        <v>66</v>
      </c>
      <c r="S296" s="84"/>
      <c r="T296" s="84"/>
      <c r="U296" s="84"/>
      <c r="V296" s="84"/>
      <c r="W296" s="4" t="str">
        <f t="shared" si="29"/>
        <v>Negative</v>
      </c>
      <c r="X296" s="207">
        <v>-465170</v>
      </c>
    </row>
    <row r="297" spans="1:24" ht="12" x14ac:dyDescent="0.2">
      <c r="A297" s="10" t="str">
        <f t="shared" si="25"/>
        <v>Deposit</v>
      </c>
      <c r="B297" s="13">
        <f t="array" ref="B297">IFERROR(INDEX(CreditDAY[Credit Days Nominal],MATCH(M297&amp;Q297&amp;I297,CreditDAY[Customer]&amp;CreditDAY[Договор.Наименование]&amp;CreditDAY[Brand Temp],0)),0)</f>
        <v>0</v>
      </c>
      <c r="C297" s="10"/>
      <c r="D297" s="165">
        <f t="shared" si="26"/>
        <v>0</v>
      </c>
      <c r="E297" s="16">
        <f t="shared" si="24"/>
        <v>0</v>
      </c>
      <c r="F297" s="23">
        <f t="shared" si="27"/>
        <v>44453</v>
      </c>
      <c r="G297" s="27" t="str">
        <f t="array" ref="G297">IF(K297&lt;0,"Advance",INDEX('Days Ranges'!$C$4:$C$12,MATCH(1,($F297&gt;='Days Ranges'!$A$4:$A$12)*($F297&lt;'Days Ranges'!$B$4:$B$12),0)))</f>
        <v>Advance</v>
      </c>
      <c r="H297" s="27" t="str">
        <f t="array" ref="H297">IF(K297&lt;0,"Advance",INDEX('Days Ranges'!$D$4:$D$12,MATCH(1,($F297&gt;'Days Ranges'!$A$4:$A$12)*($F297&lt;'Days Ranges'!$B$4:$B$12),0)))</f>
        <v>Advance</v>
      </c>
      <c r="I297" s="27" t="str">
        <f>IFERROR(IF(IFERROR(REPLACE(O297,FIND("ОПТ ",O297,1),4,""),O297)=0,VLOOKUP(MID(Q297,FIND(" ",Q297,1)+1,3),Brands!$B$2:$C$24,2,0),IFERROR(REPLACE(O297,FIND("ОПТ ",O297,1),4,""),O297)),"Check PLEASE")</f>
        <v>Saucony</v>
      </c>
      <c r="J297" s="27" t="str">
        <f>VLOOKUP(I297,Brands!$E$2:$F$21,2,0)</f>
        <v>Saucony</v>
      </c>
      <c r="K297" s="23">
        <f t="shared" si="28"/>
        <v>-256000</v>
      </c>
      <c r="L297" s="208"/>
      <c r="M297" s="205" t="s">
        <v>733</v>
      </c>
      <c r="N297" s="208"/>
      <c r="O297" s="205"/>
      <c r="P297" s="205"/>
      <c r="Q297" s="205" t="s">
        <v>65</v>
      </c>
      <c r="R297" s="87" t="s">
        <v>63</v>
      </c>
      <c r="S297" s="84"/>
      <c r="T297" s="84"/>
      <c r="U297" s="84"/>
      <c r="V297" s="84"/>
      <c r="W297" s="4" t="str">
        <f t="shared" si="29"/>
        <v>Negative</v>
      </c>
      <c r="X297" s="206">
        <v>-256000</v>
      </c>
    </row>
    <row r="298" spans="1:24" ht="12" x14ac:dyDescent="0.2">
      <c r="A298" s="10" t="str">
        <f t="shared" si="25"/>
        <v>Deposit</v>
      </c>
      <c r="B298" s="13">
        <f t="array" ref="B298">IFERROR(INDEX(CreditDAY[Credit Days Nominal],MATCH(M298&amp;Q298&amp;I298,CreditDAY[Customer]&amp;CreditDAY[Договор.Наименование]&amp;CreditDAY[Brand Temp],0)),0)</f>
        <v>0</v>
      </c>
      <c r="C298" s="10"/>
      <c r="D298" s="165">
        <f t="shared" si="26"/>
        <v>0</v>
      </c>
      <c r="E298" s="16">
        <f t="shared" si="24"/>
        <v>0</v>
      </c>
      <c r="F298" s="23">
        <f t="shared" si="27"/>
        <v>44453</v>
      </c>
      <c r="G298" s="27" t="str">
        <f t="array" ref="G298">IF(K298&lt;0,"Advance",INDEX('Days Ranges'!$C$4:$C$12,MATCH(1,($F298&gt;='Days Ranges'!$A$4:$A$12)*($F298&lt;'Days Ranges'!$B$4:$B$12),0)))</f>
        <v>Advance</v>
      </c>
      <c r="H298" s="27" t="str">
        <f t="array" ref="H298">IF(K298&lt;0,"Advance",INDEX('Days Ranges'!$D$4:$D$12,MATCH(1,($F298&gt;'Days Ranges'!$A$4:$A$12)*($F298&lt;'Days Ranges'!$B$4:$B$12),0)))</f>
        <v>Advance</v>
      </c>
      <c r="I298" s="27" t="str">
        <f>IFERROR(IF(IFERROR(REPLACE(O298,FIND("ОПТ ",O298,1),4,""),O298)=0,VLOOKUP(MID(Q298,FIND(" ",Q298,1)+1,3),Brands!$B$2:$C$24,2,0),IFERROR(REPLACE(O298,FIND("ОПТ ",O298,1),4,""),O298)),"Check PLEASE")</f>
        <v>Converse</v>
      </c>
      <c r="J298" s="27" t="str">
        <f>VLOOKUP(I298,Brands!$E$2:$F$21,2,0)</f>
        <v>Converse</v>
      </c>
      <c r="K298" s="23">
        <f t="shared" si="28"/>
        <v>-42972.72</v>
      </c>
      <c r="L298" s="208"/>
      <c r="M298" s="205" t="s">
        <v>137</v>
      </c>
      <c r="N298" s="208"/>
      <c r="O298" s="205"/>
      <c r="P298" s="205"/>
      <c r="Q298" s="205" t="s">
        <v>113</v>
      </c>
      <c r="R298" s="87" t="s">
        <v>736</v>
      </c>
      <c r="S298" s="84"/>
      <c r="T298" s="84"/>
      <c r="U298" s="84"/>
      <c r="V298" s="84"/>
      <c r="W298" s="4" t="str">
        <f t="shared" si="29"/>
        <v>Negative</v>
      </c>
      <c r="X298" s="206">
        <v>-42972.72</v>
      </c>
    </row>
    <row r="299" spans="1:24" ht="12" x14ac:dyDescent="0.2">
      <c r="A299" s="10" t="str">
        <f t="shared" si="25"/>
        <v>Deposit</v>
      </c>
      <c r="B299" s="13">
        <f t="array" ref="B299">IFERROR(INDEX(CreditDAY[Credit Days Nominal],MATCH(M299&amp;Q299&amp;I299,CreditDAY[Customer]&amp;CreditDAY[Договор.Наименование]&amp;CreditDAY[Brand Temp],0)),0)</f>
        <v>0</v>
      </c>
      <c r="C299" s="10"/>
      <c r="D299" s="165">
        <f t="shared" si="26"/>
        <v>0</v>
      </c>
      <c r="E299" s="16">
        <f t="shared" si="24"/>
        <v>0</v>
      </c>
      <c r="F299" s="23">
        <f t="shared" si="27"/>
        <v>44453</v>
      </c>
      <c r="G299" s="27" t="str">
        <f t="array" ref="G299">IF(K299&lt;0,"Advance",INDEX('Days Ranges'!$C$4:$C$12,MATCH(1,($F299&gt;='Days Ranges'!$A$4:$A$12)*($F299&lt;'Days Ranges'!$B$4:$B$12),0)))</f>
        <v>Advance</v>
      </c>
      <c r="H299" s="27" t="str">
        <f t="array" ref="H299">IF(K299&lt;0,"Advance",INDEX('Days Ranges'!$D$4:$D$12,MATCH(1,($F299&gt;'Days Ranges'!$A$4:$A$12)*($F299&lt;'Days Ranges'!$B$4:$B$12),0)))</f>
        <v>Advance</v>
      </c>
      <c r="I299" s="27" t="str">
        <f>IFERROR(IF(IFERROR(REPLACE(O299,FIND("ОПТ ",O299,1),4,""),O299)=0,VLOOKUP(MID(Q299,FIND(" ",Q299,1)+1,3),Brands!$B$2:$C$24,2,0),IFERROR(REPLACE(O299,FIND("ОПТ ",O299,1),4,""),O299)),"Check PLEASE")</f>
        <v>Converse</v>
      </c>
      <c r="J299" s="27" t="str">
        <f>VLOOKUP(I299,Brands!$E$2:$F$21,2,0)</f>
        <v>Converse</v>
      </c>
      <c r="K299" s="23">
        <f t="shared" si="28"/>
        <v>-91187.33</v>
      </c>
      <c r="L299" s="208"/>
      <c r="M299" s="205" t="s">
        <v>137</v>
      </c>
      <c r="N299" s="208"/>
      <c r="O299" s="205"/>
      <c r="P299" s="205"/>
      <c r="Q299" s="205" t="s">
        <v>1429</v>
      </c>
      <c r="R299" s="87" t="s">
        <v>42</v>
      </c>
      <c r="S299" s="84"/>
      <c r="T299" s="84"/>
      <c r="U299" s="84"/>
      <c r="V299" s="84"/>
      <c r="W299" s="4" t="str">
        <f t="shared" si="29"/>
        <v>Negative</v>
      </c>
      <c r="X299" s="206">
        <v>-91187.33</v>
      </c>
    </row>
    <row r="300" spans="1:24" ht="12" x14ac:dyDescent="0.2">
      <c r="A300" s="10" t="str">
        <f t="shared" si="25"/>
        <v>Deposit</v>
      </c>
      <c r="B300" s="13">
        <f t="array" ref="B300">IFERROR(INDEX(CreditDAY[Credit Days Nominal],MATCH(M300&amp;Q300&amp;I300,CreditDAY[Customer]&amp;CreditDAY[Договор.Наименование]&amp;CreditDAY[Brand Temp],0)),0)</f>
        <v>0</v>
      </c>
      <c r="C300" s="10"/>
      <c r="D300" s="165">
        <f t="shared" si="26"/>
        <v>0</v>
      </c>
      <c r="E300" s="16">
        <f t="shared" si="24"/>
        <v>0</v>
      </c>
      <c r="F300" s="23">
        <f t="shared" si="27"/>
        <v>44453</v>
      </c>
      <c r="G300" s="27" t="str">
        <f t="array" ref="G300">IF(K300&lt;0,"Advance",INDEX('Days Ranges'!$C$4:$C$12,MATCH(1,($F300&gt;='Days Ranges'!$A$4:$A$12)*($F300&lt;'Days Ranges'!$B$4:$B$12),0)))</f>
        <v>Advance</v>
      </c>
      <c r="H300" s="27" t="str">
        <f t="array" ref="H300">IF(K300&lt;0,"Advance",INDEX('Days Ranges'!$D$4:$D$12,MATCH(1,($F300&gt;'Days Ranges'!$A$4:$A$12)*($F300&lt;'Days Ranges'!$B$4:$B$12),0)))</f>
        <v>Advance</v>
      </c>
      <c r="I300" s="27" t="str">
        <f>IFERROR(IF(IFERROR(REPLACE(O300,FIND("ОПТ ",O300,1),4,""),O300)=0,VLOOKUP(MID(Q300,FIND(" ",Q300,1)+1,3),Brands!$B$2:$C$24,2,0),IFERROR(REPLACE(O300,FIND("ОПТ ",O300,1),4,""),O300)),"Check PLEASE")</f>
        <v>Saucony</v>
      </c>
      <c r="J300" s="27" t="str">
        <f>VLOOKUP(I300,Brands!$E$2:$F$21,2,0)</f>
        <v>Saucony</v>
      </c>
      <c r="K300" s="23">
        <f t="shared" si="28"/>
        <v>-625.94000000000005</v>
      </c>
      <c r="L300" s="208"/>
      <c r="M300" s="205" t="s">
        <v>140</v>
      </c>
      <c r="N300" s="208"/>
      <c r="O300" s="205"/>
      <c r="P300" s="205"/>
      <c r="Q300" s="205" t="s">
        <v>141</v>
      </c>
      <c r="R300" s="87" t="s">
        <v>38</v>
      </c>
      <c r="S300" s="84"/>
      <c r="T300" s="84"/>
      <c r="U300" s="84"/>
      <c r="V300" s="84"/>
      <c r="W300" s="4" t="str">
        <f t="shared" si="29"/>
        <v>Negative</v>
      </c>
      <c r="X300" s="206">
        <v>-625.94000000000005</v>
      </c>
    </row>
    <row r="301" spans="1:24" ht="12" x14ac:dyDescent="0.2">
      <c r="A301" s="10" t="str">
        <f t="shared" si="25"/>
        <v>Deposit</v>
      </c>
      <c r="B301" s="13">
        <f t="array" ref="B301">IFERROR(INDEX(CreditDAY[Credit Days Nominal],MATCH(M301&amp;Q301&amp;I301,CreditDAY[Customer]&amp;CreditDAY[Договор.Наименование]&amp;CreditDAY[Brand Temp],0)),0)</f>
        <v>0</v>
      </c>
      <c r="C301" s="10"/>
      <c r="D301" s="165">
        <f t="shared" si="26"/>
        <v>0</v>
      </c>
      <c r="E301" s="16">
        <f t="shared" si="24"/>
        <v>0</v>
      </c>
      <c r="F301" s="23">
        <f t="shared" si="27"/>
        <v>44453</v>
      </c>
      <c r="G301" s="27" t="str">
        <f t="array" ref="G301">IF(K301&lt;0,"Advance",INDEX('Days Ranges'!$C$4:$C$12,MATCH(1,($F301&gt;='Days Ranges'!$A$4:$A$12)*($F301&lt;'Days Ranges'!$B$4:$B$12),0)))</f>
        <v>Advance</v>
      </c>
      <c r="H301" s="27" t="str">
        <f t="array" ref="H301">IF(K301&lt;0,"Advance",INDEX('Days Ranges'!$D$4:$D$12,MATCH(1,($F301&gt;'Days Ranges'!$A$4:$A$12)*($F301&lt;'Days Ranges'!$B$4:$B$12),0)))</f>
        <v>Advance</v>
      </c>
      <c r="I301" s="27" t="str">
        <f>IFERROR(IF(IFERROR(REPLACE(O301,FIND("ОПТ ",O301,1),4,""),O301)=0,VLOOKUP(MID(Q301,FIND(" ",Q301,1)+1,3),Brands!$B$2:$C$24,2,0),IFERROR(REPLACE(O301,FIND("ОПТ ",O301,1),4,""),O301)),"Check PLEASE")</f>
        <v>Converse</v>
      </c>
      <c r="J301" s="27" t="str">
        <f>VLOOKUP(I301,Brands!$E$2:$F$21,2,0)</f>
        <v>Converse</v>
      </c>
      <c r="K301" s="23">
        <f t="shared" si="28"/>
        <v>-37995.68</v>
      </c>
      <c r="L301" s="208"/>
      <c r="M301" s="205" t="s">
        <v>142</v>
      </c>
      <c r="N301" s="208"/>
      <c r="O301" s="205"/>
      <c r="P301" s="205"/>
      <c r="Q301" s="205" t="s">
        <v>104</v>
      </c>
      <c r="R301" s="87" t="s">
        <v>736</v>
      </c>
      <c r="S301" s="84"/>
      <c r="T301" s="84"/>
      <c r="U301" s="84"/>
      <c r="V301" s="84"/>
      <c r="W301" s="4" t="str">
        <f t="shared" si="29"/>
        <v>Negative</v>
      </c>
      <c r="X301" s="206">
        <v>-37995.68</v>
      </c>
    </row>
    <row r="302" spans="1:24" ht="12" x14ac:dyDescent="0.2">
      <c r="A302" s="10" t="str">
        <f t="shared" si="25"/>
        <v>Deposit</v>
      </c>
      <c r="B302" s="13">
        <f t="array" ref="B302">IFERROR(INDEX(CreditDAY[Credit Days Nominal],MATCH(M302&amp;Q302&amp;I302,CreditDAY[Customer]&amp;CreditDAY[Договор.Наименование]&amp;CreditDAY[Brand Temp],0)),0)</f>
        <v>0</v>
      </c>
      <c r="C302" s="10"/>
      <c r="D302" s="165">
        <f t="shared" si="26"/>
        <v>0</v>
      </c>
      <c r="E302" s="16">
        <f t="shared" si="24"/>
        <v>0</v>
      </c>
      <c r="F302" s="23">
        <f t="shared" si="27"/>
        <v>44453</v>
      </c>
      <c r="G302" s="27" t="str">
        <f t="array" ref="G302">IF(K302&lt;0,"Advance",INDEX('Days Ranges'!$C$4:$C$12,MATCH(1,($F302&gt;='Days Ranges'!$A$4:$A$12)*($F302&lt;'Days Ranges'!$B$4:$B$12),0)))</f>
        <v>Advance</v>
      </c>
      <c r="H302" s="27" t="str">
        <f t="array" ref="H302">IF(K302&lt;0,"Advance",INDEX('Days Ranges'!$D$4:$D$12,MATCH(1,($F302&gt;'Days Ranges'!$A$4:$A$12)*($F302&lt;'Days Ranges'!$B$4:$B$12),0)))</f>
        <v>Advance</v>
      </c>
      <c r="I302" s="27" t="str">
        <f>IFERROR(IF(IFERROR(REPLACE(O302,FIND("ОПТ ",O302,1),4,""),O302)=0,VLOOKUP(MID(Q302,FIND(" ",Q302,1)+1,3),Brands!$B$2:$C$24,2,0),IFERROR(REPLACE(O302,FIND("ОПТ ",O302,1),4,""),O302)),"Check PLEASE")</f>
        <v>Converse</v>
      </c>
      <c r="J302" s="27" t="str">
        <f>VLOOKUP(I302,Brands!$E$2:$F$21,2,0)</f>
        <v>Converse</v>
      </c>
      <c r="K302" s="23">
        <f t="shared" si="28"/>
        <v>-77401</v>
      </c>
      <c r="L302" s="208"/>
      <c r="M302" s="205" t="s">
        <v>142</v>
      </c>
      <c r="N302" s="208"/>
      <c r="O302" s="205"/>
      <c r="P302" s="205"/>
      <c r="Q302" s="205" t="s">
        <v>1442</v>
      </c>
      <c r="R302" s="87" t="s">
        <v>1075</v>
      </c>
      <c r="S302" s="84"/>
      <c r="T302" s="84"/>
      <c r="U302" s="84"/>
      <c r="V302" s="84"/>
      <c r="W302" s="4" t="str">
        <f t="shared" si="29"/>
        <v>Negative</v>
      </c>
      <c r="X302" s="206">
        <v>-77401</v>
      </c>
    </row>
    <row r="303" spans="1:24" ht="12" x14ac:dyDescent="0.2">
      <c r="A303" s="10" t="str">
        <f t="shared" si="25"/>
        <v>Deposit</v>
      </c>
      <c r="B303" s="13">
        <f t="array" ref="B303">IFERROR(INDEX(CreditDAY[Credit Days Nominal],MATCH(M303&amp;Q303&amp;I303,CreditDAY[Customer]&amp;CreditDAY[Договор.Наименование]&amp;CreditDAY[Brand Temp],0)),0)</f>
        <v>0</v>
      </c>
      <c r="C303" s="10"/>
      <c r="D303" s="165">
        <f t="shared" si="26"/>
        <v>0</v>
      </c>
      <c r="E303" s="16">
        <f t="shared" si="24"/>
        <v>0</v>
      </c>
      <c r="F303" s="23">
        <f t="shared" si="27"/>
        <v>44453</v>
      </c>
      <c r="G303" s="27" t="str">
        <f t="array" ref="G303">IF(K303&lt;0,"Advance",INDEX('Days Ranges'!$C$4:$C$12,MATCH(1,($F303&gt;='Days Ranges'!$A$4:$A$12)*($F303&lt;'Days Ranges'!$B$4:$B$12),0)))</f>
        <v>Advance</v>
      </c>
      <c r="H303" s="27" t="str">
        <f t="array" ref="H303">IF(K303&lt;0,"Advance",INDEX('Days Ranges'!$D$4:$D$12,MATCH(1,($F303&gt;'Days Ranges'!$A$4:$A$12)*($F303&lt;'Days Ranges'!$B$4:$B$12),0)))</f>
        <v>Advance</v>
      </c>
      <c r="I303" s="27" t="str">
        <f>IFERROR(IF(IFERROR(REPLACE(O303,FIND("ОПТ ",O303,1),4,""),O303)=0,VLOOKUP(MID(Q303,FIND(" ",Q303,1)+1,3),Brands!$B$2:$C$24,2,0),IFERROR(REPLACE(O303,FIND("ОПТ ",O303,1),4,""),O303)),"Check PLEASE")</f>
        <v>Saucony</v>
      </c>
      <c r="J303" s="27" t="str">
        <f>VLOOKUP(I303,Brands!$E$2:$F$21,2,0)</f>
        <v>Saucony</v>
      </c>
      <c r="K303" s="23">
        <f t="shared" si="28"/>
        <v>-89728.9</v>
      </c>
      <c r="L303" s="208"/>
      <c r="M303" s="205" t="s">
        <v>142</v>
      </c>
      <c r="N303" s="208"/>
      <c r="O303" s="205"/>
      <c r="P303" s="205"/>
      <c r="Q303" s="205" t="s">
        <v>1389</v>
      </c>
      <c r="R303" s="87" t="s">
        <v>1025</v>
      </c>
      <c r="S303" s="84"/>
      <c r="T303" s="84"/>
      <c r="U303" s="84"/>
      <c r="V303" s="84"/>
      <c r="W303" s="4" t="str">
        <f t="shared" si="29"/>
        <v>Negative</v>
      </c>
      <c r="X303" s="206">
        <v>-89728.9</v>
      </c>
    </row>
    <row r="304" spans="1:24" ht="12" x14ac:dyDescent="0.2">
      <c r="A304" s="10" t="str">
        <f t="shared" si="25"/>
        <v>Deposit</v>
      </c>
      <c r="B304" s="13">
        <f t="array" ref="B304">IFERROR(INDEX(CreditDAY[Credit Days Nominal],MATCH(M304&amp;Q304&amp;I304,CreditDAY[Customer]&amp;CreditDAY[Договор.Наименование]&amp;CreditDAY[Brand Temp],0)),0)</f>
        <v>0</v>
      </c>
      <c r="C304" s="10"/>
      <c r="D304" s="165">
        <f t="shared" si="26"/>
        <v>0</v>
      </c>
      <c r="E304" s="16">
        <f t="shared" si="24"/>
        <v>0</v>
      </c>
      <c r="F304" s="23">
        <f t="shared" si="27"/>
        <v>44453</v>
      </c>
      <c r="G304" s="27" t="str">
        <f t="array" ref="G304">IF(K304&lt;0,"Advance",INDEX('Days Ranges'!$C$4:$C$12,MATCH(1,($F304&gt;='Days Ranges'!$A$4:$A$12)*($F304&lt;'Days Ranges'!$B$4:$B$12),0)))</f>
        <v>Advance</v>
      </c>
      <c r="H304" s="27" t="str">
        <f t="array" ref="H304">IF(K304&lt;0,"Advance",INDEX('Days Ranges'!$D$4:$D$12,MATCH(1,($F304&gt;'Days Ranges'!$A$4:$A$12)*($F304&lt;'Days Ranges'!$B$4:$B$12),0)))</f>
        <v>Advance</v>
      </c>
      <c r="I304" s="27" t="str">
        <f>IFERROR(IF(IFERROR(REPLACE(O304,FIND("ОПТ ",O304,1),4,""),O304)=0,VLOOKUP(MID(Q304,FIND(" ",Q304,1)+1,3),Brands!$B$2:$C$24,2,0),IFERROR(REPLACE(O304,FIND("ОПТ ",O304,1),4,""),O304)),"Check PLEASE")</f>
        <v>Converse</v>
      </c>
      <c r="J304" s="27" t="str">
        <f>VLOOKUP(I304,Brands!$E$2:$F$21,2,0)</f>
        <v>Converse</v>
      </c>
      <c r="K304" s="23">
        <f t="shared" si="28"/>
        <v>-196170.67</v>
      </c>
      <c r="L304" s="208"/>
      <c r="M304" s="205" t="s">
        <v>148</v>
      </c>
      <c r="N304" s="208"/>
      <c r="O304" s="205"/>
      <c r="P304" s="205"/>
      <c r="Q304" s="205" t="s">
        <v>1429</v>
      </c>
      <c r="R304" s="87" t="s">
        <v>724</v>
      </c>
      <c r="S304" s="84"/>
      <c r="T304" s="84"/>
      <c r="U304" s="84"/>
      <c r="V304" s="84"/>
      <c r="W304" s="4" t="str">
        <f t="shared" si="29"/>
        <v>Negative</v>
      </c>
      <c r="X304" s="206">
        <v>-196170.67</v>
      </c>
    </row>
    <row r="305" spans="1:24" ht="12" x14ac:dyDescent="0.2">
      <c r="A305" s="10" t="str">
        <f t="shared" si="25"/>
        <v>Deposit</v>
      </c>
      <c r="B305" s="13">
        <f t="array" ref="B305">IFERROR(INDEX(CreditDAY[Credit Days Nominal],MATCH(M305&amp;Q305&amp;I305,CreditDAY[Customer]&amp;CreditDAY[Договор.Наименование]&amp;CreditDAY[Brand Temp],0)),0)</f>
        <v>0</v>
      </c>
      <c r="C305" s="10"/>
      <c r="D305" s="165">
        <f t="shared" si="26"/>
        <v>0</v>
      </c>
      <c r="E305" s="16">
        <f t="shared" si="24"/>
        <v>0</v>
      </c>
      <c r="F305" s="23">
        <f t="shared" si="27"/>
        <v>44453</v>
      </c>
      <c r="G305" s="27" t="str">
        <f t="array" ref="G305">IF(K305&lt;0,"Advance",INDEX('Days Ranges'!$C$4:$C$12,MATCH(1,($F305&gt;='Days Ranges'!$A$4:$A$12)*($F305&lt;'Days Ranges'!$B$4:$B$12),0)))</f>
        <v>Advance</v>
      </c>
      <c r="H305" s="27" t="str">
        <f t="array" ref="H305">IF(K305&lt;0,"Advance",INDEX('Days Ranges'!$D$4:$D$12,MATCH(1,($F305&gt;'Days Ranges'!$A$4:$A$12)*($F305&lt;'Days Ranges'!$B$4:$B$12),0)))</f>
        <v>Advance</v>
      </c>
      <c r="I305" s="27" t="str">
        <f>IFERROR(IF(IFERROR(REPLACE(O305,FIND("ОПТ ",O305,1),4,""),O305)=0,VLOOKUP(MID(Q305,FIND(" ",Q305,1)+1,3),Brands!$B$2:$C$24,2,0),IFERROR(REPLACE(O305,FIND("ОПТ ",O305,1),4,""),O305)),"Check PLEASE")</f>
        <v>Dr.Martens</v>
      </c>
      <c r="J305" s="27" t="str">
        <f>VLOOKUP(I305,Brands!$E$2:$F$21,2,0)</f>
        <v>Dr.Martens</v>
      </c>
      <c r="K305" s="23">
        <f t="shared" si="28"/>
        <v>-146102.18</v>
      </c>
      <c r="L305" s="208"/>
      <c r="M305" s="205" t="s">
        <v>148</v>
      </c>
      <c r="N305" s="208"/>
      <c r="O305" s="205"/>
      <c r="P305" s="205"/>
      <c r="Q305" s="205" t="s">
        <v>723</v>
      </c>
      <c r="R305" s="87" t="s">
        <v>268</v>
      </c>
      <c r="S305" s="84"/>
      <c r="T305" s="84"/>
      <c r="U305" s="84"/>
      <c r="V305" s="84"/>
      <c r="W305" s="4" t="str">
        <f t="shared" si="29"/>
        <v>Negative</v>
      </c>
      <c r="X305" s="206">
        <v>-146102.18</v>
      </c>
    </row>
    <row r="306" spans="1:24" ht="12" x14ac:dyDescent="0.2">
      <c r="A306" s="10" t="str">
        <f t="shared" si="25"/>
        <v>Deposit</v>
      </c>
      <c r="B306" s="13">
        <f t="array" ref="B306">IFERROR(INDEX(CreditDAY[Credit Days Nominal],MATCH(M306&amp;Q306&amp;I306,CreditDAY[Customer]&amp;CreditDAY[Договор.Наименование]&amp;CreditDAY[Brand Temp],0)),0)</f>
        <v>0</v>
      </c>
      <c r="C306" s="10"/>
      <c r="D306" s="165">
        <f t="shared" si="26"/>
        <v>0</v>
      </c>
      <c r="E306" s="16">
        <f t="shared" si="24"/>
        <v>0</v>
      </c>
      <c r="F306" s="23">
        <f t="shared" si="27"/>
        <v>44453</v>
      </c>
      <c r="G306" s="27" t="str">
        <f t="array" ref="G306">IF(K306&lt;0,"Advance",INDEX('Days Ranges'!$C$4:$C$12,MATCH(1,($F306&gt;='Days Ranges'!$A$4:$A$12)*($F306&lt;'Days Ranges'!$B$4:$B$12),0)))</f>
        <v>Advance</v>
      </c>
      <c r="H306" s="27" t="str">
        <f t="array" ref="H306">IF(K306&lt;0,"Advance",INDEX('Days Ranges'!$D$4:$D$12,MATCH(1,($F306&gt;'Days Ranges'!$A$4:$A$12)*($F306&lt;'Days Ranges'!$B$4:$B$12),0)))</f>
        <v>Advance</v>
      </c>
      <c r="I306" s="27" t="str">
        <f>IFERROR(IF(IFERROR(REPLACE(O306,FIND("ОПТ ",O306,1),4,""),O306)=0,VLOOKUP(MID(Q306,FIND(" ",Q306,1)+1,3),Brands!$B$2:$C$24,2,0),IFERROR(REPLACE(O306,FIND("ОПТ ",O306,1),4,""),O306)),"Check PLEASE")</f>
        <v>Converse</v>
      </c>
      <c r="J306" s="27" t="str">
        <f>VLOOKUP(I306,Brands!$E$2:$F$21,2,0)</f>
        <v>Converse</v>
      </c>
      <c r="K306" s="23">
        <f t="shared" si="28"/>
        <v>-84510</v>
      </c>
      <c r="L306" s="208"/>
      <c r="M306" s="205" t="s">
        <v>149</v>
      </c>
      <c r="N306" s="208"/>
      <c r="O306" s="205"/>
      <c r="P306" s="205"/>
      <c r="Q306" s="205" t="s">
        <v>1429</v>
      </c>
      <c r="R306" s="87" t="s">
        <v>66</v>
      </c>
      <c r="S306" s="84"/>
      <c r="T306" s="84"/>
      <c r="U306" s="84"/>
      <c r="V306" s="84"/>
      <c r="W306" s="4" t="str">
        <f t="shared" si="29"/>
        <v>Negative</v>
      </c>
      <c r="X306" s="206">
        <v>-84510</v>
      </c>
    </row>
    <row r="307" spans="1:24" ht="12" x14ac:dyDescent="0.2">
      <c r="A307" s="10" t="str">
        <f t="shared" si="25"/>
        <v>Deposit</v>
      </c>
      <c r="B307" s="13">
        <f t="array" ref="B307">IFERROR(INDEX(CreditDAY[Credit Days Nominal],MATCH(M307&amp;Q307&amp;I307,CreditDAY[Customer]&amp;CreditDAY[Договор.Наименование]&amp;CreditDAY[Brand Temp],0)),0)</f>
        <v>0</v>
      </c>
      <c r="C307" s="10"/>
      <c r="D307" s="165">
        <f t="shared" si="26"/>
        <v>0</v>
      </c>
      <c r="E307" s="16">
        <f t="shared" si="24"/>
        <v>0</v>
      </c>
      <c r="F307" s="23">
        <f t="shared" si="27"/>
        <v>44453</v>
      </c>
      <c r="G307" s="27" t="str">
        <f t="array" ref="G307">IF(K307&lt;0,"Advance",INDEX('Days Ranges'!$C$4:$C$12,MATCH(1,($F307&gt;='Days Ranges'!$A$4:$A$12)*($F307&lt;'Days Ranges'!$B$4:$B$12),0)))</f>
        <v>Advance</v>
      </c>
      <c r="H307" s="27" t="str">
        <f t="array" ref="H307">IF(K307&lt;0,"Advance",INDEX('Days Ranges'!$D$4:$D$12,MATCH(1,($F307&gt;'Days Ranges'!$A$4:$A$12)*($F307&lt;'Days Ranges'!$B$4:$B$12),0)))</f>
        <v>Advance</v>
      </c>
      <c r="I307" s="27" t="str">
        <f>IFERROR(IF(IFERROR(REPLACE(O307,FIND("ОПТ ",O307,1),4,""),O307)=0,VLOOKUP(MID(Q307,FIND(" ",Q307,1)+1,3),Brands!$B$2:$C$24,2,0),IFERROR(REPLACE(O307,FIND("ОПТ ",O307,1),4,""),O307)),"Check PLEASE")</f>
        <v>Saucony</v>
      </c>
      <c r="J307" s="27" t="str">
        <f>VLOOKUP(I307,Brands!$E$2:$F$21,2,0)</f>
        <v>Saucony</v>
      </c>
      <c r="K307" s="23">
        <f t="shared" si="28"/>
        <v>-158009.37</v>
      </c>
      <c r="L307" s="208"/>
      <c r="M307" s="205" t="s">
        <v>149</v>
      </c>
      <c r="N307" s="208"/>
      <c r="O307" s="205"/>
      <c r="P307" s="205"/>
      <c r="Q307" s="205" t="s">
        <v>1393</v>
      </c>
      <c r="R307" s="87" t="s">
        <v>724</v>
      </c>
      <c r="S307" s="84"/>
      <c r="T307" s="84"/>
      <c r="U307" s="84"/>
      <c r="V307" s="84"/>
      <c r="W307" s="4" t="str">
        <f t="shared" si="29"/>
        <v>Negative</v>
      </c>
      <c r="X307" s="206">
        <v>-158009.37</v>
      </c>
    </row>
    <row r="308" spans="1:24" ht="12" x14ac:dyDescent="0.2">
      <c r="A308" s="10" t="str">
        <f t="shared" si="25"/>
        <v>Deposit</v>
      </c>
      <c r="B308" s="13">
        <f t="array" ref="B308">IFERROR(INDEX(CreditDAY[Credit Days Nominal],MATCH(M308&amp;Q308&amp;I308,CreditDAY[Customer]&amp;CreditDAY[Договор.Наименование]&amp;CreditDAY[Brand Temp],0)),0)</f>
        <v>0</v>
      </c>
      <c r="C308" s="10"/>
      <c r="D308" s="165">
        <f t="shared" si="26"/>
        <v>0</v>
      </c>
      <c r="E308" s="16">
        <f t="shared" si="24"/>
        <v>0</v>
      </c>
      <c r="F308" s="23">
        <f t="shared" si="27"/>
        <v>44453</v>
      </c>
      <c r="G308" s="27" t="str">
        <f t="array" ref="G308">IF(K308&lt;0,"Advance",INDEX('Days Ranges'!$C$4:$C$12,MATCH(1,($F308&gt;='Days Ranges'!$A$4:$A$12)*($F308&lt;'Days Ranges'!$B$4:$B$12),0)))</f>
        <v>Advance</v>
      </c>
      <c r="H308" s="27" t="str">
        <f t="array" ref="H308">IF(K308&lt;0,"Advance",INDEX('Days Ranges'!$D$4:$D$12,MATCH(1,($F308&gt;'Days Ranges'!$A$4:$A$12)*($F308&lt;'Days Ranges'!$B$4:$B$12),0)))</f>
        <v>Advance</v>
      </c>
      <c r="I308" s="27" t="str">
        <f>IFERROR(IF(IFERROR(REPLACE(O308,FIND("ОПТ ",O308,1),4,""),O308)=0,VLOOKUP(MID(Q308,FIND(" ",Q308,1)+1,3),Brands!$B$2:$C$24,2,0),IFERROR(REPLACE(O308,FIND("ОПТ ",O308,1),4,""),O308)),"Check PLEASE")</f>
        <v>UGG</v>
      </c>
      <c r="J308" s="27" t="str">
        <f>VLOOKUP(I308,Brands!$E$2:$F$21,2,0)</f>
        <v>UGG</v>
      </c>
      <c r="K308" s="23">
        <f t="shared" si="28"/>
        <v>-337883.74</v>
      </c>
      <c r="L308" s="208"/>
      <c r="M308" s="205" t="s">
        <v>149</v>
      </c>
      <c r="N308" s="208"/>
      <c r="O308" s="205"/>
      <c r="P308" s="205"/>
      <c r="Q308" s="205" t="s">
        <v>725</v>
      </c>
      <c r="R308" s="87" t="s">
        <v>113</v>
      </c>
      <c r="S308" s="84"/>
      <c r="T308" s="84"/>
      <c r="U308" s="84"/>
      <c r="V308" s="84"/>
      <c r="W308" s="4" t="str">
        <f t="shared" si="29"/>
        <v>Negative</v>
      </c>
      <c r="X308" s="206">
        <v>-337883.74</v>
      </c>
    </row>
    <row r="309" spans="1:24" ht="12" x14ac:dyDescent="0.2">
      <c r="A309" s="10" t="str">
        <f t="shared" si="25"/>
        <v>Deposit</v>
      </c>
      <c r="B309" s="13">
        <f t="array" ref="B309">IFERROR(INDEX(CreditDAY[Credit Days Nominal],MATCH(M309&amp;Q309&amp;I309,CreditDAY[Customer]&amp;CreditDAY[Договор.Наименование]&amp;CreditDAY[Brand Temp],0)),0)</f>
        <v>0</v>
      </c>
      <c r="C309" s="10"/>
      <c r="D309" s="165">
        <f t="shared" si="26"/>
        <v>0</v>
      </c>
      <c r="E309" s="16">
        <f t="shared" si="24"/>
        <v>0</v>
      </c>
      <c r="F309" s="23">
        <f t="shared" si="27"/>
        <v>44453</v>
      </c>
      <c r="G309" s="27" t="str">
        <f t="array" ref="G309">IF(K309&lt;0,"Advance",INDEX('Days Ranges'!$C$4:$C$12,MATCH(1,($F309&gt;='Days Ranges'!$A$4:$A$12)*($F309&lt;'Days Ranges'!$B$4:$B$12),0)))</f>
        <v>Advance</v>
      </c>
      <c r="H309" s="27" t="str">
        <f t="array" ref="H309">IF(K309&lt;0,"Advance",INDEX('Days Ranges'!$D$4:$D$12,MATCH(1,($F309&gt;'Days Ranges'!$A$4:$A$12)*($F309&lt;'Days Ranges'!$B$4:$B$12),0)))</f>
        <v>Advance</v>
      </c>
      <c r="I309" s="27" t="str">
        <f>IFERROR(IF(IFERROR(REPLACE(O309,FIND("ОПТ ",O309,1),4,""),O309)=0,VLOOKUP(MID(Q309,FIND(" ",Q309,1)+1,3),Brands!$B$2:$C$24,2,0),IFERROR(REPLACE(O309,FIND("ОПТ ",O309,1),4,""),O309)),"Check PLEASE")</f>
        <v>Converse</v>
      </c>
      <c r="J309" s="27" t="str">
        <f>VLOOKUP(I309,Brands!$E$2:$F$21,2,0)</f>
        <v>Converse</v>
      </c>
      <c r="K309" s="23">
        <f t="shared" si="28"/>
        <v>-413.01</v>
      </c>
      <c r="L309" s="208"/>
      <c r="M309" s="205" t="s">
        <v>150</v>
      </c>
      <c r="N309" s="208"/>
      <c r="O309" s="205"/>
      <c r="P309" s="205"/>
      <c r="Q309" s="205" t="s">
        <v>151</v>
      </c>
      <c r="R309" s="87" t="s">
        <v>723</v>
      </c>
      <c r="S309" s="84"/>
      <c r="T309" s="84"/>
      <c r="U309" s="84"/>
      <c r="V309" s="84"/>
      <c r="W309" s="4" t="str">
        <f t="shared" si="29"/>
        <v>Negative</v>
      </c>
      <c r="X309" s="206">
        <v>-413.01</v>
      </c>
    </row>
    <row r="310" spans="1:24" ht="12" x14ac:dyDescent="0.2">
      <c r="A310" s="10" t="str">
        <f t="shared" si="25"/>
        <v>Deposit</v>
      </c>
      <c r="B310" s="13">
        <f t="array" ref="B310">IFERROR(INDEX(CreditDAY[Credit Days Nominal],MATCH(M310&amp;Q310&amp;I310,CreditDAY[Customer]&amp;CreditDAY[Договор.Наименование]&amp;CreditDAY[Brand Temp],0)),0)</f>
        <v>0</v>
      </c>
      <c r="C310" s="10"/>
      <c r="D310" s="165">
        <f t="shared" si="26"/>
        <v>0</v>
      </c>
      <c r="E310" s="16">
        <f t="shared" si="24"/>
        <v>0</v>
      </c>
      <c r="F310" s="23">
        <f t="shared" si="27"/>
        <v>44453</v>
      </c>
      <c r="G310" s="27" t="str">
        <f t="array" ref="G310">IF(K310&lt;0,"Advance",INDEX('Days Ranges'!$C$4:$C$12,MATCH(1,($F310&gt;='Days Ranges'!$A$4:$A$12)*($F310&lt;'Days Ranges'!$B$4:$B$12),0)))</f>
        <v>Advance</v>
      </c>
      <c r="H310" s="27" t="str">
        <f t="array" ref="H310">IF(K310&lt;0,"Advance",INDEX('Days Ranges'!$D$4:$D$12,MATCH(1,($F310&gt;'Days Ranges'!$A$4:$A$12)*($F310&lt;'Days Ranges'!$B$4:$B$12),0)))</f>
        <v>Advance</v>
      </c>
      <c r="I310" s="27" t="str">
        <f>IFERROR(IF(IFERROR(REPLACE(O310,FIND("ОПТ ",O310,1),4,""),O310)=0,VLOOKUP(MID(Q310,FIND(" ",Q310,1)+1,3),Brands!$B$2:$C$24,2,0),IFERROR(REPLACE(O310,FIND("ОПТ ",O310,1),4,""),O310)),"Check PLEASE")</f>
        <v>Converse</v>
      </c>
      <c r="J310" s="27" t="str">
        <f>VLOOKUP(I310,Brands!$E$2:$F$21,2,0)</f>
        <v>Converse</v>
      </c>
      <c r="K310" s="23">
        <f t="shared" si="28"/>
        <v>-45220</v>
      </c>
      <c r="L310" s="208"/>
      <c r="M310" s="205" t="s">
        <v>874</v>
      </c>
      <c r="N310" s="208"/>
      <c r="O310" s="205"/>
      <c r="P310" s="205"/>
      <c r="Q310" s="205" t="s">
        <v>38</v>
      </c>
      <c r="R310" s="87" t="s">
        <v>725</v>
      </c>
      <c r="S310" s="84"/>
      <c r="T310" s="84"/>
      <c r="U310" s="84"/>
      <c r="V310" s="84"/>
      <c r="W310" s="4" t="str">
        <f t="shared" si="29"/>
        <v>Negative</v>
      </c>
      <c r="X310" s="206">
        <v>-45220</v>
      </c>
    </row>
    <row r="311" spans="1:24" ht="12" x14ac:dyDescent="0.2">
      <c r="A311" s="10" t="str">
        <f t="shared" si="25"/>
        <v>Deposit</v>
      </c>
      <c r="B311" s="13">
        <f t="array" ref="B311">IFERROR(INDEX(CreditDAY[Credit Days Nominal],MATCH(M311&amp;Q311&amp;I311,CreditDAY[Customer]&amp;CreditDAY[Договор.Наименование]&amp;CreditDAY[Brand Temp],0)),0)</f>
        <v>0</v>
      </c>
      <c r="C311" s="10"/>
      <c r="D311" s="165">
        <f t="shared" si="26"/>
        <v>0</v>
      </c>
      <c r="E311" s="16">
        <f t="shared" si="24"/>
        <v>0</v>
      </c>
      <c r="F311" s="23">
        <f t="shared" si="27"/>
        <v>44453</v>
      </c>
      <c r="G311" s="27" t="str">
        <f t="array" ref="G311">IF(K311&lt;0,"Advance",INDEX('Days Ranges'!$C$4:$C$12,MATCH(1,($F311&gt;='Days Ranges'!$A$4:$A$12)*($F311&lt;'Days Ranges'!$B$4:$B$12),0)))</f>
        <v>Advance</v>
      </c>
      <c r="H311" s="27" t="str">
        <f t="array" ref="H311">IF(K311&lt;0,"Advance",INDEX('Days Ranges'!$D$4:$D$12,MATCH(1,($F311&gt;'Days Ranges'!$A$4:$A$12)*($F311&lt;'Days Ranges'!$B$4:$B$12),0)))</f>
        <v>Advance</v>
      </c>
      <c r="I311" s="27" t="str">
        <f>IFERROR(IF(IFERROR(REPLACE(O311,FIND("ОПТ ",O311,1),4,""),O311)=0,VLOOKUP(MID(Q311,FIND(" ",Q311,1)+1,3),Brands!$B$2:$C$24,2,0),IFERROR(REPLACE(O311,FIND("ОПТ ",O311,1),4,""),O311)),"Check PLEASE")</f>
        <v>Converse</v>
      </c>
      <c r="J311" s="27" t="str">
        <f>VLOOKUP(I311,Brands!$E$2:$F$21,2,0)</f>
        <v>Converse</v>
      </c>
      <c r="K311" s="23">
        <f t="shared" si="28"/>
        <v>-56111</v>
      </c>
      <c r="L311" s="208"/>
      <c r="M311" s="205" t="s">
        <v>874</v>
      </c>
      <c r="N311" s="208"/>
      <c r="O311" s="205"/>
      <c r="P311" s="205"/>
      <c r="Q311" s="205" t="s">
        <v>1429</v>
      </c>
      <c r="R311" s="87" t="s">
        <v>728</v>
      </c>
      <c r="S311" s="84"/>
      <c r="T311" s="84"/>
      <c r="U311" s="84"/>
      <c r="V311" s="84"/>
      <c r="W311" s="4" t="str">
        <f t="shared" si="29"/>
        <v>Negative</v>
      </c>
      <c r="X311" s="206">
        <v>-56111</v>
      </c>
    </row>
    <row r="312" spans="1:24" ht="12" x14ac:dyDescent="0.2">
      <c r="A312" s="10" t="str">
        <f t="shared" si="25"/>
        <v>Deposit</v>
      </c>
      <c r="B312" s="13">
        <f t="array" ref="B312">IFERROR(INDEX(CreditDAY[Credit Days Nominal],MATCH(M312&amp;Q312&amp;I312,CreditDAY[Customer]&amp;CreditDAY[Договор.Наименование]&amp;CreditDAY[Brand Temp],0)),0)</f>
        <v>0</v>
      </c>
      <c r="C312" s="10"/>
      <c r="D312" s="165">
        <f t="shared" si="26"/>
        <v>0</v>
      </c>
      <c r="E312" s="16">
        <f t="shared" si="24"/>
        <v>0</v>
      </c>
      <c r="F312" s="23">
        <f t="shared" si="27"/>
        <v>44453</v>
      </c>
      <c r="G312" s="27" t="str">
        <f t="array" ref="G312">IF(K312&lt;0,"Advance",INDEX('Days Ranges'!$C$4:$C$12,MATCH(1,($F312&gt;='Days Ranges'!$A$4:$A$12)*($F312&lt;'Days Ranges'!$B$4:$B$12),0)))</f>
        <v>Advance</v>
      </c>
      <c r="H312" s="27" t="str">
        <f t="array" ref="H312">IF(K312&lt;0,"Advance",INDEX('Days Ranges'!$D$4:$D$12,MATCH(1,($F312&gt;'Days Ranges'!$A$4:$A$12)*($F312&lt;'Days Ranges'!$B$4:$B$12),0)))</f>
        <v>Advance</v>
      </c>
      <c r="I312" s="27" t="str">
        <f>IFERROR(IF(IFERROR(REPLACE(O312,FIND("ОПТ ",O312,1),4,""),O312)=0,VLOOKUP(MID(Q312,FIND(" ",Q312,1)+1,3),Brands!$B$2:$C$24,2,0),IFERROR(REPLACE(O312,FIND("ОПТ ",O312,1),4,""),O312)),"Check PLEASE")</f>
        <v>Dr.Martens</v>
      </c>
      <c r="J312" s="27" t="str">
        <f>VLOOKUP(I312,Brands!$E$2:$F$21,2,0)</f>
        <v>Dr.Martens</v>
      </c>
      <c r="K312" s="23">
        <f t="shared" si="28"/>
        <v>-38000</v>
      </c>
      <c r="L312" s="208"/>
      <c r="M312" s="205" t="s">
        <v>874</v>
      </c>
      <c r="N312" s="208"/>
      <c r="O312" s="205"/>
      <c r="P312" s="205"/>
      <c r="Q312" s="205" t="s">
        <v>1484</v>
      </c>
      <c r="R312" s="87" t="s">
        <v>729</v>
      </c>
      <c r="S312" s="84"/>
      <c r="T312" s="84"/>
      <c r="U312" s="84"/>
      <c r="V312" s="84"/>
      <c r="W312" s="4" t="str">
        <f t="shared" si="29"/>
        <v>Negative</v>
      </c>
      <c r="X312" s="206">
        <v>-38000</v>
      </c>
    </row>
    <row r="313" spans="1:24" ht="12" x14ac:dyDescent="0.2">
      <c r="A313" s="10" t="str">
        <f t="shared" si="25"/>
        <v>Deposit</v>
      </c>
      <c r="B313" s="13">
        <f t="array" ref="B313">IFERROR(INDEX(CreditDAY[Credit Days Nominal],MATCH(M313&amp;Q313&amp;I313,CreditDAY[Customer]&amp;CreditDAY[Договор.Наименование]&amp;CreditDAY[Brand Temp],0)),0)</f>
        <v>0</v>
      </c>
      <c r="C313" s="10"/>
      <c r="D313" s="165">
        <f t="shared" si="26"/>
        <v>0</v>
      </c>
      <c r="E313" s="16">
        <f t="shared" si="24"/>
        <v>0</v>
      </c>
      <c r="F313" s="23">
        <f t="shared" si="27"/>
        <v>44453</v>
      </c>
      <c r="G313" s="27" t="str">
        <f t="array" ref="G313">IF(K313&lt;0,"Advance",INDEX('Days Ranges'!$C$4:$C$12,MATCH(1,($F313&gt;='Days Ranges'!$A$4:$A$12)*($F313&lt;'Days Ranges'!$B$4:$B$12),0)))</f>
        <v>Advance</v>
      </c>
      <c r="H313" s="27" t="str">
        <f t="array" ref="H313">IF(K313&lt;0,"Advance",INDEX('Days Ranges'!$D$4:$D$12,MATCH(1,($F313&gt;'Days Ranges'!$A$4:$A$12)*($F313&lt;'Days Ranges'!$B$4:$B$12),0)))</f>
        <v>Advance</v>
      </c>
      <c r="I313" s="27" t="str">
        <f>IFERROR(IF(IFERROR(REPLACE(O313,FIND("ОПТ ",O313,1),4,""),O313)=0,VLOOKUP(MID(Q313,FIND(" ",Q313,1)+1,3),Brands!$B$2:$C$24,2,0),IFERROR(REPLACE(O313,FIND("ОПТ ",O313,1),4,""),O313)),"Check PLEASE")</f>
        <v>Converse</v>
      </c>
      <c r="J313" s="27" t="str">
        <f>VLOOKUP(I313,Brands!$E$2:$F$21,2,0)</f>
        <v>Converse</v>
      </c>
      <c r="K313" s="23">
        <f t="shared" si="28"/>
        <v>-123449</v>
      </c>
      <c r="L313" s="208"/>
      <c r="M313" s="205" t="s">
        <v>152</v>
      </c>
      <c r="N313" s="208"/>
      <c r="O313" s="205"/>
      <c r="P313" s="205"/>
      <c r="Q313" s="205" t="s">
        <v>1487</v>
      </c>
      <c r="R313" s="87" t="s">
        <v>723</v>
      </c>
      <c r="S313" s="84"/>
      <c r="T313" s="84"/>
      <c r="U313" s="84"/>
      <c r="V313" s="84"/>
      <c r="W313" s="4" t="str">
        <f t="shared" si="29"/>
        <v>Negative</v>
      </c>
      <c r="X313" s="206">
        <v>-123449</v>
      </c>
    </row>
    <row r="314" spans="1:24" ht="12" x14ac:dyDescent="0.2">
      <c r="A314" s="10" t="str">
        <f t="shared" si="25"/>
        <v>Deposit</v>
      </c>
      <c r="B314" s="13">
        <f t="array" ref="B314">IFERROR(INDEX(CreditDAY[Credit Days Nominal],MATCH(M314&amp;Q314&amp;I314,CreditDAY[Customer]&amp;CreditDAY[Договор.Наименование]&amp;CreditDAY[Brand Temp],0)),0)</f>
        <v>0</v>
      </c>
      <c r="C314" s="10"/>
      <c r="D314" s="165">
        <f t="shared" si="26"/>
        <v>0</v>
      </c>
      <c r="E314" s="16">
        <f t="shared" si="24"/>
        <v>0</v>
      </c>
      <c r="F314" s="23">
        <f t="shared" si="27"/>
        <v>44453</v>
      </c>
      <c r="G314" s="27" t="str">
        <f t="array" ref="G314">IF(K314&lt;0,"Advance",INDEX('Days Ranges'!$C$4:$C$12,MATCH(1,($F314&gt;='Days Ranges'!$A$4:$A$12)*($F314&lt;'Days Ranges'!$B$4:$B$12),0)))</f>
        <v>Advance</v>
      </c>
      <c r="H314" s="27" t="str">
        <f t="array" ref="H314">IF(K314&lt;0,"Advance",INDEX('Days Ranges'!$D$4:$D$12,MATCH(1,($F314&gt;'Days Ranges'!$A$4:$A$12)*($F314&lt;'Days Ranges'!$B$4:$B$12),0)))</f>
        <v>Advance</v>
      </c>
      <c r="I314" s="27" t="str">
        <f>IFERROR(IF(IFERROR(REPLACE(O314,FIND("ОПТ ",O314,1),4,""),O314)=0,VLOOKUP(MID(Q314,FIND(" ",Q314,1)+1,3),Brands!$B$2:$C$24,2,0),IFERROR(REPLACE(O314,FIND("ОПТ ",O314,1),4,""),O314)),"Check PLEASE")</f>
        <v>Saucony</v>
      </c>
      <c r="J314" s="27" t="str">
        <f>VLOOKUP(I314,Brands!$E$2:$F$21,2,0)</f>
        <v>Saucony</v>
      </c>
      <c r="K314" s="23">
        <f t="shared" si="28"/>
        <v>-118113</v>
      </c>
      <c r="L314" s="208"/>
      <c r="M314" s="205" t="s">
        <v>152</v>
      </c>
      <c r="N314" s="208"/>
      <c r="O314" s="205"/>
      <c r="P314" s="205"/>
      <c r="Q314" s="205" t="s">
        <v>153</v>
      </c>
      <c r="R314" s="87" t="s">
        <v>268</v>
      </c>
      <c r="S314" s="84"/>
      <c r="T314" s="84"/>
      <c r="U314" s="84"/>
      <c r="V314" s="84"/>
      <c r="W314" s="4" t="str">
        <f t="shared" si="29"/>
        <v>Negative</v>
      </c>
      <c r="X314" s="206">
        <v>-118113</v>
      </c>
    </row>
    <row r="315" spans="1:24" ht="12" x14ac:dyDescent="0.2">
      <c r="A315" s="10" t="str">
        <f t="shared" si="25"/>
        <v>Deposit</v>
      </c>
      <c r="B315" s="13">
        <f t="array" ref="B315">IFERROR(INDEX(CreditDAY[Credit Days Nominal],MATCH(M315&amp;Q315&amp;I315,CreditDAY[Customer]&amp;CreditDAY[Договор.Наименование]&amp;CreditDAY[Brand Temp],0)),0)</f>
        <v>0</v>
      </c>
      <c r="C315" s="10"/>
      <c r="D315" s="165">
        <f t="shared" si="26"/>
        <v>0</v>
      </c>
      <c r="E315" s="16">
        <f t="shared" si="24"/>
        <v>0</v>
      </c>
      <c r="F315" s="23">
        <f t="shared" si="27"/>
        <v>44453</v>
      </c>
      <c r="G315" s="27" t="str">
        <f t="array" ref="G315">IF(K315&lt;0,"Advance",INDEX('Days Ranges'!$C$4:$C$12,MATCH(1,($F315&gt;='Days Ranges'!$A$4:$A$12)*($F315&lt;'Days Ranges'!$B$4:$B$12),0)))</f>
        <v>Advance</v>
      </c>
      <c r="H315" s="27" t="str">
        <f t="array" ref="H315">IF(K315&lt;0,"Advance",INDEX('Days Ranges'!$D$4:$D$12,MATCH(1,($F315&gt;'Days Ranges'!$A$4:$A$12)*($F315&lt;'Days Ranges'!$B$4:$B$12),0)))</f>
        <v>Advance</v>
      </c>
      <c r="I315" s="27" t="str">
        <f>IFERROR(IF(IFERROR(REPLACE(O315,FIND("ОПТ ",O315,1),4,""),O315)=0,VLOOKUP(MID(Q315,FIND(" ",Q315,1)+1,3),Brands!$B$2:$C$24,2,0),IFERROR(REPLACE(O315,FIND("ОПТ ",O315,1),4,""),O315)),"Check PLEASE")</f>
        <v>Converse</v>
      </c>
      <c r="J315" s="27" t="str">
        <f>VLOOKUP(I315,Brands!$E$2:$F$21,2,0)</f>
        <v>Converse</v>
      </c>
      <c r="K315" s="23">
        <f t="shared" si="28"/>
        <v>-78086.539999999994</v>
      </c>
      <c r="L315" s="208"/>
      <c r="M315" s="205" t="s">
        <v>154</v>
      </c>
      <c r="N315" s="208"/>
      <c r="O315" s="205"/>
      <c r="P315" s="205"/>
      <c r="Q315" s="205" t="s">
        <v>1429</v>
      </c>
      <c r="R315" s="87" t="s">
        <v>1187</v>
      </c>
      <c r="S315" s="84"/>
      <c r="T315" s="84"/>
      <c r="U315" s="84"/>
      <c r="V315" s="84"/>
      <c r="W315" s="4" t="str">
        <f t="shared" si="29"/>
        <v>Negative</v>
      </c>
      <c r="X315" s="206">
        <v>-78086.539999999994</v>
      </c>
    </row>
    <row r="316" spans="1:24" ht="12" x14ac:dyDescent="0.2">
      <c r="A316" s="10" t="str">
        <f t="shared" si="25"/>
        <v>Deposit</v>
      </c>
      <c r="B316" s="13">
        <f t="array" ref="B316">IFERROR(INDEX(CreditDAY[Credit Days Nominal],MATCH(M316&amp;Q316&amp;I316,CreditDAY[Customer]&amp;CreditDAY[Договор.Наименование]&amp;CreditDAY[Brand Temp],0)),0)</f>
        <v>0</v>
      </c>
      <c r="C316" s="10"/>
      <c r="D316" s="165">
        <f t="shared" si="26"/>
        <v>0</v>
      </c>
      <c r="E316" s="16">
        <f t="shared" si="24"/>
        <v>0</v>
      </c>
      <c r="F316" s="23">
        <f t="shared" si="27"/>
        <v>44453</v>
      </c>
      <c r="G316" s="27" t="str">
        <f t="array" ref="G316">IF(K316&lt;0,"Advance",INDEX('Days Ranges'!$C$4:$C$12,MATCH(1,($F316&gt;='Days Ranges'!$A$4:$A$12)*($F316&lt;'Days Ranges'!$B$4:$B$12),0)))</f>
        <v>Advance</v>
      </c>
      <c r="H316" s="27" t="str">
        <f t="array" ref="H316">IF(K316&lt;0,"Advance",INDEX('Days Ranges'!$D$4:$D$12,MATCH(1,($F316&gt;'Days Ranges'!$A$4:$A$12)*($F316&lt;'Days Ranges'!$B$4:$B$12),0)))</f>
        <v>Advance</v>
      </c>
      <c r="I316" s="27" t="str">
        <f>IFERROR(IF(IFERROR(REPLACE(O316,FIND("ОПТ ",O316,1),4,""),O316)=0,VLOOKUP(MID(Q316,FIND(" ",Q316,1)+1,3),Brands!$B$2:$C$24,2,0),IFERROR(REPLACE(O316,FIND("ОПТ ",O316,1),4,""),O316)),"Check PLEASE")</f>
        <v>Converse</v>
      </c>
      <c r="J316" s="27" t="str">
        <f>VLOOKUP(I316,Brands!$E$2:$F$21,2,0)</f>
        <v>Converse</v>
      </c>
      <c r="K316" s="23">
        <f t="shared" si="28"/>
        <v>-53789.88</v>
      </c>
      <c r="L316" s="208"/>
      <c r="M316" s="205" t="s">
        <v>154</v>
      </c>
      <c r="N316" s="208"/>
      <c r="O316" s="205"/>
      <c r="P316" s="205"/>
      <c r="Q316" s="205" t="s">
        <v>155</v>
      </c>
      <c r="R316" s="87" t="s">
        <v>42</v>
      </c>
      <c r="S316" s="84"/>
      <c r="T316" s="84"/>
      <c r="U316" s="84"/>
      <c r="V316" s="84"/>
      <c r="W316" s="4" t="str">
        <f t="shared" si="29"/>
        <v>Negative</v>
      </c>
      <c r="X316" s="206">
        <v>-53789.88</v>
      </c>
    </row>
    <row r="317" spans="1:24" ht="12" x14ac:dyDescent="0.2">
      <c r="A317" s="10" t="str">
        <f t="shared" si="25"/>
        <v>Deposit</v>
      </c>
      <c r="B317" s="13">
        <f t="array" ref="B317">IFERROR(INDEX(CreditDAY[Credit Days Nominal],MATCH(M317&amp;Q317&amp;I317,CreditDAY[Customer]&amp;CreditDAY[Договор.Наименование]&amp;CreditDAY[Brand Temp],0)),0)</f>
        <v>0</v>
      </c>
      <c r="C317" s="10"/>
      <c r="D317" s="165">
        <f t="shared" si="26"/>
        <v>0</v>
      </c>
      <c r="E317" s="16">
        <f t="shared" si="24"/>
        <v>0</v>
      </c>
      <c r="F317" s="23">
        <f t="shared" si="27"/>
        <v>44453</v>
      </c>
      <c r="G317" s="27" t="str">
        <f t="array" ref="G317">IF(K317&lt;0,"Advance",INDEX('Days Ranges'!$C$4:$C$12,MATCH(1,($F317&gt;='Days Ranges'!$A$4:$A$12)*($F317&lt;'Days Ranges'!$B$4:$B$12),0)))</f>
        <v>Advance</v>
      </c>
      <c r="H317" s="27" t="str">
        <f t="array" ref="H317">IF(K317&lt;0,"Advance",INDEX('Days Ranges'!$D$4:$D$12,MATCH(1,($F317&gt;'Days Ranges'!$A$4:$A$12)*($F317&lt;'Days Ranges'!$B$4:$B$12),0)))</f>
        <v>Advance</v>
      </c>
      <c r="I317" s="27" t="str">
        <f>IFERROR(IF(IFERROR(REPLACE(O317,FIND("ОПТ ",O317,1),4,""),O317)=0,VLOOKUP(MID(Q317,FIND(" ",Q317,1)+1,3),Brands!$B$2:$C$24,2,0),IFERROR(REPLACE(O317,FIND("ОПТ ",O317,1),4,""),O317)),"Check PLEASE")</f>
        <v>Converse</v>
      </c>
      <c r="J317" s="27" t="str">
        <f>VLOOKUP(I317,Brands!$E$2:$F$21,2,0)</f>
        <v>Converse</v>
      </c>
      <c r="K317" s="23">
        <f t="shared" si="28"/>
        <v>-46831.18</v>
      </c>
      <c r="L317" s="208"/>
      <c r="M317" s="205" t="s">
        <v>154</v>
      </c>
      <c r="N317" s="208"/>
      <c r="O317" s="205"/>
      <c r="P317" s="205"/>
      <c r="Q317" s="205" t="s">
        <v>39</v>
      </c>
      <c r="R317" s="87" t="s">
        <v>39</v>
      </c>
      <c r="S317" s="84"/>
      <c r="T317" s="84"/>
      <c r="U317" s="84"/>
      <c r="V317" s="84"/>
      <c r="W317" s="4" t="str">
        <f t="shared" si="29"/>
        <v>Negative</v>
      </c>
      <c r="X317" s="206">
        <v>-46831.18</v>
      </c>
    </row>
    <row r="318" spans="1:24" ht="12" x14ac:dyDescent="0.2">
      <c r="A318" s="10" t="str">
        <f t="shared" si="25"/>
        <v>Deposit</v>
      </c>
      <c r="B318" s="13">
        <f t="array" ref="B318">IFERROR(INDEX(CreditDAY[Credit Days Nominal],MATCH(M318&amp;Q318&amp;I318,CreditDAY[Customer]&amp;CreditDAY[Договор.Наименование]&amp;CreditDAY[Brand Temp],0)),0)</f>
        <v>0</v>
      </c>
      <c r="C318" s="10"/>
      <c r="D318" s="165">
        <f t="shared" si="26"/>
        <v>0</v>
      </c>
      <c r="E318" s="16">
        <f t="shared" si="24"/>
        <v>0</v>
      </c>
      <c r="F318" s="23">
        <f t="shared" si="27"/>
        <v>44453</v>
      </c>
      <c r="G318" s="27" t="str">
        <f t="array" ref="G318">IF(K318&lt;0,"Advance",INDEX('Days Ranges'!$C$4:$C$12,MATCH(1,($F318&gt;='Days Ranges'!$A$4:$A$12)*($F318&lt;'Days Ranges'!$B$4:$B$12),0)))</f>
        <v>Advance</v>
      </c>
      <c r="H318" s="27" t="str">
        <f t="array" ref="H318">IF(K318&lt;0,"Advance",INDEX('Days Ranges'!$D$4:$D$12,MATCH(1,($F318&gt;'Days Ranges'!$A$4:$A$12)*($F318&lt;'Days Ranges'!$B$4:$B$12),0)))</f>
        <v>Advance</v>
      </c>
      <c r="I318" s="27" t="str">
        <f>IFERROR(IF(IFERROR(REPLACE(O318,FIND("ОПТ ",O318,1),4,""),O318)=0,VLOOKUP(MID(Q318,FIND(" ",Q318,1)+1,3),Brands!$B$2:$C$24,2,0),IFERROR(REPLACE(O318,FIND("ОПТ ",O318,1),4,""),O318)),"Check PLEASE")</f>
        <v>Converse</v>
      </c>
      <c r="J318" s="27" t="str">
        <f>VLOOKUP(I318,Brands!$E$2:$F$21,2,0)</f>
        <v>Converse</v>
      </c>
      <c r="K318" s="23">
        <f t="shared" si="28"/>
        <v>-60350.7</v>
      </c>
      <c r="L318" s="208"/>
      <c r="M318" s="205" t="s">
        <v>156</v>
      </c>
      <c r="N318" s="208"/>
      <c r="O318" s="205"/>
      <c r="P318" s="205"/>
      <c r="Q318" s="205" t="s">
        <v>104</v>
      </c>
      <c r="R318" s="87" t="s">
        <v>724</v>
      </c>
      <c r="S318" s="84"/>
      <c r="T318" s="84"/>
      <c r="U318" s="84"/>
      <c r="V318" s="84"/>
      <c r="W318" s="4" t="str">
        <f t="shared" si="29"/>
        <v>Negative</v>
      </c>
      <c r="X318" s="206">
        <v>-60350.7</v>
      </c>
    </row>
    <row r="319" spans="1:24" ht="12" x14ac:dyDescent="0.2">
      <c r="A319" s="10" t="str">
        <f t="shared" si="25"/>
        <v>Deposit</v>
      </c>
      <c r="B319" s="13">
        <f t="array" ref="B319">IFERROR(INDEX(CreditDAY[Credit Days Nominal],MATCH(M319&amp;Q319&amp;I319,CreditDAY[Customer]&amp;CreditDAY[Договор.Наименование]&amp;CreditDAY[Brand Temp],0)),0)</f>
        <v>0</v>
      </c>
      <c r="C319" s="10"/>
      <c r="D319" s="165">
        <f t="shared" si="26"/>
        <v>0</v>
      </c>
      <c r="E319" s="16">
        <f t="shared" si="24"/>
        <v>0</v>
      </c>
      <c r="F319" s="23">
        <f t="shared" si="27"/>
        <v>44453</v>
      </c>
      <c r="G319" s="27" t="str">
        <f t="array" ref="G319">IF(K319&lt;0,"Advance",INDEX('Days Ranges'!$C$4:$C$12,MATCH(1,($F319&gt;='Days Ranges'!$A$4:$A$12)*($F319&lt;'Days Ranges'!$B$4:$B$12),0)))</f>
        <v>Advance</v>
      </c>
      <c r="H319" s="27" t="str">
        <f t="array" ref="H319">IF(K319&lt;0,"Advance",INDEX('Days Ranges'!$D$4:$D$12,MATCH(1,($F319&gt;'Days Ranges'!$A$4:$A$12)*($F319&lt;'Days Ranges'!$B$4:$B$12),0)))</f>
        <v>Advance</v>
      </c>
      <c r="I319" s="27" t="str">
        <f>IFERROR(IF(IFERROR(REPLACE(O319,FIND("ОПТ ",O319,1),4,""),O319)=0,VLOOKUP(MID(Q319,FIND(" ",Q319,1)+1,3),Brands!$B$2:$C$24,2,0),IFERROR(REPLACE(O319,FIND("ОПТ ",O319,1),4,""),O319)),"Check PLEASE")</f>
        <v>Converse</v>
      </c>
      <c r="J319" s="27" t="str">
        <f>VLOOKUP(I319,Brands!$E$2:$F$21,2,0)</f>
        <v>Converse</v>
      </c>
      <c r="K319" s="23">
        <f t="shared" si="28"/>
        <v>-49980</v>
      </c>
      <c r="L319" s="208"/>
      <c r="M319" s="205" t="s">
        <v>156</v>
      </c>
      <c r="N319" s="208"/>
      <c r="O319" s="205"/>
      <c r="P319" s="205"/>
      <c r="Q319" s="205" t="s">
        <v>1429</v>
      </c>
      <c r="R319" s="87" t="s">
        <v>64</v>
      </c>
      <c r="S319" s="84"/>
      <c r="T319" s="84"/>
      <c r="U319" s="84"/>
      <c r="V319" s="84"/>
      <c r="W319" s="4" t="str">
        <f t="shared" si="29"/>
        <v>Negative</v>
      </c>
      <c r="X319" s="206">
        <v>-49980</v>
      </c>
    </row>
    <row r="320" spans="1:24" ht="12" x14ac:dyDescent="0.2">
      <c r="A320" s="10" t="str">
        <f t="shared" si="25"/>
        <v>Deposit</v>
      </c>
      <c r="B320" s="13">
        <f t="array" ref="B320">IFERROR(INDEX(CreditDAY[Credit Days Nominal],MATCH(M320&amp;Q320&amp;I320,CreditDAY[Customer]&amp;CreditDAY[Договор.Наименование]&amp;CreditDAY[Brand Temp],0)),0)</f>
        <v>0</v>
      </c>
      <c r="C320" s="10"/>
      <c r="D320" s="165">
        <f t="shared" si="26"/>
        <v>0</v>
      </c>
      <c r="E320" s="16">
        <f t="shared" si="24"/>
        <v>0</v>
      </c>
      <c r="F320" s="23">
        <f t="shared" si="27"/>
        <v>44453</v>
      </c>
      <c r="G320" s="27" t="str">
        <f t="array" ref="G320">IF(K320&lt;0,"Advance",INDEX('Days Ranges'!$C$4:$C$12,MATCH(1,($F320&gt;='Days Ranges'!$A$4:$A$12)*($F320&lt;'Days Ranges'!$B$4:$B$12),0)))</f>
        <v>Advance</v>
      </c>
      <c r="H320" s="27" t="str">
        <f t="array" ref="H320">IF(K320&lt;0,"Advance",INDEX('Days Ranges'!$D$4:$D$12,MATCH(1,($F320&gt;'Days Ranges'!$A$4:$A$12)*($F320&lt;'Days Ranges'!$B$4:$B$12),0)))</f>
        <v>Advance</v>
      </c>
      <c r="I320" s="27" t="str">
        <f>IFERROR(IF(IFERROR(REPLACE(O320,FIND("ОПТ ",O320,1),4,""),O320)=0,VLOOKUP(MID(Q320,FIND(" ",Q320,1)+1,3),Brands!$B$2:$C$24,2,0),IFERROR(REPLACE(O320,FIND("ОПТ ",O320,1),4,""),O320)),"Check PLEASE")</f>
        <v>Dr.Martens</v>
      </c>
      <c r="J320" s="27" t="str">
        <f>VLOOKUP(I320,Brands!$E$2:$F$21,2,0)</f>
        <v>Dr.Martens</v>
      </c>
      <c r="K320" s="23">
        <f t="shared" si="28"/>
        <v>-79689.259999999995</v>
      </c>
      <c r="L320" s="208"/>
      <c r="M320" s="205" t="s">
        <v>164</v>
      </c>
      <c r="N320" s="208"/>
      <c r="O320" s="205"/>
      <c r="P320" s="205"/>
      <c r="Q320" s="205" t="s">
        <v>728</v>
      </c>
      <c r="R320" s="87" t="s">
        <v>725</v>
      </c>
      <c r="S320" s="84"/>
      <c r="T320" s="84"/>
      <c r="U320" s="84"/>
      <c r="V320" s="84"/>
      <c r="W320" s="4" t="str">
        <f t="shared" si="29"/>
        <v>Negative</v>
      </c>
      <c r="X320" s="206">
        <v>-79689.259999999995</v>
      </c>
    </row>
    <row r="321" spans="1:24" ht="12" x14ac:dyDescent="0.2">
      <c r="A321" s="10" t="str">
        <f t="shared" si="25"/>
        <v>Deposit</v>
      </c>
      <c r="B321" s="13">
        <f t="array" ref="B321">IFERROR(INDEX(CreditDAY[Credit Days Nominal],MATCH(M321&amp;Q321&amp;I321,CreditDAY[Customer]&amp;CreditDAY[Договор.Наименование]&amp;CreditDAY[Brand Temp],0)),0)</f>
        <v>0</v>
      </c>
      <c r="C321" s="10"/>
      <c r="D321" s="165">
        <f t="shared" si="26"/>
        <v>0</v>
      </c>
      <c r="E321" s="16">
        <f t="shared" si="24"/>
        <v>0</v>
      </c>
      <c r="F321" s="23">
        <f t="shared" si="27"/>
        <v>44453</v>
      </c>
      <c r="G321" s="27" t="str">
        <f t="array" ref="G321">IF(K321&lt;0,"Advance",INDEX('Days Ranges'!$C$4:$C$12,MATCH(1,($F321&gt;='Days Ranges'!$A$4:$A$12)*($F321&lt;'Days Ranges'!$B$4:$B$12),0)))</f>
        <v>Advance</v>
      </c>
      <c r="H321" s="27" t="str">
        <f t="array" ref="H321">IF(K321&lt;0,"Advance",INDEX('Days Ranges'!$D$4:$D$12,MATCH(1,($F321&gt;'Days Ranges'!$A$4:$A$12)*($F321&lt;'Days Ranges'!$B$4:$B$12),0)))</f>
        <v>Advance</v>
      </c>
      <c r="I321" s="27" t="str">
        <f>IFERROR(IF(IFERROR(REPLACE(O321,FIND("ОПТ ",O321,1),4,""),O321)=0,VLOOKUP(MID(Q321,FIND(" ",Q321,1)+1,3),Brands!$B$2:$C$24,2,0),IFERROR(REPLACE(O321,FIND("ОПТ ",O321,1),4,""),O321)),"Check PLEASE")</f>
        <v>Converse</v>
      </c>
      <c r="J321" s="27" t="str">
        <f>VLOOKUP(I321,Brands!$E$2:$F$21,2,0)</f>
        <v>Converse</v>
      </c>
      <c r="K321" s="23">
        <f t="shared" si="28"/>
        <v>-34154</v>
      </c>
      <c r="L321" s="208"/>
      <c r="M321" s="205" t="s">
        <v>168</v>
      </c>
      <c r="N321" s="208"/>
      <c r="O321" s="205"/>
      <c r="P321" s="205"/>
      <c r="Q321" s="205" t="s">
        <v>1429</v>
      </c>
      <c r="R321" s="87" t="s">
        <v>104</v>
      </c>
      <c r="S321" s="84"/>
      <c r="T321" s="84"/>
      <c r="U321" s="84"/>
      <c r="V321" s="84"/>
      <c r="W321" s="4" t="str">
        <f t="shared" si="29"/>
        <v>Negative</v>
      </c>
      <c r="X321" s="206">
        <v>-34154</v>
      </c>
    </row>
    <row r="322" spans="1:24" ht="12" x14ac:dyDescent="0.2">
      <c r="A322" s="10" t="str">
        <f t="shared" si="25"/>
        <v>Deposit</v>
      </c>
      <c r="B322" s="13">
        <f t="array" ref="B322">IFERROR(INDEX(CreditDAY[Credit Days Nominal],MATCH(M322&amp;Q322&amp;I322,CreditDAY[Customer]&amp;CreditDAY[Договор.Наименование]&amp;CreditDAY[Brand Temp],0)),0)</f>
        <v>0</v>
      </c>
      <c r="C322" s="10"/>
      <c r="D322" s="165">
        <f t="shared" si="26"/>
        <v>0</v>
      </c>
      <c r="E322" s="16">
        <f t="shared" si="24"/>
        <v>0</v>
      </c>
      <c r="F322" s="23">
        <f t="shared" si="27"/>
        <v>44453</v>
      </c>
      <c r="G322" s="27" t="str">
        <f t="array" ref="G322">IF(K322&lt;0,"Advance",INDEX('Days Ranges'!$C$4:$C$12,MATCH(1,($F322&gt;='Days Ranges'!$A$4:$A$12)*($F322&lt;'Days Ranges'!$B$4:$B$12),0)))</f>
        <v>Advance</v>
      </c>
      <c r="H322" s="27" t="str">
        <f t="array" ref="H322">IF(K322&lt;0,"Advance",INDEX('Days Ranges'!$D$4:$D$12,MATCH(1,($F322&gt;'Days Ranges'!$A$4:$A$12)*($F322&lt;'Days Ranges'!$B$4:$B$12),0)))</f>
        <v>Advance</v>
      </c>
      <c r="I322" s="27" t="str">
        <f>IFERROR(IF(IFERROR(REPLACE(O322,FIND("ОПТ ",O322,1),4,""),O322)=0,VLOOKUP(MID(Q322,FIND(" ",Q322,1)+1,3),Brands!$B$2:$C$24,2,0),IFERROR(REPLACE(O322,FIND("ОПТ ",O322,1),4,""),O322)),"Check PLEASE")</f>
        <v>Dr.Martens</v>
      </c>
      <c r="J322" s="27" t="str">
        <f>VLOOKUP(I322,Brands!$E$2:$F$21,2,0)</f>
        <v>Dr.Martens</v>
      </c>
      <c r="K322" s="23">
        <f t="shared" si="28"/>
        <v>-301128.5</v>
      </c>
      <c r="L322" s="208"/>
      <c r="M322" s="205" t="s">
        <v>769</v>
      </c>
      <c r="N322" s="208"/>
      <c r="O322" s="205"/>
      <c r="P322" s="205"/>
      <c r="Q322" s="205" t="s">
        <v>724</v>
      </c>
      <c r="R322" s="87" t="s">
        <v>38</v>
      </c>
      <c r="S322" s="84"/>
      <c r="T322" s="84"/>
      <c r="U322" s="84"/>
      <c r="V322" s="84"/>
      <c r="W322" s="4" t="str">
        <f t="shared" si="29"/>
        <v>Negative</v>
      </c>
      <c r="X322" s="206">
        <v>-301128.5</v>
      </c>
    </row>
    <row r="323" spans="1:24" ht="12" x14ac:dyDescent="0.2">
      <c r="A323" s="10" t="str">
        <f t="shared" si="25"/>
        <v>Deposit</v>
      </c>
      <c r="B323" s="13">
        <f t="array" ref="B323">IFERROR(INDEX(CreditDAY[Credit Days Nominal],MATCH(M323&amp;Q323&amp;I323,CreditDAY[Customer]&amp;CreditDAY[Договор.Наименование]&amp;CreditDAY[Brand Temp],0)),0)</f>
        <v>0</v>
      </c>
      <c r="C323" s="10"/>
      <c r="D323" s="165">
        <f t="shared" si="26"/>
        <v>0</v>
      </c>
      <c r="E323" s="16">
        <f t="shared" si="24"/>
        <v>0</v>
      </c>
      <c r="F323" s="23">
        <f t="shared" si="27"/>
        <v>44453</v>
      </c>
      <c r="G323" s="27" t="str">
        <f t="array" ref="G323">IF(K323&lt;0,"Advance",INDEX('Days Ranges'!$C$4:$C$12,MATCH(1,($F323&gt;='Days Ranges'!$A$4:$A$12)*($F323&lt;'Days Ranges'!$B$4:$B$12),0)))</f>
        <v>Advance</v>
      </c>
      <c r="H323" s="27" t="str">
        <f t="array" ref="H323">IF(K323&lt;0,"Advance",INDEX('Days Ranges'!$D$4:$D$12,MATCH(1,($F323&gt;'Days Ranges'!$A$4:$A$12)*($F323&lt;'Days Ranges'!$B$4:$B$12),0)))</f>
        <v>Advance</v>
      </c>
      <c r="I323" s="27" t="str">
        <f>IFERROR(IF(IFERROR(REPLACE(O323,FIND("ОПТ ",O323,1),4,""),O323)=0,VLOOKUP(MID(Q323,FIND(" ",Q323,1)+1,3),Brands!$B$2:$C$24,2,0),IFERROR(REPLACE(O323,FIND("ОПТ ",O323,1),4,""),O323)),"Check PLEASE")</f>
        <v>Converse</v>
      </c>
      <c r="J323" s="27" t="str">
        <f>VLOOKUP(I323,Brands!$E$2:$F$21,2,0)</f>
        <v>Converse</v>
      </c>
      <c r="K323" s="23">
        <f t="shared" si="28"/>
        <v>-57267</v>
      </c>
      <c r="L323" s="208"/>
      <c r="M323" s="205" t="s">
        <v>173</v>
      </c>
      <c r="N323" s="208"/>
      <c r="O323" s="205"/>
      <c r="P323" s="205"/>
      <c r="Q323" s="205" t="s">
        <v>1429</v>
      </c>
      <c r="R323" s="87" t="s">
        <v>738</v>
      </c>
      <c r="S323" s="84"/>
      <c r="T323" s="84"/>
      <c r="U323" s="84"/>
      <c r="V323" s="84"/>
      <c r="W323" s="4" t="str">
        <f t="shared" si="29"/>
        <v>Negative</v>
      </c>
      <c r="X323" s="206">
        <v>-57267</v>
      </c>
    </row>
    <row r="324" spans="1:24" ht="12" x14ac:dyDescent="0.2">
      <c r="A324" s="10" t="str">
        <f t="shared" si="25"/>
        <v>Deposit</v>
      </c>
      <c r="B324" s="13">
        <f t="array" ref="B324">IFERROR(INDEX(CreditDAY[Credit Days Nominal],MATCH(M324&amp;Q324&amp;I324,CreditDAY[Customer]&amp;CreditDAY[Договор.Наименование]&amp;CreditDAY[Brand Temp],0)),0)</f>
        <v>0</v>
      </c>
      <c r="C324" s="10"/>
      <c r="D324" s="165">
        <f t="shared" si="26"/>
        <v>0</v>
      </c>
      <c r="E324" s="16">
        <f t="shared" si="24"/>
        <v>0</v>
      </c>
      <c r="F324" s="23">
        <f t="shared" si="27"/>
        <v>44453</v>
      </c>
      <c r="G324" s="27" t="str">
        <f t="array" ref="G324">IF(K324&lt;0,"Advance",INDEX('Days Ranges'!$C$4:$C$12,MATCH(1,($F324&gt;='Days Ranges'!$A$4:$A$12)*($F324&lt;'Days Ranges'!$B$4:$B$12),0)))</f>
        <v>Advance</v>
      </c>
      <c r="H324" s="27" t="str">
        <f t="array" ref="H324">IF(K324&lt;0,"Advance",INDEX('Days Ranges'!$D$4:$D$12,MATCH(1,($F324&gt;'Days Ranges'!$A$4:$A$12)*($F324&lt;'Days Ranges'!$B$4:$B$12),0)))</f>
        <v>Advance</v>
      </c>
      <c r="I324" s="27" t="str">
        <f>IFERROR(IF(IFERROR(REPLACE(O324,FIND("ОПТ ",O324,1),4,""),O324)=0,VLOOKUP(MID(Q324,FIND(" ",Q324,1)+1,3),Brands!$B$2:$C$24,2,0),IFERROR(REPLACE(O324,FIND("ОПТ ",O324,1),4,""),O324)),"Check PLEASE")</f>
        <v>Saucony</v>
      </c>
      <c r="J324" s="27" t="str">
        <f>VLOOKUP(I324,Brands!$E$2:$F$21,2,0)</f>
        <v>Saucony</v>
      </c>
      <c r="K324" s="23">
        <f t="shared" si="28"/>
        <v>-66196.14</v>
      </c>
      <c r="L324" s="208"/>
      <c r="M324" s="205" t="s">
        <v>1390</v>
      </c>
      <c r="N324" s="208"/>
      <c r="O324" s="205"/>
      <c r="P324" s="205"/>
      <c r="Q324" s="205" t="s">
        <v>1389</v>
      </c>
      <c r="R324" s="87" t="s">
        <v>724</v>
      </c>
      <c r="S324" s="84"/>
      <c r="T324" s="84"/>
      <c r="U324" s="84"/>
      <c r="V324" s="84"/>
      <c r="W324" s="4" t="str">
        <f t="shared" si="29"/>
        <v>Negative</v>
      </c>
      <c r="X324" s="206">
        <v>-66196.14</v>
      </c>
    </row>
    <row r="325" spans="1:24" ht="12" x14ac:dyDescent="0.2">
      <c r="A325" s="10" t="str">
        <f t="shared" si="25"/>
        <v>Deposit</v>
      </c>
      <c r="B325" s="13">
        <f t="array" ref="B325">IFERROR(INDEX(CreditDAY[Credit Days Nominal],MATCH(M325&amp;Q325&amp;I325,CreditDAY[Customer]&amp;CreditDAY[Договор.Наименование]&amp;CreditDAY[Brand Temp],0)),0)</f>
        <v>0</v>
      </c>
      <c r="C325" s="10"/>
      <c r="D325" s="165">
        <f t="shared" si="26"/>
        <v>0</v>
      </c>
      <c r="E325" s="16">
        <f t="shared" si="24"/>
        <v>0</v>
      </c>
      <c r="F325" s="23">
        <f t="shared" si="27"/>
        <v>44453</v>
      </c>
      <c r="G325" s="27" t="str">
        <f t="array" ref="G325">IF(K325&lt;0,"Advance",INDEX('Days Ranges'!$C$4:$C$12,MATCH(1,($F325&gt;='Days Ranges'!$A$4:$A$12)*($F325&lt;'Days Ranges'!$B$4:$B$12),0)))</f>
        <v>Advance</v>
      </c>
      <c r="H325" s="27" t="str">
        <f t="array" ref="H325">IF(K325&lt;0,"Advance",INDEX('Days Ranges'!$D$4:$D$12,MATCH(1,($F325&gt;'Days Ranges'!$A$4:$A$12)*($F325&lt;'Days Ranges'!$B$4:$B$12),0)))</f>
        <v>Advance</v>
      </c>
      <c r="I325" s="27" t="str">
        <f>IFERROR(IF(IFERROR(REPLACE(O325,FIND("ОПТ ",O325,1),4,""),O325)=0,VLOOKUP(MID(Q325,FIND(" ",Q325,1)+1,3),Brands!$B$2:$C$24,2,0),IFERROR(REPLACE(O325,FIND("ОПТ ",O325,1),4,""),O325)),"Check PLEASE")</f>
        <v>Converse</v>
      </c>
      <c r="J325" s="27" t="str">
        <f>VLOOKUP(I325,Brands!$E$2:$F$21,2,0)</f>
        <v>Converse</v>
      </c>
      <c r="K325" s="23">
        <f t="shared" si="28"/>
        <v>-104806.62</v>
      </c>
      <c r="L325" s="208"/>
      <c r="M325" s="205" t="s">
        <v>178</v>
      </c>
      <c r="N325" s="208"/>
      <c r="O325" s="205"/>
      <c r="P325" s="205"/>
      <c r="Q325" s="205" t="s">
        <v>62</v>
      </c>
      <c r="R325" s="87" t="s">
        <v>42</v>
      </c>
      <c r="S325" s="84"/>
      <c r="T325" s="84"/>
      <c r="U325" s="84"/>
      <c r="V325" s="84"/>
      <c r="W325" s="4" t="str">
        <f t="shared" si="29"/>
        <v>Negative</v>
      </c>
      <c r="X325" s="206">
        <v>-104806.62</v>
      </c>
    </row>
    <row r="326" spans="1:24" ht="12" x14ac:dyDescent="0.2">
      <c r="A326" s="10" t="str">
        <f t="shared" si="25"/>
        <v>Deposit</v>
      </c>
      <c r="B326" s="13">
        <f t="array" ref="B326">IFERROR(INDEX(CreditDAY[Credit Days Nominal],MATCH(M326&amp;Q326&amp;I326,CreditDAY[Customer]&amp;CreditDAY[Договор.Наименование]&amp;CreditDAY[Brand Temp],0)),0)</f>
        <v>0</v>
      </c>
      <c r="C326" s="10"/>
      <c r="D326" s="165">
        <f t="shared" si="26"/>
        <v>0</v>
      </c>
      <c r="E326" s="16">
        <f t="shared" ref="E326:E333" si="30">N326+B326+C326</f>
        <v>0</v>
      </c>
      <c r="F326" s="23">
        <f t="shared" si="27"/>
        <v>44453</v>
      </c>
      <c r="G326" s="27" t="str">
        <f t="array" ref="G326">IF(K326&lt;0,"Advance",INDEX('Days Ranges'!$C$4:$C$12,MATCH(1,($F326&gt;='Days Ranges'!$A$4:$A$12)*($F326&lt;'Days Ranges'!$B$4:$B$12),0)))</f>
        <v>Advance</v>
      </c>
      <c r="H326" s="27" t="str">
        <f t="array" ref="H326">IF(K326&lt;0,"Advance",INDEX('Days Ranges'!$D$4:$D$12,MATCH(1,($F326&gt;'Days Ranges'!$A$4:$A$12)*($F326&lt;'Days Ranges'!$B$4:$B$12),0)))</f>
        <v>Advance</v>
      </c>
      <c r="I326" s="27" t="str">
        <f>IFERROR(IF(IFERROR(REPLACE(O326,FIND("ОПТ ",O326,1),4,""),O326)=0,VLOOKUP(MID(Q326,FIND(" ",Q326,1)+1,3),Brands!$B$2:$C$24,2,0),IFERROR(REPLACE(O326,FIND("ОПТ ",O326,1),4,""),O326)),"Check PLEASE")</f>
        <v>Converse</v>
      </c>
      <c r="J326" s="27" t="str">
        <f>VLOOKUP(I326,Brands!$E$2:$F$21,2,0)</f>
        <v>Converse</v>
      </c>
      <c r="K326" s="23">
        <f t="shared" si="28"/>
        <v>-200717.69</v>
      </c>
      <c r="L326" s="208"/>
      <c r="M326" s="205" t="s">
        <v>178</v>
      </c>
      <c r="N326" s="208"/>
      <c r="O326" s="205"/>
      <c r="P326" s="205"/>
      <c r="Q326" s="205" t="s">
        <v>1429</v>
      </c>
      <c r="R326" s="87" t="s">
        <v>38</v>
      </c>
      <c r="S326" s="84"/>
      <c r="T326" s="84"/>
      <c r="U326" s="84"/>
      <c r="V326" s="84"/>
      <c r="W326" s="4" t="str">
        <f t="shared" si="29"/>
        <v>Negative</v>
      </c>
      <c r="X326" s="206">
        <v>-200717.69</v>
      </c>
    </row>
    <row r="327" spans="1:24" ht="12" x14ac:dyDescent="0.2">
      <c r="A327" s="10" t="str">
        <f t="shared" ref="A327:A333" si="31">IFERROR(LEFT(L327,FIND("УТ",L327,1)-2),IF(ISERROR(FIND("Платежное",L327,1)),"Deposit","Платежное поручение входящее"))</f>
        <v>Deposit</v>
      </c>
      <c r="B327" s="13">
        <f t="array" ref="B327">IFERROR(INDEX(CreditDAY[Credit Days Nominal],MATCH(M327&amp;Q327&amp;I327,CreditDAY[Customer]&amp;CreditDAY[Договор.Наименование]&amp;CreditDAY[Brand Temp],0)),0)</f>
        <v>0</v>
      </c>
      <c r="C327" s="10"/>
      <c r="D327" s="165">
        <f t="shared" ref="D327:D333" si="32">DATE(YEAR(N327),MONTH(N327),DAY(N327))</f>
        <v>0</v>
      </c>
      <c r="E327" s="16">
        <f t="shared" si="30"/>
        <v>0</v>
      </c>
      <c r="F327" s="23">
        <f t="shared" ref="F327:F333" si="33">IFERROR($B$1-E327,100000)</f>
        <v>44453</v>
      </c>
      <c r="G327" s="27" t="str">
        <f t="array" ref="G327">IF(K327&lt;0,"Advance",INDEX('Days Ranges'!$C$4:$C$12,MATCH(1,($F327&gt;='Days Ranges'!$A$4:$A$12)*($F327&lt;'Days Ranges'!$B$4:$B$12),0)))</f>
        <v>Advance</v>
      </c>
      <c r="H327" s="27" t="str">
        <f t="array" ref="H327">IF(K327&lt;0,"Advance",INDEX('Days Ranges'!$D$4:$D$12,MATCH(1,($F327&gt;'Days Ranges'!$A$4:$A$12)*($F327&lt;'Days Ranges'!$B$4:$B$12),0)))</f>
        <v>Advance</v>
      </c>
      <c r="I327" s="27" t="str">
        <f>IFERROR(IF(IFERROR(REPLACE(O327,FIND("ОПТ ",O327,1),4,""),O327)=0,VLOOKUP(MID(Q327,FIND(" ",Q327,1)+1,3),Brands!$B$2:$C$24,2,0),IFERROR(REPLACE(O327,FIND("ОПТ ",O327,1),4,""),O327)),"Check PLEASE")</f>
        <v>Dr.Martens</v>
      </c>
      <c r="J327" s="27" t="str">
        <f>VLOOKUP(I327,Brands!$E$2:$F$21,2,0)</f>
        <v>Dr.Martens</v>
      </c>
      <c r="K327" s="23">
        <f t="shared" ref="K327:K333" si="34">X327</f>
        <v>-307587.96000000002</v>
      </c>
      <c r="L327" s="208"/>
      <c r="M327" s="205" t="s">
        <v>178</v>
      </c>
      <c r="N327" s="208"/>
      <c r="O327" s="205"/>
      <c r="P327" s="205"/>
      <c r="Q327" s="205" t="s">
        <v>724</v>
      </c>
      <c r="R327" s="87" t="s">
        <v>724</v>
      </c>
      <c r="S327" s="84"/>
      <c r="T327" s="84"/>
      <c r="U327" s="84"/>
      <c r="V327" s="84"/>
      <c r="W327" s="4" t="str">
        <f t="shared" ref="W327:W390" si="35">IF(X327&lt;0,"Negative","Positive")</f>
        <v>Negative</v>
      </c>
      <c r="X327" s="206">
        <v>-307587.96000000002</v>
      </c>
    </row>
    <row r="328" spans="1:24" ht="12" x14ac:dyDescent="0.2">
      <c r="A328" s="10" t="str">
        <f t="shared" si="31"/>
        <v>Deposit</v>
      </c>
      <c r="B328" s="13">
        <f t="array" ref="B328">IFERROR(INDEX(CreditDAY[Credit Days Nominal],MATCH(M328&amp;Q328&amp;I328,CreditDAY[Customer]&amp;CreditDAY[Договор.Наименование]&amp;CreditDAY[Brand Temp],0)),0)</f>
        <v>0</v>
      </c>
      <c r="C328" s="10"/>
      <c r="D328" s="165">
        <f t="shared" si="32"/>
        <v>0</v>
      </c>
      <c r="E328" s="16">
        <f t="shared" si="30"/>
        <v>0</v>
      </c>
      <c r="F328" s="23">
        <f t="shared" si="33"/>
        <v>44453</v>
      </c>
      <c r="G328" s="27" t="str">
        <f t="array" ref="G328">IF(K328&lt;0,"Advance",INDEX('Days Ranges'!$C$4:$C$12,MATCH(1,($F328&gt;='Days Ranges'!$A$4:$A$12)*($F328&lt;'Days Ranges'!$B$4:$B$12),0)))</f>
        <v>Advance</v>
      </c>
      <c r="H328" s="27" t="str">
        <f t="array" ref="H328">IF(K328&lt;0,"Advance",INDEX('Days Ranges'!$D$4:$D$12,MATCH(1,($F328&gt;'Days Ranges'!$A$4:$A$12)*($F328&lt;'Days Ranges'!$B$4:$B$12),0)))</f>
        <v>Advance</v>
      </c>
      <c r="I328" s="27" t="str">
        <f>IFERROR(IF(IFERROR(REPLACE(O328,FIND("ОПТ ",O328,1),4,""),O328)=0,VLOOKUP(MID(Q328,FIND(" ",Q328,1)+1,3),Brands!$B$2:$C$24,2,0),IFERROR(REPLACE(O328,FIND("ОПТ ",O328,1),4,""),O328)),"Check PLEASE")</f>
        <v>Dr.Martens</v>
      </c>
      <c r="J328" s="27" t="str">
        <f>VLOOKUP(I328,Brands!$E$2:$F$21,2,0)</f>
        <v>Dr.Martens</v>
      </c>
      <c r="K328" s="23">
        <f t="shared" si="34"/>
        <v>-215902.57</v>
      </c>
      <c r="L328" s="208"/>
      <c r="M328" s="205" t="s">
        <v>178</v>
      </c>
      <c r="N328" s="208"/>
      <c r="O328" s="205"/>
      <c r="P328" s="205"/>
      <c r="Q328" s="205" t="s">
        <v>1484</v>
      </c>
      <c r="R328" s="87" t="s">
        <v>739</v>
      </c>
      <c r="S328" s="84"/>
      <c r="T328" s="84"/>
      <c r="U328" s="84"/>
      <c r="V328" s="84"/>
      <c r="W328" s="4" t="str">
        <f t="shared" si="35"/>
        <v>Negative</v>
      </c>
      <c r="X328" s="206">
        <v>-215902.57</v>
      </c>
    </row>
    <row r="329" spans="1:24" ht="12" x14ac:dyDescent="0.2">
      <c r="A329" s="10" t="str">
        <f t="shared" si="31"/>
        <v>Deposit</v>
      </c>
      <c r="B329" s="13">
        <f t="array" ref="B329">IFERROR(INDEX(CreditDAY[Credit Days Nominal],MATCH(M329&amp;Q329&amp;I329,CreditDAY[Customer]&amp;CreditDAY[Договор.Наименование]&amp;CreditDAY[Brand Temp],0)),0)</f>
        <v>0</v>
      </c>
      <c r="C329" s="10"/>
      <c r="D329" s="165">
        <f t="shared" si="32"/>
        <v>0</v>
      </c>
      <c r="E329" s="16">
        <f t="shared" si="30"/>
        <v>0</v>
      </c>
      <c r="F329" s="23">
        <f t="shared" si="33"/>
        <v>44453</v>
      </c>
      <c r="G329" s="27" t="str">
        <f t="array" ref="G329">IF(K329&lt;0,"Advance",INDEX('Days Ranges'!$C$4:$C$12,MATCH(1,($F329&gt;='Days Ranges'!$A$4:$A$12)*($F329&lt;'Days Ranges'!$B$4:$B$12),0)))</f>
        <v>Advance</v>
      </c>
      <c r="H329" s="27" t="str">
        <f t="array" ref="H329">IF(K329&lt;0,"Advance",INDEX('Days Ranges'!$D$4:$D$12,MATCH(1,($F329&gt;'Days Ranges'!$A$4:$A$12)*($F329&lt;'Days Ranges'!$B$4:$B$12),0)))</f>
        <v>Advance</v>
      </c>
      <c r="I329" s="27" t="str">
        <f>IFERROR(IF(IFERROR(REPLACE(O329,FIND("ОПТ ",O329,1),4,""),O329)=0,VLOOKUP(MID(Q329,FIND(" ",Q329,1)+1,3),Brands!$B$2:$C$24,2,0),IFERROR(REPLACE(O329,FIND("ОПТ ",O329,1),4,""),O329)),"Check PLEASE")</f>
        <v>Saucony</v>
      </c>
      <c r="J329" s="27" t="str">
        <f>VLOOKUP(I329,Brands!$E$2:$F$21,2,0)</f>
        <v>Saucony</v>
      </c>
      <c r="K329" s="23">
        <f t="shared" si="34"/>
        <v>-156171.37</v>
      </c>
      <c r="L329" s="208"/>
      <c r="M329" s="205" t="s">
        <v>178</v>
      </c>
      <c r="N329" s="208"/>
      <c r="O329" s="205"/>
      <c r="P329" s="205"/>
      <c r="Q329" s="205" t="s">
        <v>1393</v>
      </c>
      <c r="R329" s="87" t="s">
        <v>297</v>
      </c>
      <c r="S329" s="84"/>
      <c r="T329" s="84"/>
      <c r="U329" s="84"/>
      <c r="V329" s="84"/>
      <c r="W329" s="4" t="str">
        <f t="shared" si="35"/>
        <v>Negative</v>
      </c>
      <c r="X329" s="206">
        <v>-156171.37</v>
      </c>
    </row>
    <row r="330" spans="1:24" ht="12" x14ac:dyDescent="0.2">
      <c r="A330" s="10" t="str">
        <f t="shared" si="31"/>
        <v>Deposit</v>
      </c>
      <c r="B330" s="13">
        <f t="array" ref="B330">IFERROR(INDEX(CreditDAY[Credit Days Nominal],MATCH(M330&amp;Q330&amp;I330,CreditDAY[Customer]&amp;CreditDAY[Договор.Наименование]&amp;CreditDAY[Brand Temp],0)),0)</f>
        <v>0</v>
      </c>
      <c r="C330" s="10"/>
      <c r="D330" s="165">
        <f t="shared" si="32"/>
        <v>0</v>
      </c>
      <c r="E330" s="16">
        <f t="shared" si="30"/>
        <v>0</v>
      </c>
      <c r="F330" s="23">
        <f t="shared" si="33"/>
        <v>44453</v>
      </c>
      <c r="G330" s="27" t="str">
        <f t="array" ref="G330">IF(K330&lt;0,"Advance",INDEX('Days Ranges'!$C$4:$C$12,MATCH(1,($F330&gt;='Days Ranges'!$A$4:$A$12)*($F330&lt;'Days Ranges'!$B$4:$B$12),0)))</f>
        <v>Advance</v>
      </c>
      <c r="H330" s="27" t="str">
        <f t="array" ref="H330">IF(K330&lt;0,"Advance",INDEX('Days Ranges'!$D$4:$D$12,MATCH(1,($F330&gt;'Days Ranges'!$A$4:$A$12)*($F330&lt;'Days Ranges'!$B$4:$B$12),0)))</f>
        <v>Advance</v>
      </c>
      <c r="I330" s="27" t="str">
        <f>IFERROR(IF(IFERROR(REPLACE(O330,FIND("ОПТ ",O330,1),4,""),O330)=0,VLOOKUP(MID(Q330,FIND(" ",Q330,1)+1,3),Brands!$B$2:$C$24,2,0),IFERROR(REPLACE(O330,FIND("ОПТ ",O330,1),4,""),O330)),"Check PLEASE")</f>
        <v>UGG</v>
      </c>
      <c r="J330" s="27" t="str">
        <f>VLOOKUP(I330,Brands!$E$2:$F$21,2,0)</f>
        <v>UGG</v>
      </c>
      <c r="K330" s="23">
        <f t="shared" si="34"/>
        <v>-72821.78</v>
      </c>
      <c r="L330" s="208"/>
      <c r="M330" s="205" t="s">
        <v>178</v>
      </c>
      <c r="N330" s="208"/>
      <c r="O330" s="205"/>
      <c r="P330" s="205"/>
      <c r="Q330" s="205" t="s">
        <v>725</v>
      </c>
      <c r="R330" s="87" t="s">
        <v>728</v>
      </c>
      <c r="S330" s="84"/>
      <c r="T330" s="84"/>
      <c r="U330" s="84"/>
      <c r="V330" s="84"/>
      <c r="W330" s="4" t="str">
        <f t="shared" si="35"/>
        <v>Negative</v>
      </c>
      <c r="X330" s="206">
        <v>-72821.78</v>
      </c>
    </row>
    <row r="331" spans="1:24" ht="12" x14ac:dyDescent="0.2">
      <c r="A331" s="10" t="str">
        <f t="shared" si="31"/>
        <v>Deposit</v>
      </c>
      <c r="B331" s="13">
        <f t="array" ref="B331">IFERROR(INDEX(CreditDAY[Credit Days Nominal],MATCH(M331&amp;Q331&amp;I331,CreditDAY[Customer]&amp;CreditDAY[Договор.Наименование]&amp;CreditDAY[Brand Temp],0)),0)</f>
        <v>0</v>
      </c>
      <c r="C331" s="10"/>
      <c r="D331" s="165">
        <f t="shared" si="32"/>
        <v>0</v>
      </c>
      <c r="E331" s="16">
        <f t="shared" si="30"/>
        <v>0</v>
      </c>
      <c r="F331" s="23">
        <f t="shared" si="33"/>
        <v>44453</v>
      </c>
      <c r="G331" s="27" t="str">
        <f t="array" ref="G331">IF(K331&lt;0,"Advance",INDEX('Days Ranges'!$C$4:$C$12,MATCH(1,($F331&gt;='Days Ranges'!$A$4:$A$12)*($F331&lt;'Days Ranges'!$B$4:$B$12),0)))</f>
        <v>Advance</v>
      </c>
      <c r="H331" s="27" t="str">
        <f t="array" ref="H331">IF(K331&lt;0,"Advance",INDEX('Days Ranges'!$D$4:$D$12,MATCH(1,($F331&gt;'Days Ranges'!$A$4:$A$12)*($F331&lt;'Days Ranges'!$B$4:$B$12),0)))</f>
        <v>Advance</v>
      </c>
      <c r="I331" s="27" t="str">
        <f>IFERROR(IF(IFERROR(REPLACE(O331,FIND("ОПТ ",O331,1),4,""),O331)=0,VLOOKUP(MID(Q331,FIND(" ",Q331,1)+1,3),Brands!$B$2:$C$24,2,0),IFERROR(REPLACE(O331,FIND("ОПТ ",O331,1),4,""),O331)),"Check PLEASE")</f>
        <v>UGG</v>
      </c>
      <c r="J331" s="27" t="str">
        <f>VLOOKUP(I331,Brands!$E$2:$F$21,2,0)</f>
        <v>UGG</v>
      </c>
      <c r="K331" s="23">
        <f t="shared" si="34"/>
        <v>-65924.41</v>
      </c>
      <c r="L331" s="208"/>
      <c r="M331" s="205" t="s">
        <v>178</v>
      </c>
      <c r="N331" s="208"/>
      <c r="O331" s="205"/>
      <c r="P331" s="205"/>
      <c r="Q331" s="205" t="s">
        <v>1457</v>
      </c>
      <c r="R331" s="87" t="s">
        <v>325</v>
      </c>
      <c r="S331" s="84"/>
      <c r="T331" s="84"/>
      <c r="U331" s="84"/>
      <c r="V331" s="84"/>
      <c r="W331" s="4" t="str">
        <f t="shared" si="35"/>
        <v>Negative</v>
      </c>
      <c r="X331" s="206">
        <v>-65924.41</v>
      </c>
    </row>
    <row r="332" spans="1:24" ht="12" x14ac:dyDescent="0.2">
      <c r="A332" s="10" t="str">
        <f t="shared" si="31"/>
        <v>Deposit</v>
      </c>
      <c r="B332" s="13">
        <f t="array" ref="B332">IFERROR(INDEX(CreditDAY[Credit Days Nominal],MATCH(M332&amp;Q332&amp;I332,CreditDAY[Customer]&amp;CreditDAY[Договор.Наименование]&amp;CreditDAY[Brand Temp],0)),0)</f>
        <v>0</v>
      </c>
      <c r="C332" s="10"/>
      <c r="D332" s="165">
        <f t="shared" si="32"/>
        <v>0</v>
      </c>
      <c r="E332" s="16">
        <f t="shared" si="30"/>
        <v>0</v>
      </c>
      <c r="F332" s="23">
        <f t="shared" si="33"/>
        <v>44453</v>
      </c>
      <c r="G332" s="27" t="str">
        <f t="array" ref="G332">IF(K332&lt;0,"Advance",INDEX('Days Ranges'!$C$4:$C$12,MATCH(1,($F332&gt;='Days Ranges'!$A$4:$A$12)*($F332&lt;'Days Ranges'!$B$4:$B$12),0)))</f>
        <v>Advance</v>
      </c>
      <c r="H332" s="27" t="str">
        <f t="array" ref="H332">IF(K332&lt;0,"Advance",INDEX('Days Ranges'!$D$4:$D$12,MATCH(1,($F332&gt;'Days Ranges'!$A$4:$A$12)*($F332&lt;'Days Ranges'!$B$4:$B$12),0)))</f>
        <v>Advance</v>
      </c>
      <c r="I332" s="27" t="str">
        <f>IFERROR(IF(IFERROR(REPLACE(O332,FIND("ОПТ ",O332,1),4,""),O332)=0,VLOOKUP(MID(Q332,FIND(" ",Q332,1)+1,3),Brands!$B$2:$C$24,2,0),IFERROR(REPLACE(O332,FIND("ОПТ ",O332,1),4,""),O332)),"Check PLEASE")</f>
        <v>Converse</v>
      </c>
      <c r="J332" s="27" t="str">
        <f>VLOOKUP(I332,Brands!$E$2:$F$21,2,0)</f>
        <v>Converse</v>
      </c>
      <c r="K332" s="23">
        <f t="shared" si="34"/>
        <v>-42374</v>
      </c>
      <c r="L332" s="208"/>
      <c r="M332" s="205" t="s">
        <v>1394</v>
      </c>
      <c r="N332" s="208"/>
      <c r="O332" s="205"/>
      <c r="P332" s="205"/>
      <c r="Q332" s="205" t="s">
        <v>1429</v>
      </c>
      <c r="R332" s="87" t="s">
        <v>725</v>
      </c>
      <c r="S332" s="84"/>
      <c r="T332" s="84"/>
      <c r="U332" s="84"/>
      <c r="V332" s="84"/>
      <c r="W332" s="4" t="str">
        <f t="shared" si="35"/>
        <v>Negative</v>
      </c>
      <c r="X332" s="206">
        <v>-42374</v>
      </c>
    </row>
    <row r="333" spans="1:24" ht="11.25" customHeight="1" x14ac:dyDescent="0.2">
      <c r="A333" s="10" t="str">
        <f t="shared" si="31"/>
        <v>Deposit</v>
      </c>
      <c r="B333" s="13">
        <f t="array" ref="B333">IFERROR(INDEX(CreditDAY[Credit Days Nominal],MATCH(M333&amp;Q333&amp;I333,CreditDAY[Customer]&amp;CreditDAY[Договор.Наименование]&amp;CreditDAY[Brand Temp],0)),0)</f>
        <v>0</v>
      </c>
      <c r="C333" s="10"/>
      <c r="D333" s="165">
        <f t="shared" si="32"/>
        <v>0</v>
      </c>
      <c r="E333" s="16">
        <f t="shared" si="30"/>
        <v>0</v>
      </c>
      <c r="F333" s="23">
        <f t="shared" si="33"/>
        <v>44453</v>
      </c>
      <c r="G333" s="27" t="str">
        <f t="array" ref="G333">IF(K333&lt;0,"Advance",INDEX('Days Ranges'!$C$4:$C$12,MATCH(1,($F333&gt;='Days Ranges'!$A$4:$A$12)*($F333&lt;'Days Ranges'!$B$4:$B$12),0)))</f>
        <v>Advance</v>
      </c>
      <c r="H333" s="27" t="str">
        <f t="array" ref="H333">IF(K333&lt;0,"Advance",INDEX('Days Ranges'!$D$4:$D$12,MATCH(1,($F333&gt;'Days Ranges'!$A$4:$A$12)*($F333&lt;'Days Ranges'!$B$4:$B$12),0)))</f>
        <v>Advance</v>
      </c>
      <c r="I333" s="27" t="str">
        <f>IFERROR(IF(IFERROR(REPLACE(O333,FIND("ОПТ ",O333,1),4,""),O333)=0,VLOOKUP(MID(Q333,FIND(" ",Q333,1)+1,3),Brands!$B$2:$C$24,2,0),IFERROR(REPLACE(O333,FIND("ОПТ ",O333,1),4,""),O333)),"Check PLEASE")</f>
        <v>Saucony</v>
      </c>
      <c r="J333" s="27" t="str">
        <f>VLOOKUP(I333,Brands!$E$2:$F$21,2,0)</f>
        <v>Saucony</v>
      </c>
      <c r="K333" s="23">
        <f t="shared" si="34"/>
        <v>-75139.429999999993</v>
      </c>
      <c r="L333" s="208"/>
      <c r="M333" s="205" t="s">
        <v>1394</v>
      </c>
      <c r="N333" s="208"/>
      <c r="O333" s="205"/>
      <c r="P333" s="205"/>
      <c r="Q333" s="205" t="s">
        <v>1393</v>
      </c>
      <c r="R333" s="87" t="s">
        <v>38</v>
      </c>
      <c r="S333" s="84"/>
      <c r="T333" s="84"/>
      <c r="U333" s="84"/>
      <c r="V333" s="84"/>
      <c r="W333" s="4" t="str">
        <f t="shared" si="35"/>
        <v>Negative</v>
      </c>
      <c r="X333" s="206">
        <v>-75139.429999999993</v>
      </c>
    </row>
    <row r="334" spans="1:24" ht="12" x14ac:dyDescent="0.2">
      <c r="A334" s="10" t="str">
        <f t="shared" ref="A334" si="36">IFERROR(LEFT(L334,FIND("УТ",L334,1)-2),IF(ISERROR(FIND("Платежное",L334,1)),"Deposit","Платежное поручение входящее"))</f>
        <v>Deposit</v>
      </c>
      <c r="B334" s="13">
        <f t="array" ref="B334">IFERROR(INDEX(CreditDAY[Credit Days Nominal],MATCH(M334&amp;Q334&amp;I334,CreditDAY[Customer]&amp;CreditDAY[Договор.Наименование]&amp;CreditDAY[Brand Temp],0)),0)</f>
        <v>0</v>
      </c>
      <c r="C334" s="10"/>
      <c r="D334" s="165">
        <f t="shared" ref="D334" si="37">DATE(YEAR(N334),MONTH(N334),DAY(N334))</f>
        <v>0</v>
      </c>
      <c r="E334" s="16">
        <f t="shared" ref="E334" si="38">N334+B334+C334</f>
        <v>0</v>
      </c>
      <c r="F334" s="23">
        <f t="shared" ref="F334" si="39">IFERROR($B$1-E334,100000)</f>
        <v>44453</v>
      </c>
      <c r="G334" s="27" t="str">
        <f t="array" ref="G334">IF(K334&lt;0,"Advance",INDEX('Days Ranges'!$C$4:$C$12,MATCH(1,($F334&gt;='Days Ranges'!$A$4:$A$12)*($F334&lt;'Days Ranges'!$B$4:$B$12),0)))</f>
        <v>Advance</v>
      </c>
      <c r="H334" s="27" t="str">
        <f t="array" ref="H334">IF(K334&lt;0,"Advance",INDEX('Days Ranges'!$D$4:$D$12,MATCH(1,($F334&gt;'Days Ranges'!$A$4:$A$12)*($F334&lt;'Days Ranges'!$B$4:$B$12),0)))</f>
        <v>Advance</v>
      </c>
      <c r="I334" s="27" t="str">
        <f>IFERROR(IF(IFERROR(REPLACE(O334,FIND("ОПТ ",O334,1),4,""),O334)=0,VLOOKUP(MID(Q334,FIND(" ",Q334,1)+1,3),Brands!$B$2:$C$24,2,0),IFERROR(REPLACE(O334,FIND("ОПТ ",O334,1),4,""),O334)),"Check PLEASE")</f>
        <v>Converse</v>
      </c>
      <c r="J334" s="27" t="str">
        <f>VLOOKUP(I334,Brands!$E$2:$F$21,2,0)</f>
        <v>Converse</v>
      </c>
      <c r="K334" s="23">
        <f t="shared" ref="K334" si="40">X334</f>
        <v>-18087.14</v>
      </c>
      <c r="L334" s="208"/>
      <c r="M334" s="205" t="s">
        <v>183</v>
      </c>
      <c r="N334" s="208"/>
      <c r="O334" s="205"/>
      <c r="P334" s="205"/>
      <c r="Q334" s="205" t="s">
        <v>61</v>
      </c>
      <c r="R334" s="87" t="s">
        <v>39</v>
      </c>
      <c r="S334" s="84"/>
      <c r="T334" s="84"/>
      <c r="U334" s="84"/>
      <c r="V334" s="84"/>
      <c r="W334" s="4" t="str">
        <f t="shared" si="35"/>
        <v>Negative</v>
      </c>
      <c r="X334" s="206">
        <v>-18087.14</v>
      </c>
    </row>
    <row r="335" spans="1:24" ht="12" x14ac:dyDescent="0.2">
      <c r="A335" s="10" t="str">
        <f t="shared" ref="A335:A338" si="41">IFERROR(LEFT(L335,FIND("УТ",L335,1)-2),IF(ISERROR(FIND("Платежное",L335,1)),"Deposit","Платежное поручение входящее"))</f>
        <v>Deposit</v>
      </c>
      <c r="B335" s="13">
        <f t="array" ref="B335">IFERROR(INDEX(CreditDAY[Credit Days Nominal],MATCH(M335&amp;Q335&amp;I335,CreditDAY[Customer]&amp;CreditDAY[Договор.Наименование]&amp;CreditDAY[Brand Temp],0)),0)</f>
        <v>0</v>
      </c>
      <c r="C335" s="10"/>
      <c r="D335" s="165">
        <f t="shared" ref="D335:D338" si="42">DATE(YEAR(N335),MONTH(N335),DAY(N335))</f>
        <v>0</v>
      </c>
      <c r="E335" s="16">
        <f t="shared" ref="E335:E338" si="43">N335+B335+C335</f>
        <v>0</v>
      </c>
      <c r="F335" s="23">
        <f t="shared" ref="F335:F338" si="44">IFERROR($B$1-E335,100000)</f>
        <v>44453</v>
      </c>
      <c r="G335" s="27" t="str">
        <f t="array" ref="G335">IF(K335&lt;0,"Advance",INDEX('Days Ranges'!$C$4:$C$12,MATCH(1,($F335&gt;='Days Ranges'!$A$4:$A$12)*($F335&lt;'Days Ranges'!$B$4:$B$12),0)))</f>
        <v>Advance</v>
      </c>
      <c r="H335" s="27" t="str">
        <f t="array" ref="H335">IF(K335&lt;0,"Advance",INDEX('Days Ranges'!$D$4:$D$12,MATCH(1,($F335&gt;'Days Ranges'!$A$4:$A$12)*($F335&lt;'Days Ranges'!$B$4:$B$12),0)))</f>
        <v>Advance</v>
      </c>
      <c r="I335" s="27" t="str">
        <f>IFERROR(IF(IFERROR(REPLACE(O335,FIND("ОПТ ",O335,1),4,""),O335)=0,VLOOKUP(MID(Q335,FIND(" ",Q335,1)+1,3),Brands!$B$2:$C$24,2,0),IFERROR(REPLACE(O335,FIND("ОПТ ",O335,1),4,""),O335)),"Check PLEASE")</f>
        <v>Converse</v>
      </c>
      <c r="J335" s="27" t="str">
        <f>VLOOKUP(I335,Brands!$E$2:$F$21,2,0)</f>
        <v>Converse</v>
      </c>
      <c r="K335" s="23">
        <f t="shared" ref="K335:K338" si="45">X335</f>
        <v>-116070.62</v>
      </c>
      <c r="L335" s="208"/>
      <c r="M335" s="205" t="s">
        <v>1469</v>
      </c>
      <c r="N335" s="208"/>
      <c r="O335" s="205"/>
      <c r="P335" s="205"/>
      <c r="Q335" s="205" t="s">
        <v>1429</v>
      </c>
      <c r="S335" s="84"/>
      <c r="T335" s="84"/>
      <c r="U335" s="84"/>
      <c r="V335" s="84"/>
      <c r="W335" s="4" t="str">
        <f t="shared" si="35"/>
        <v>Negative</v>
      </c>
      <c r="X335" s="206">
        <v>-116070.62</v>
      </c>
    </row>
    <row r="336" spans="1:24" ht="12" x14ac:dyDescent="0.2">
      <c r="A336" s="10" t="str">
        <f t="shared" si="41"/>
        <v>Deposit</v>
      </c>
      <c r="B336" s="13">
        <f t="array" ref="B336">IFERROR(INDEX(CreditDAY[Credit Days Nominal],MATCH(M336&amp;Q336&amp;I336,CreditDAY[Customer]&amp;CreditDAY[Договор.Наименование]&amp;CreditDAY[Brand Temp],0)),0)</f>
        <v>0</v>
      </c>
      <c r="C336" s="10"/>
      <c r="D336" s="165">
        <f t="shared" si="42"/>
        <v>0</v>
      </c>
      <c r="E336" s="16">
        <f t="shared" si="43"/>
        <v>0</v>
      </c>
      <c r="F336" s="23">
        <f t="shared" si="44"/>
        <v>44453</v>
      </c>
      <c r="G336" s="27" t="str">
        <f t="array" ref="G336">IF(K336&lt;0,"Advance",INDEX('Days Ranges'!$C$4:$C$12,MATCH(1,($F336&gt;='Days Ranges'!$A$4:$A$12)*($F336&lt;'Days Ranges'!$B$4:$B$12),0)))</f>
        <v>Advance</v>
      </c>
      <c r="H336" s="27" t="str">
        <f t="array" ref="H336">IF(K336&lt;0,"Advance",INDEX('Days Ranges'!$D$4:$D$12,MATCH(1,($F336&gt;'Days Ranges'!$A$4:$A$12)*($F336&lt;'Days Ranges'!$B$4:$B$12),0)))</f>
        <v>Advance</v>
      </c>
      <c r="I336" s="27" t="str">
        <f>IFERROR(IF(IFERROR(REPLACE(O336,FIND("ОПТ ",O336,1),4,""),O336)=0,VLOOKUP(MID(Q336,FIND(" ",Q336,1)+1,3),Brands!$B$2:$C$24,2,0),IFERROR(REPLACE(O336,FIND("ОПТ ",O336,1),4,""),O336)),"Check PLEASE")</f>
        <v>Dr.Martens</v>
      </c>
      <c r="J336" s="27" t="str">
        <f>VLOOKUP(I336,Brands!$E$2:$F$21,2,0)</f>
        <v>Dr.Martens</v>
      </c>
      <c r="K336" s="23">
        <f t="shared" si="45"/>
        <v>-165179.38</v>
      </c>
      <c r="L336" s="208"/>
      <c r="M336" s="205" t="s">
        <v>1469</v>
      </c>
      <c r="N336" s="208"/>
      <c r="O336" s="205"/>
      <c r="P336" s="205"/>
      <c r="Q336" s="205" t="s">
        <v>1484</v>
      </c>
      <c r="S336" s="84"/>
      <c r="T336" s="84"/>
      <c r="U336" s="84"/>
      <c r="V336" s="84"/>
      <c r="W336" s="4" t="str">
        <f t="shared" si="35"/>
        <v>Negative</v>
      </c>
      <c r="X336" s="206">
        <v>-165179.38</v>
      </c>
    </row>
    <row r="337" spans="1:24" ht="12" x14ac:dyDescent="0.2">
      <c r="A337" s="10" t="str">
        <f t="shared" si="41"/>
        <v>Deposit</v>
      </c>
      <c r="B337" s="13">
        <f t="array" ref="B337">IFERROR(INDEX(CreditDAY[Credit Days Nominal],MATCH(M337&amp;Q337&amp;I337,CreditDAY[Customer]&amp;CreditDAY[Договор.Наименование]&amp;CreditDAY[Brand Temp],0)),0)</f>
        <v>0</v>
      </c>
      <c r="C337" s="10"/>
      <c r="D337" s="165">
        <f t="shared" si="42"/>
        <v>0</v>
      </c>
      <c r="E337" s="16">
        <f t="shared" si="43"/>
        <v>0</v>
      </c>
      <c r="F337" s="23">
        <f t="shared" si="44"/>
        <v>44453</v>
      </c>
      <c r="G337" s="27" t="str">
        <f t="array" ref="G337">IF(K337&lt;0,"Advance",INDEX('Days Ranges'!$C$4:$C$12,MATCH(1,($F337&gt;='Days Ranges'!$A$4:$A$12)*($F337&lt;'Days Ranges'!$B$4:$B$12),0)))</f>
        <v>Advance</v>
      </c>
      <c r="H337" s="27" t="str">
        <f t="array" ref="H337">IF(K337&lt;0,"Advance",INDEX('Days Ranges'!$D$4:$D$12,MATCH(1,($F337&gt;'Days Ranges'!$A$4:$A$12)*($F337&lt;'Days Ranges'!$B$4:$B$12),0)))</f>
        <v>Advance</v>
      </c>
      <c r="I337" s="27" t="str">
        <f>IFERROR(IF(IFERROR(REPLACE(O337,FIND("ОПТ ",O337,1),4,""),O337)=0,VLOOKUP(MID(Q337,FIND(" ",Q337,1)+1,3),Brands!$B$2:$C$24,2,0),IFERROR(REPLACE(O337,FIND("ОПТ ",O337,1),4,""),O337)),"Check PLEASE")</f>
        <v>UGG</v>
      </c>
      <c r="J337" s="27" t="str">
        <f>VLOOKUP(I337,Brands!$E$2:$F$21,2,0)</f>
        <v>UGG</v>
      </c>
      <c r="K337" s="23">
        <f t="shared" si="45"/>
        <v>-278680.69</v>
      </c>
      <c r="L337" s="208"/>
      <c r="M337" s="205" t="s">
        <v>734</v>
      </c>
      <c r="N337" s="208"/>
      <c r="O337" s="205"/>
      <c r="P337" s="205"/>
      <c r="Q337" s="205" t="s">
        <v>735</v>
      </c>
      <c r="S337" s="84"/>
      <c r="T337" s="84"/>
      <c r="U337" s="84"/>
      <c r="V337" s="84"/>
      <c r="W337" s="4" t="str">
        <f t="shared" si="35"/>
        <v>Negative</v>
      </c>
      <c r="X337" s="206">
        <v>-278680.69</v>
      </c>
    </row>
    <row r="338" spans="1:24" ht="12" x14ac:dyDescent="0.2">
      <c r="A338" s="10" t="str">
        <f t="shared" si="41"/>
        <v>Deposit</v>
      </c>
      <c r="B338" s="13">
        <f t="array" ref="B338">IFERROR(INDEX(CreditDAY[Credit Days Nominal],MATCH(M338&amp;Q338&amp;I338,CreditDAY[Customer]&amp;CreditDAY[Договор.Наименование]&amp;CreditDAY[Brand Temp],0)),0)</f>
        <v>0</v>
      </c>
      <c r="C338" s="10"/>
      <c r="D338" s="165">
        <f t="shared" si="42"/>
        <v>0</v>
      </c>
      <c r="E338" s="16">
        <f t="shared" si="43"/>
        <v>0</v>
      </c>
      <c r="F338" s="23">
        <f t="shared" si="44"/>
        <v>44453</v>
      </c>
      <c r="G338" s="27" t="str">
        <f t="array" ref="G338">IF(K338&lt;0,"Advance",INDEX('Days Ranges'!$C$4:$C$12,MATCH(1,($F338&gt;='Days Ranges'!$A$4:$A$12)*($F338&lt;'Days Ranges'!$B$4:$B$12),0)))</f>
        <v>Advance</v>
      </c>
      <c r="H338" s="27" t="str">
        <f t="array" ref="H338">IF(K338&lt;0,"Advance",INDEX('Days Ranges'!$D$4:$D$12,MATCH(1,($F338&gt;'Days Ranges'!$A$4:$A$12)*($F338&lt;'Days Ranges'!$B$4:$B$12),0)))</f>
        <v>Advance</v>
      </c>
      <c r="I338" s="27" t="str">
        <f>IFERROR(IF(IFERROR(REPLACE(O338,FIND("ОПТ ",O338,1),4,""),O338)=0,VLOOKUP(MID(Q338,FIND(" ",Q338,1)+1,3),Brands!$B$2:$C$24,2,0),IFERROR(REPLACE(O338,FIND("ОПТ ",O338,1),4,""),O338)),"Check PLEASE")</f>
        <v>Converse</v>
      </c>
      <c r="J338" s="27" t="str">
        <f>VLOOKUP(I338,Brands!$E$2:$F$21,2,0)</f>
        <v>Converse</v>
      </c>
      <c r="K338" s="23">
        <f t="shared" si="45"/>
        <v>-1968875.54</v>
      </c>
      <c r="L338" s="208"/>
      <c r="M338" s="205" t="s">
        <v>240</v>
      </c>
      <c r="N338" s="208"/>
      <c r="O338" s="205"/>
      <c r="P338" s="205"/>
      <c r="Q338" s="205" t="s">
        <v>42</v>
      </c>
      <c r="S338" s="84"/>
      <c r="T338" s="84"/>
      <c r="U338" s="84"/>
      <c r="V338" s="84"/>
      <c r="W338" s="4" t="str">
        <f t="shared" si="35"/>
        <v>Negative</v>
      </c>
      <c r="X338" s="206">
        <v>-1968875.54</v>
      </c>
    </row>
    <row r="339" spans="1:24" ht="12" x14ac:dyDescent="0.2">
      <c r="A339" s="10" t="str">
        <f t="shared" ref="A339:A341" si="46">IFERROR(LEFT(L339,FIND("УТ",L339,1)-2),IF(ISERROR(FIND("Платежное",L339,1)),"Deposit","Платежное поручение входящее"))</f>
        <v>Deposit</v>
      </c>
      <c r="B339" s="13">
        <f t="array" ref="B339">IFERROR(INDEX(CreditDAY[Credit Days Nominal],MATCH(M339&amp;Q339&amp;I339,CreditDAY[Customer]&amp;CreditDAY[Договор.Наименование]&amp;CreditDAY[Brand Temp],0)),0)</f>
        <v>0</v>
      </c>
      <c r="C339" s="10"/>
      <c r="D339" s="165">
        <f t="shared" ref="D339:D341" si="47">DATE(YEAR(N339),MONTH(N339),DAY(N339))</f>
        <v>0</v>
      </c>
      <c r="E339" s="16">
        <f t="shared" ref="E339:E341" si="48">N339+B339+C339</f>
        <v>0</v>
      </c>
      <c r="F339" s="23">
        <f t="shared" ref="F339:F341" si="49">IFERROR($B$1-E339,100000)</f>
        <v>44453</v>
      </c>
      <c r="G339" s="27" t="str">
        <f t="array" ref="G339">IF(K339&lt;0,"Advance",INDEX('Days Ranges'!$C$4:$C$12,MATCH(1,($F339&gt;='Days Ranges'!$A$4:$A$12)*($F339&lt;'Days Ranges'!$B$4:$B$12),0)))</f>
        <v>Advance</v>
      </c>
      <c r="H339" s="27" t="str">
        <f t="array" ref="H339">IF(K339&lt;0,"Advance",INDEX('Days Ranges'!$D$4:$D$12,MATCH(1,($F339&gt;'Days Ranges'!$A$4:$A$12)*($F339&lt;'Days Ranges'!$B$4:$B$12),0)))</f>
        <v>Advance</v>
      </c>
      <c r="I339" s="27" t="str">
        <f>IFERROR(IF(IFERROR(REPLACE(O339,FIND("ОПТ ",O339,1),4,""),O339)=0,VLOOKUP(MID(Q339,FIND(" ",Q339,1)+1,3),Brands!$B$2:$C$24,2,0),IFERROR(REPLACE(O339,FIND("ОПТ ",O339,1),4,""),O339)),"Check PLEASE")</f>
        <v>Converse</v>
      </c>
      <c r="J339" s="27" t="str">
        <f>VLOOKUP(I339,Brands!$E$2:$F$21,2,0)</f>
        <v>Converse</v>
      </c>
      <c r="K339" s="23">
        <f t="shared" ref="K339:K341" si="50">X339</f>
        <v>-4568362.29</v>
      </c>
      <c r="L339" s="208"/>
      <c r="M339" s="205" t="s">
        <v>240</v>
      </c>
      <c r="N339" s="208"/>
      <c r="O339" s="205"/>
      <c r="P339" s="205"/>
      <c r="Q339" s="205" t="s">
        <v>1429</v>
      </c>
      <c r="S339" s="84"/>
      <c r="T339" s="84"/>
      <c r="U339" s="84"/>
      <c r="V339" s="84"/>
      <c r="W339" s="4" t="str">
        <f t="shared" si="35"/>
        <v>Negative</v>
      </c>
      <c r="X339" s="206">
        <v>-4568362.29</v>
      </c>
    </row>
    <row r="340" spans="1:24" ht="12" x14ac:dyDescent="0.2">
      <c r="A340" s="10" t="str">
        <f t="shared" si="46"/>
        <v>Deposit</v>
      </c>
      <c r="B340" s="13">
        <f t="array" ref="B340">IFERROR(INDEX(CreditDAY[Credit Days Nominal],MATCH(M340&amp;Q340&amp;I340,CreditDAY[Customer]&amp;CreditDAY[Договор.Наименование]&amp;CreditDAY[Brand Temp],0)),0)</f>
        <v>0</v>
      </c>
      <c r="C340" s="10"/>
      <c r="D340" s="165">
        <f t="shared" si="47"/>
        <v>0</v>
      </c>
      <c r="E340" s="16">
        <f t="shared" si="48"/>
        <v>0</v>
      </c>
      <c r="F340" s="23">
        <f t="shared" si="49"/>
        <v>44453</v>
      </c>
      <c r="G340" s="27" t="str">
        <f t="array" ref="G340">IF(K340&lt;0,"Advance",INDEX('Days Ranges'!$C$4:$C$12,MATCH(1,($F340&gt;='Days Ranges'!$A$4:$A$12)*($F340&lt;'Days Ranges'!$B$4:$B$12),0)))</f>
        <v>Advance</v>
      </c>
      <c r="H340" s="27" t="str">
        <f t="array" ref="H340">IF(K340&lt;0,"Advance",INDEX('Days Ranges'!$D$4:$D$12,MATCH(1,($F340&gt;'Days Ranges'!$A$4:$A$12)*($F340&lt;'Days Ranges'!$B$4:$B$12),0)))</f>
        <v>Advance</v>
      </c>
      <c r="I340" s="27" t="str">
        <f>IFERROR(IF(IFERROR(REPLACE(O340,FIND("ОПТ ",O340,1),4,""),O340)=0,VLOOKUP(MID(Q340,FIND(" ",Q340,1)+1,3),Brands!$B$2:$C$24,2,0),IFERROR(REPLACE(O340,FIND("ОПТ ",O340,1),4,""),O340)),"Check PLEASE")</f>
        <v>Dr.Martens</v>
      </c>
      <c r="J340" s="27" t="str">
        <f>VLOOKUP(I340,Brands!$E$2:$F$21,2,0)</f>
        <v>Dr.Martens</v>
      </c>
      <c r="K340" s="23">
        <f t="shared" si="50"/>
        <v>-12451513.58</v>
      </c>
      <c r="L340" s="208"/>
      <c r="M340" s="205" t="s">
        <v>240</v>
      </c>
      <c r="N340" s="208"/>
      <c r="O340" s="205"/>
      <c r="P340" s="205"/>
      <c r="Q340" s="205" t="s">
        <v>1186</v>
      </c>
      <c r="S340" s="84"/>
      <c r="T340" s="84"/>
      <c r="U340" s="84"/>
      <c r="V340" s="84"/>
      <c r="W340" s="4" t="str">
        <f t="shared" si="35"/>
        <v>Negative</v>
      </c>
      <c r="X340" s="206">
        <v>-12451513.58</v>
      </c>
    </row>
    <row r="341" spans="1:24" ht="12" x14ac:dyDescent="0.2">
      <c r="A341" s="10" t="str">
        <f t="shared" si="46"/>
        <v>Deposit</v>
      </c>
      <c r="B341" s="13">
        <f t="array" ref="B341">IFERROR(INDEX(CreditDAY[Credit Days Nominal],MATCH(M341&amp;Q341&amp;I341,CreditDAY[Customer]&amp;CreditDAY[Договор.Наименование]&amp;CreditDAY[Brand Temp],0)),0)</f>
        <v>0</v>
      </c>
      <c r="C341" s="10"/>
      <c r="D341" s="165">
        <f t="shared" si="47"/>
        <v>0</v>
      </c>
      <c r="E341" s="16">
        <f t="shared" si="48"/>
        <v>0</v>
      </c>
      <c r="F341" s="23">
        <f t="shared" si="49"/>
        <v>44453</v>
      </c>
      <c r="G341" s="27" t="str">
        <f t="array" ref="G341">IF(K341&lt;0,"Advance",INDEX('Days Ranges'!$C$4:$C$12,MATCH(1,($F341&gt;='Days Ranges'!$A$4:$A$12)*($F341&lt;'Days Ranges'!$B$4:$B$12),0)))</f>
        <v>Advance</v>
      </c>
      <c r="H341" s="27" t="str">
        <f t="array" ref="H341">IF(K341&lt;0,"Advance",INDEX('Days Ranges'!$D$4:$D$12,MATCH(1,($F341&gt;'Days Ranges'!$A$4:$A$12)*($F341&lt;'Days Ranges'!$B$4:$B$12),0)))</f>
        <v>Advance</v>
      </c>
      <c r="I341" s="27" t="str">
        <f>IFERROR(IF(IFERROR(REPLACE(O341,FIND("ОПТ ",O341,1),4,""),O341)=0,VLOOKUP(MID(Q341,FIND(" ",Q341,1)+1,3),Brands!$B$2:$C$24,2,0),IFERROR(REPLACE(O341,FIND("ОПТ ",O341,1),4,""),O341)),"Check PLEASE")</f>
        <v>Dr.Martens</v>
      </c>
      <c r="J341" s="27" t="str">
        <f>VLOOKUP(I341,Brands!$E$2:$F$21,2,0)</f>
        <v>Dr.Martens</v>
      </c>
      <c r="K341" s="23">
        <f t="shared" si="50"/>
        <v>-2992389.7</v>
      </c>
      <c r="L341" s="208"/>
      <c r="M341" s="205" t="s">
        <v>240</v>
      </c>
      <c r="N341" s="208"/>
      <c r="O341" s="205"/>
      <c r="P341" s="205"/>
      <c r="Q341" s="205" t="s">
        <v>1484</v>
      </c>
      <c r="S341" s="84"/>
      <c r="T341" s="84"/>
      <c r="U341" s="84"/>
      <c r="V341" s="84"/>
      <c r="W341" s="4" t="str">
        <f t="shared" si="35"/>
        <v>Negative</v>
      </c>
      <c r="X341" s="206">
        <v>-2992389.7</v>
      </c>
    </row>
    <row r="342" spans="1:24" ht="12" x14ac:dyDescent="0.2">
      <c r="A342" s="10" t="str">
        <f t="shared" ref="A342:A353" si="51">IFERROR(LEFT(L342,FIND("УТ",L342,1)-2),IF(ISERROR(FIND("Платежное",L342,1)),"Deposit","Платежное поручение входящее"))</f>
        <v>Deposit</v>
      </c>
      <c r="B342" s="13">
        <f t="array" ref="B342">IFERROR(INDEX(CreditDAY[Credit Days Nominal],MATCH(M342&amp;Q342&amp;I342,CreditDAY[Customer]&amp;CreditDAY[Договор.Наименование]&amp;CreditDAY[Brand Temp],0)),0)</f>
        <v>0</v>
      </c>
      <c r="C342" s="10"/>
      <c r="D342" s="165">
        <f t="shared" ref="D342:D353" si="52">DATE(YEAR(N342),MONTH(N342),DAY(N342))</f>
        <v>0</v>
      </c>
      <c r="E342" s="16">
        <f t="shared" ref="E342:E353" si="53">N342+B342+C342</f>
        <v>0</v>
      </c>
      <c r="F342" s="23">
        <f t="shared" ref="F342:F353" si="54">IFERROR($B$1-E342,100000)</f>
        <v>44453</v>
      </c>
      <c r="G342" s="27" t="str">
        <f t="array" ref="G342">IF(K342&lt;0,"Advance",INDEX('Days Ranges'!$C$4:$C$12,MATCH(1,($F342&gt;='Days Ranges'!$A$4:$A$12)*($F342&lt;'Days Ranges'!$B$4:$B$12),0)))</f>
        <v>Advance</v>
      </c>
      <c r="H342" s="27" t="str">
        <f t="array" ref="H342">IF(K342&lt;0,"Advance",INDEX('Days Ranges'!$D$4:$D$12,MATCH(1,($F342&gt;'Days Ranges'!$A$4:$A$12)*($F342&lt;'Days Ranges'!$B$4:$B$12),0)))</f>
        <v>Advance</v>
      </c>
      <c r="I342" s="27" t="str">
        <f>IFERROR(IF(IFERROR(REPLACE(O342,FIND("ОПТ ",O342,1),4,""),O342)=0,VLOOKUP(MID(Q342,FIND(" ",Q342,1)+1,3),Brands!$B$2:$C$24,2,0),IFERROR(REPLACE(O342,FIND("ОПТ ",O342,1),4,""),O342)),"Check PLEASE")</f>
        <v>Saucony</v>
      </c>
      <c r="J342" s="27" t="str">
        <f>VLOOKUP(I342,Brands!$E$2:$F$21,2,0)</f>
        <v>Saucony</v>
      </c>
      <c r="K342" s="23">
        <f t="shared" ref="K342:K353" si="55">X342</f>
        <v>-567716.37</v>
      </c>
      <c r="L342" s="208"/>
      <c r="M342" s="205" t="s">
        <v>240</v>
      </c>
      <c r="N342" s="208"/>
      <c r="O342" s="205"/>
      <c r="P342" s="205"/>
      <c r="Q342" s="205" t="s">
        <v>66</v>
      </c>
      <c r="S342" s="84"/>
      <c r="T342" s="84"/>
      <c r="U342" s="84"/>
      <c r="V342" s="84"/>
      <c r="W342" s="4" t="str">
        <f t="shared" si="35"/>
        <v>Negative</v>
      </c>
      <c r="X342" s="206">
        <v>-567716.37</v>
      </c>
    </row>
    <row r="343" spans="1:24" ht="12" x14ac:dyDescent="0.2">
      <c r="A343" s="10" t="str">
        <f t="shared" si="51"/>
        <v>Deposit</v>
      </c>
      <c r="B343" s="13">
        <f t="array" ref="B343">IFERROR(INDEX(CreditDAY[Credit Days Nominal],MATCH(M343&amp;Q343&amp;I343,CreditDAY[Customer]&amp;CreditDAY[Договор.Наименование]&amp;CreditDAY[Brand Temp],0)),0)</f>
        <v>0</v>
      </c>
      <c r="C343" s="10"/>
      <c r="D343" s="165">
        <f t="shared" si="52"/>
        <v>0</v>
      </c>
      <c r="E343" s="16">
        <f t="shared" si="53"/>
        <v>0</v>
      </c>
      <c r="F343" s="23">
        <f t="shared" si="54"/>
        <v>44453</v>
      </c>
      <c r="G343" s="27" t="str">
        <f t="array" ref="G343">IF(K343&lt;0,"Advance",INDEX('Days Ranges'!$C$4:$C$12,MATCH(1,($F343&gt;='Days Ranges'!$A$4:$A$12)*($F343&lt;'Days Ranges'!$B$4:$B$12),0)))</f>
        <v>Advance</v>
      </c>
      <c r="H343" s="27" t="str">
        <f t="array" ref="H343">IF(K343&lt;0,"Advance",INDEX('Days Ranges'!$D$4:$D$12,MATCH(1,($F343&gt;'Days Ranges'!$A$4:$A$12)*($F343&lt;'Days Ranges'!$B$4:$B$12),0)))</f>
        <v>Advance</v>
      </c>
      <c r="I343" s="27" t="str">
        <f>IFERROR(IF(IFERROR(REPLACE(O343,FIND("ОПТ ",O343,1),4,""),O343)=0,VLOOKUP(MID(Q343,FIND(" ",Q343,1)+1,3),Brands!$B$2:$C$24,2,0),IFERROR(REPLACE(O343,FIND("ОПТ ",O343,1),4,""),O343)),"Check PLEASE")</f>
        <v>UGG</v>
      </c>
      <c r="J343" s="27" t="str">
        <f>VLOOKUP(I343,Brands!$E$2:$F$21,2,0)</f>
        <v>UGG</v>
      </c>
      <c r="K343" s="23">
        <f t="shared" si="55"/>
        <v>-11164001.109999999</v>
      </c>
      <c r="L343" s="208"/>
      <c r="M343" s="205" t="s">
        <v>240</v>
      </c>
      <c r="N343" s="208"/>
      <c r="O343" s="205"/>
      <c r="P343" s="205"/>
      <c r="Q343" s="205" t="s">
        <v>735</v>
      </c>
      <c r="S343" s="84"/>
      <c r="T343" s="84"/>
      <c r="U343" s="84"/>
      <c r="V343" s="84"/>
      <c r="W343" s="4" t="str">
        <f t="shared" si="35"/>
        <v>Negative</v>
      </c>
      <c r="X343" s="206">
        <v>-11164001.109999999</v>
      </c>
    </row>
    <row r="344" spans="1:24" ht="12" x14ac:dyDescent="0.2">
      <c r="A344" s="10" t="str">
        <f t="shared" si="51"/>
        <v>Deposit</v>
      </c>
      <c r="B344" s="13">
        <f t="array" ref="B344">IFERROR(INDEX(CreditDAY[Credit Days Nominal],MATCH(M344&amp;Q344&amp;I344,CreditDAY[Customer]&amp;CreditDAY[Договор.Наименование]&amp;CreditDAY[Brand Temp],0)),0)</f>
        <v>0</v>
      </c>
      <c r="C344" s="10"/>
      <c r="D344" s="165">
        <f t="shared" si="52"/>
        <v>0</v>
      </c>
      <c r="E344" s="16">
        <f t="shared" si="53"/>
        <v>0</v>
      </c>
      <c r="F344" s="23">
        <f t="shared" si="54"/>
        <v>44453</v>
      </c>
      <c r="G344" s="27" t="str">
        <f t="array" ref="G344">IF(K344&lt;0,"Advance",INDEX('Days Ranges'!$C$4:$C$12,MATCH(1,($F344&gt;='Days Ranges'!$A$4:$A$12)*($F344&lt;'Days Ranges'!$B$4:$B$12),0)))</f>
        <v>Advance</v>
      </c>
      <c r="H344" s="27" t="str">
        <f t="array" ref="H344">IF(K344&lt;0,"Advance",INDEX('Days Ranges'!$D$4:$D$12,MATCH(1,($F344&gt;'Days Ranges'!$A$4:$A$12)*($F344&lt;'Days Ranges'!$B$4:$B$12),0)))</f>
        <v>Advance</v>
      </c>
      <c r="I344" s="27" t="str">
        <f>IFERROR(IF(IFERROR(REPLACE(O344,FIND("ОПТ ",O344,1),4,""),O344)=0,VLOOKUP(MID(Q344,FIND(" ",Q344,1)+1,3),Brands!$B$2:$C$24,2,0),IFERROR(REPLACE(O344,FIND("ОПТ ",O344,1),4,""),O344)),"Check PLEASE")</f>
        <v>Saucony</v>
      </c>
      <c r="J344" s="27" t="str">
        <f>VLOOKUP(I344,Brands!$E$2:$F$21,2,0)</f>
        <v>Saucony</v>
      </c>
      <c r="K344" s="23">
        <f t="shared" si="55"/>
        <v>-30000</v>
      </c>
      <c r="L344" s="208"/>
      <c r="M344" s="205" t="s">
        <v>256</v>
      </c>
      <c r="N344" s="208"/>
      <c r="O344" s="205"/>
      <c r="P344" s="205"/>
      <c r="Q344" s="205" t="s">
        <v>65</v>
      </c>
      <c r="S344" s="84"/>
      <c r="T344" s="84"/>
      <c r="U344" s="84"/>
      <c r="V344" s="84"/>
      <c r="W344" s="4" t="str">
        <f t="shared" si="35"/>
        <v>Negative</v>
      </c>
      <c r="X344" s="206">
        <v>-30000</v>
      </c>
    </row>
    <row r="345" spans="1:24" ht="12" x14ac:dyDescent="0.2">
      <c r="A345" s="10" t="str">
        <f t="shared" si="51"/>
        <v>Deposit</v>
      </c>
      <c r="B345" s="13">
        <f t="array" ref="B345">IFERROR(INDEX(CreditDAY[Credit Days Nominal],MATCH(M345&amp;Q345&amp;I345,CreditDAY[Customer]&amp;CreditDAY[Договор.Наименование]&amp;CreditDAY[Brand Temp],0)),0)</f>
        <v>0</v>
      </c>
      <c r="C345" s="10"/>
      <c r="D345" s="165">
        <f t="shared" si="52"/>
        <v>0</v>
      </c>
      <c r="E345" s="16">
        <f t="shared" si="53"/>
        <v>0</v>
      </c>
      <c r="F345" s="23">
        <f t="shared" si="54"/>
        <v>44453</v>
      </c>
      <c r="G345" s="27" t="str">
        <f t="array" ref="G345">IF(K345&lt;0,"Advance",INDEX('Days Ranges'!$C$4:$C$12,MATCH(1,($F345&gt;='Days Ranges'!$A$4:$A$12)*($F345&lt;'Days Ranges'!$B$4:$B$12),0)))</f>
        <v>Advance</v>
      </c>
      <c r="H345" s="27" t="str">
        <f t="array" ref="H345">IF(K345&lt;0,"Advance",INDEX('Days Ranges'!$D$4:$D$12,MATCH(1,($F345&gt;'Days Ranges'!$A$4:$A$12)*($F345&lt;'Days Ranges'!$B$4:$B$12),0)))</f>
        <v>Advance</v>
      </c>
      <c r="I345" s="27" t="str">
        <f>IFERROR(IF(IFERROR(REPLACE(O345,FIND("ОПТ ",O345,1),4,""),O345)=0,VLOOKUP(MID(Q345,FIND(" ",Q345,1)+1,3),Brands!$B$2:$C$24,2,0),IFERROR(REPLACE(O345,FIND("ОПТ ",O345,1),4,""),O345)),"Check PLEASE")</f>
        <v>Saucony</v>
      </c>
      <c r="J345" s="27" t="str">
        <f>VLOOKUP(I345,Brands!$E$2:$F$21,2,0)</f>
        <v>Saucony</v>
      </c>
      <c r="K345" s="23">
        <f t="shared" si="55"/>
        <v>-84999.4</v>
      </c>
      <c r="L345" s="208"/>
      <c r="M345" s="205" t="s">
        <v>256</v>
      </c>
      <c r="N345" s="208"/>
      <c r="O345" s="205"/>
      <c r="P345" s="205"/>
      <c r="Q345" s="205" t="s">
        <v>66</v>
      </c>
      <c r="S345" s="84"/>
      <c r="T345" s="84"/>
      <c r="U345" s="84"/>
      <c r="V345" s="84"/>
      <c r="W345" s="4" t="str">
        <f t="shared" si="35"/>
        <v>Negative</v>
      </c>
      <c r="X345" s="206">
        <v>-84999.4</v>
      </c>
    </row>
    <row r="346" spans="1:24" ht="12" x14ac:dyDescent="0.2">
      <c r="A346" s="10" t="str">
        <f t="shared" si="51"/>
        <v>Deposit</v>
      </c>
      <c r="B346" s="13">
        <f t="array" ref="B346">IFERROR(INDEX(CreditDAY[Credit Days Nominal],MATCH(M346&amp;Q346&amp;I346,CreditDAY[Customer]&amp;CreditDAY[Договор.Наименование]&amp;CreditDAY[Brand Temp],0)),0)</f>
        <v>0</v>
      </c>
      <c r="C346" s="10"/>
      <c r="D346" s="165">
        <f t="shared" si="52"/>
        <v>0</v>
      </c>
      <c r="E346" s="16">
        <f t="shared" si="53"/>
        <v>0</v>
      </c>
      <c r="F346" s="23">
        <f t="shared" si="54"/>
        <v>44453</v>
      </c>
      <c r="G346" s="27" t="str">
        <f t="array" ref="G346">IF(K346&lt;0,"Advance",INDEX('Days Ranges'!$C$4:$C$12,MATCH(1,($F346&gt;='Days Ranges'!$A$4:$A$12)*($F346&lt;'Days Ranges'!$B$4:$B$12),0)))</f>
        <v>Advance</v>
      </c>
      <c r="H346" s="27" t="str">
        <f t="array" ref="H346">IF(K346&lt;0,"Advance",INDEX('Days Ranges'!$D$4:$D$12,MATCH(1,($F346&gt;'Days Ranges'!$A$4:$A$12)*($F346&lt;'Days Ranges'!$B$4:$B$12),0)))</f>
        <v>Advance</v>
      </c>
      <c r="I346" s="27" t="str">
        <f>IFERROR(IF(IFERROR(REPLACE(O346,FIND("ОПТ ",O346,1),4,""),O346)=0,VLOOKUP(MID(Q346,FIND(" ",Q346,1)+1,3),Brands!$B$2:$C$24,2,0),IFERROR(REPLACE(O346,FIND("ОПТ ",O346,1),4,""),O346)),"Check PLEASE")</f>
        <v>Saucony</v>
      </c>
      <c r="J346" s="27" t="str">
        <f>VLOOKUP(I346,Brands!$E$2:$F$21,2,0)</f>
        <v>Saucony</v>
      </c>
      <c r="K346" s="23">
        <f t="shared" si="55"/>
        <v>-30000</v>
      </c>
      <c r="L346" s="208"/>
      <c r="M346" s="205" t="s">
        <v>256</v>
      </c>
      <c r="N346" s="208"/>
      <c r="O346" s="205"/>
      <c r="P346" s="205"/>
      <c r="Q346" s="205" t="s">
        <v>1393</v>
      </c>
      <c r="S346" s="84"/>
      <c r="T346" s="84"/>
      <c r="U346" s="84"/>
      <c r="V346" s="84"/>
      <c r="W346" s="4" t="str">
        <f t="shared" si="35"/>
        <v>Negative</v>
      </c>
      <c r="X346" s="206">
        <v>-30000</v>
      </c>
    </row>
    <row r="347" spans="1:24" ht="12" x14ac:dyDescent="0.2">
      <c r="A347" s="10" t="str">
        <f t="shared" si="51"/>
        <v>Deposit</v>
      </c>
      <c r="B347" s="13">
        <f t="array" ref="B347">IFERROR(INDEX(CreditDAY[Credit Days Nominal],MATCH(M347&amp;Q347&amp;I347,CreditDAY[Customer]&amp;CreditDAY[Договор.Наименование]&amp;CreditDAY[Brand Temp],0)),0)</f>
        <v>0</v>
      </c>
      <c r="C347" s="10"/>
      <c r="D347" s="165">
        <f t="shared" si="52"/>
        <v>0</v>
      </c>
      <c r="E347" s="16">
        <f t="shared" si="53"/>
        <v>0</v>
      </c>
      <c r="F347" s="23">
        <f t="shared" si="54"/>
        <v>44453</v>
      </c>
      <c r="G347" s="27" t="str">
        <f t="array" ref="G347">IF(K347&lt;0,"Advance",INDEX('Days Ranges'!$C$4:$C$12,MATCH(1,($F347&gt;='Days Ranges'!$A$4:$A$12)*($F347&lt;'Days Ranges'!$B$4:$B$12),0)))</f>
        <v>Advance</v>
      </c>
      <c r="H347" s="27" t="str">
        <f t="array" ref="H347">IF(K347&lt;0,"Advance",INDEX('Days Ranges'!$D$4:$D$12,MATCH(1,($F347&gt;'Days Ranges'!$A$4:$A$12)*($F347&lt;'Days Ranges'!$B$4:$B$12),0)))</f>
        <v>Advance</v>
      </c>
      <c r="I347" s="27" t="str">
        <f>IFERROR(IF(IFERROR(REPLACE(O347,FIND("ОПТ ",O347,1),4,""),O347)=0,VLOOKUP(MID(Q347,FIND(" ",Q347,1)+1,3),Brands!$B$2:$C$24,2,0),IFERROR(REPLACE(O347,FIND("ОПТ ",O347,1),4,""),O347)),"Check PLEASE")</f>
        <v>Dr.Martens</v>
      </c>
      <c r="J347" s="27" t="str">
        <f>VLOOKUP(I347,Brands!$E$2:$F$21,2,0)</f>
        <v>Dr.Martens</v>
      </c>
      <c r="K347" s="23">
        <f t="shared" si="55"/>
        <v>-3825.89</v>
      </c>
      <c r="L347" s="208"/>
      <c r="M347" s="205" t="s">
        <v>258</v>
      </c>
      <c r="N347" s="208"/>
      <c r="O347" s="205"/>
      <c r="P347" s="205"/>
      <c r="Q347" s="205" t="s">
        <v>63</v>
      </c>
      <c r="S347" s="84"/>
      <c r="T347" s="84"/>
      <c r="U347" s="84"/>
      <c r="V347" s="84"/>
      <c r="W347" s="4" t="str">
        <f t="shared" si="35"/>
        <v>Negative</v>
      </c>
      <c r="X347" s="206">
        <v>-3825.89</v>
      </c>
    </row>
    <row r="348" spans="1:24" ht="12" x14ac:dyDescent="0.2">
      <c r="A348" s="10" t="str">
        <f t="shared" si="51"/>
        <v>Deposit</v>
      </c>
      <c r="B348" s="13">
        <f t="array" ref="B348">IFERROR(INDEX(CreditDAY[Credit Days Nominal],MATCH(M348&amp;Q348&amp;I348,CreditDAY[Customer]&amp;CreditDAY[Договор.Наименование]&amp;CreditDAY[Brand Temp],0)),0)</f>
        <v>0</v>
      </c>
      <c r="C348" s="10"/>
      <c r="D348" s="165">
        <f t="shared" si="52"/>
        <v>0</v>
      </c>
      <c r="E348" s="16">
        <f t="shared" si="53"/>
        <v>0</v>
      </c>
      <c r="F348" s="23">
        <f t="shared" si="54"/>
        <v>44453</v>
      </c>
      <c r="G348" s="27" t="str">
        <f t="array" ref="G348">IF(K348&lt;0,"Advance",INDEX('Days Ranges'!$C$4:$C$12,MATCH(1,($F348&gt;='Days Ranges'!$A$4:$A$12)*($F348&lt;'Days Ranges'!$B$4:$B$12),0)))</f>
        <v>Advance</v>
      </c>
      <c r="H348" s="27" t="str">
        <f t="array" ref="H348">IF(K348&lt;0,"Advance",INDEX('Days Ranges'!$D$4:$D$12,MATCH(1,($F348&gt;'Days Ranges'!$A$4:$A$12)*($F348&lt;'Days Ranges'!$B$4:$B$12),0)))</f>
        <v>Advance</v>
      </c>
      <c r="I348" s="27" t="str">
        <f>IFERROR(IF(IFERROR(REPLACE(O348,FIND("ОПТ ",O348,1),4,""),O348)=0,VLOOKUP(MID(Q348,FIND(" ",Q348,1)+1,3),Brands!$B$2:$C$24,2,0),IFERROR(REPLACE(O348,FIND("ОПТ ",O348,1),4,""),O348)),"Check PLEASE")</f>
        <v>Dr.Martens</v>
      </c>
      <c r="J348" s="27" t="str">
        <f>VLOOKUP(I348,Brands!$E$2:$F$21,2,0)</f>
        <v>Dr.Martens</v>
      </c>
      <c r="K348" s="23">
        <f t="shared" si="55"/>
        <v>-315791.78999999998</v>
      </c>
      <c r="L348" s="208"/>
      <c r="M348" s="205" t="s">
        <v>258</v>
      </c>
      <c r="N348" s="208"/>
      <c r="O348" s="205"/>
      <c r="P348" s="205"/>
      <c r="Q348" s="205" t="s">
        <v>736</v>
      </c>
      <c r="S348" s="84"/>
      <c r="T348" s="84"/>
      <c r="U348" s="84"/>
      <c r="V348" s="84"/>
      <c r="W348" s="4" t="str">
        <f t="shared" si="35"/>
        <v>Negative</v>
      </c>
      <c r="X348" s="206">
        <v>-315791.78999999998</v>
      </c>
    </row>
    <row r="349" spans="1:24" ht="12" x14ac:dyDescent="0.2">
      <c r="A349" s="10" t="str">
        <f t="shared" si="51"/>
        <v>Deposit</v>
      </c>
      <c r="B349" s="13">
        <f t="array" ref="B349">IFERROR(INDEX(CreditDAY[Credit Days Nominal],MATCH(M349&amp;Q349&amp;I349,CreditDAY[Customer]&amp;CreditDAY[Договор.Наименование]&amp;CreditDAY[Brand Temp],0)),0)</f>
        <v>0</v>
      </c>
      <c r="C349" s="10"/>
      <c r="D349" s="165">
        <f t="shared" si="52"/>
        <v>0</v>
      </c>
      <c r="E349" s="16">
        <f t="shared" si="53"/>
        <v>0</v>
      </c>
      <c r="F349" s="23">
        <f t="shared" si="54"/>
        <v>44453</v>
      </c>
      <c r="G349" s="27" t="str">
        <f t="array" ref="G349">IF(K349&lt;0,"Advance",INDEX('Days Ranges'!$C$4:$C$12,MATCH(1,($F349&gt;='Days Ranges'!$A$4:$A$12)*($F349&lt;'Days Ranges'!$B$4:$B$12),0)))</f>
        <v>Advance</v>
      </c>
      <c r="H349" s="27" t="str">
        <f t="array" ref="H349">IF(K349&lt;0,"Advance",INDEX('Days Ranges'!$D$4:$D$12,MATCH(1,($F349&gt;'Days Ranges'!$A$4:$A$12)*($F349&lt;'Days Ranges'!$B$4:$B$12),0)))</f>
        <v>Advance</v>
      </c>
      <c r="I349" s="27" t="str">
        <f>IFERROR(IF(IFERROR(REPLACE(O349,FIND("ОПТ ",O349,1),4,""),O349)=0,VLOOKUP(MID(Q349,FIND(" ",Q349,1)+1,3),Brands!$B$2:$C$24,2,0),IFERROR(REPLACE(O349,FIND("ОПТ ",O349,1),4,""),O349)),"Check PLEASE")</f>
        <v>Converse</v>
      </c>
      <c r="J349" s="27" t="str">
        <f>VLOOKUP(I349,Brands!$E$2:$F$21,2,0)</f>
        <v>Converse</v>
      </c>
      <c r="K349" s="23">
        <f t="shared" si="55"/>
        <v>-186571</v>
      </c>
      <c r="L349" s="208"/>
      <c r="M349" s="205" t="s">
        <v>265</v>
      </c>
      <c r="N349" s="208"/>
      <c r="O349" s="205"/>
      <c r="P349" s="205"/>
      <c r="Q349" s="205" t="s">
        <v>42</v>
      </c>
      <c r="S349" s="84"/>
      <c r="T349" s="84"/>
      <c r="U349" s="84"/>
      <c r="V349" s="84"/>
      <c r="W349" s="4" t="str">
        <f t="shared" si="35"/>
        <v>Negative</v>
      </c>
      <c r="X349" s="206">
        <v>-186571</v>
      </c>
    </row>
    <row r="350" spans="1:24" ht="12" x14ac:dyDescent="0.2">
      <c r="A350" s="10" t="str">
        <f t="shared" si="51"/>
        <v>Deposit</v>
      </c>
      <c r="B350" s="13">
        <f t="array" ref="B350">IFERROR(INDEX(CreditDAY[Credit Days Nominal],MATCH(M350&amp;Q350&amp;I350,CreditDAY[Customer]&amp;CreditDAY[Договор.Наименование]&amp;CreditDAY[Brand Temp],0)),0)</f>
        <v>0</v>
      </c>
      <c r="C350" s="10"/>
      <c r="D350" s="165">
        <f t="shared" si="52"/>
        <v>0</v>
      </c>
      <c r="E350" s="16">
        <f t="shared" si="53"/>
        <v>0</v>
      </c>
      <c r="F350" s="23">
        <f t="shared" si="54"/>
        <v>44453</v>
      </c>
      <c r="G350" s="27" t="str">
        <f t="array" ref="G350">IF(K350&lt;0,"Advance",INDEX('Days Ranges'!$C$4:$C$12,MATCH(1,($F350&gt;='Days Ranges'!$A$4:$A$12)*($F350&lt;'Days Ranges'!$B$4:$B$12),0)))</f>
        <v>Advance</v>
      </c>
      <c r="H350" s="27" t="str">
        <f t="array" ref="H350">IF(K350&lt;0,"Advance",INDEX('Days Ranges'!$D$4:$D$12,MATCH(1,($F350&gt;'Days Ranges'!$A$4:$A$12)*($F350&lt;'Days Ranges'!$B$4:$B$12),0)))</f>
        <v>Advance</v>
      </c>
      <c r="I350" s="27" t="str">
        <f>IFERROR(IF(IFERROR(REPLACE(O350,FIND("ОПТ ",O350,1),4,""),O350)=0,VLOOKUP(MID(Q350,FIND(" ",Q350,1)+1,3),Brands!$B$2:$C$24,2,0),IFERROR(REPLACE(O350,FIND("ОПТ ",O350,1),4,""),O350)),"Check PLEASE")</f>
        <v>Converse</v>
      </c>
      <c r="J350" s="27" t="str">
        <f>VLOOKUP(I350,Brands!$E$2:$F$21,2,0)</f>
        <v>Converse</v>
      </c>
      <c r="K350" s="23">
        <f t="shared" si="55"/>
        <v>-4628</v>
      </c>
      <c r="L350" s="208"/>
      <c r="M350" s="205" t="s">
        <v>265</v>
      </c>
      <c r="N350" s="208"/>
      <c r="O350" s="205"/>
      <c r="P350" s="205"/>
      <c r="Q350" s="205" t="s">
        <v>38</v>
      </c>
      <c r="S350" s="84"/>
      <c r="T350" s="84"/>
      <c r="U350" s="84"/>
      <c r="V350" s="84"/>
      <c r="W350" s="4" t="str">
        <f t="shared" si="35"/>
        <v>Negative</v>
      </c>
      <c r="X350" s="206">
        <v>-4628</v>
      </c>
    </row>
    <row r="351" spans="1:24" ht="12" x14ac:dyDescent="0.2">
      <c r="A351" s="10" t="str">
        <f t="shared" si="51"/>
        <v>Deposit</v>
      </c>
      <c r="B351" s="13">
        <f t="array" ref="B351">IFERROR(INDEX(CreditDAY[Credit Days Nominal],MATCH(M351&amp;Q351&amp;I351,CreditDAY[Customer]&amp;CreditDAY[Договор.Наименование]&amp;CreditDAY[Brand Temp],0)),0)</f>
        <v>0</v>
      </c>
      <c r="C351" s="10"/>
      <c r="D351" s="165">
        <f t="shared" si="52"/>
        <v>0</v>
      </c>
      <c r="E351" s="16">
        <f t="shared" si="53"/>
        <v>0</v>
      </c>
      <c r="F351" s="23">
        <f t="shared" si="54"/>
        <v>44453</v>
      </c>
      <c r="G351" s="27" t="str">
        <f t="array" ref="G351">IF(K351&lt;0,"Advance",INDEX('Days Ranges'!$C$4:$C$12,MATCH(1,($F351&gt;='Days Ranges'!$A$4:$A$12)*($F351&lt;'Days Ranges'!$B$4:$B$12),0)))</f>
        <v>Advance</v>
      </c>
      <c r="H351" s="27" t="str">
        <f t="array" ref="H351">IF(K351&lt;0,"Advance",INDEX('Days Ranges'!$D$4:$D$12,MATCH(1,($F351&gt;'Days Ranges'!$A$4:$A$12)*($F351&lt;'Days Ranges'!$B$4:$B$12),0)))</f>
        <v>Advance</v>
      </c>
      <c r="I351" s="27" t="str">
        <f>IFERROR(IF(IFERROR(REPLACE(O351,FIND("ОПТ ",O351,1),4,""),O351)=0,VLOOKUP(MID(Q351,FIND(" ",Q351,1)+1,3),Brands!$B$2:$C$24,2,0),IFERROR(REPLACE(O351,FIND("ОПТ ",O351,1),4,""),O351)),"Check PLEASE")</f>
        <v>Converse</v>
      </c>
      <c r="J351" s="27" t="str">
        <f>VLOOKUP(I351,Brands!$E$2:$F$21,2,0)</f>
        <v>Converse</v>
      </c>
      <c r="K351" s="23">
        <f t="shared" si="55"/>
        <v>-98114</v>
      </c>
      <c r="L351" s="208"/>
      <c r="M351" s="205" t="s">
        <v>265</v>
      </c>
      <c r="N351" s="208"/>
      <c r="O351" s="205"/>
      <c r="P351" s="205"/>
      <c r="Q351" s="205" t="s">
        <v>1487</v>
      </c>
      <c r="S351" s="84"/>
      <c r="T351" s="84"/>
      <c r="U351" s="84"/>
      <c r="V351" s="84"/>
      <c r="W351" s="4" t="str">
        <f t="shared" si="35"/>
        <v>Negative</v>
      </c>
      <c r="X351" s="206">
        <v>-98114</v>
      </c>
    </row>
    <row r="352" spans="1:24" ht="12" x14ac:dyDescent="0.2">
      <c r="A352" s="10" t="str">
        <f t="shared" si="51"/>
        <v>Deposit</v>
      </c>
      <c r="B352" s="13">
        <f t="array" ref="B352">IFERROR(INDEX(CreditDAY[Credit Days Nominal],MATCH(M352&amp;Q352&amp;I352,CreditDAY[Customer]&amp;CreditDAY[Договор.Наименование]&amp;CreditDAY[Brand Temp],0)),0)</f>
        <v>0</v>
      </c>
      <c r="C352" s="10"/>
      <c r="D352" s="165">
        <f t="shared" si="52"/>
        <v>0</v>
      </c>
      <c r="E352" s="16">
        <f t="shared" si="53"/>
        <v>0</v>
      </c>
      <c r="F352" s="23">
        <f t="shared" si="54"/>
        <v>44453</v>
      </c>
      <c r="G352" s="27" t="str">
        <f t="array" ref="G352">IF(K352&lt;0,"Advance",INDEX('Days Ranges'!$C$4:$C$12,MATCH(1,($F352&gt;='Days Ranges'!$A$4:$A$12)*($F352&lt;'Days Ranges'!$B$4:$B$12),0)))</f>
        <v>Advance</v>
      </c>
      <c r="H352" s="27" t="str">
        <f t="array" ref="H352">IF(K352&lt;0,"Advance",INDEX('Days Ranges'!$D$4:$D$12,MATCH(1,($F352&gt;'Days Ranges'!$A$4:$A$12)*($F352&lt;'Days Ranges'!$B$4:$B$12),0)))</f>
        <v>Advance</v>
      </c>
      <c r="I352" s="27" t="str">
        <f>IFERROR(IF(IFERROR(REPLACE(O352,FIND("ОПТ ",O352,1),4,""),O352)=0,VLOOKUP(MID(Q352,FIND(" ",Q352,1)+1,3),Brands!$B$2:$C$24,2,0),IFERROR(REPLACE(O352,FIND("ОПТ ",O352,1),4,""),O352)),"Check PLEASE")</f>
        <v>Dr.Martens</v>
      </c>
      <c r="J352" s="27" t="str">
        <f>VLOOKUP(I352,Brands!$E$2:$F$21,2,0)</f>
        <v>Dr.Martens</v>
      </c>
      <c r="K352" s="23">
        <f t="shared" si="55"/>
        <v>-229158.34</v>
      </c>
      <c r="L352" s="208"/>
      <c r="M352" s="205" t="s">
        <v>265</v>
      </c>
      <c r="N352" s="208"/>
      <c r="O352" s="205"/>
      <c r="P352" s="205"/>
      <c r="Q352" s="205" t="s">
        <v>736</v>
      </c>
      <c r="S352" s="84"/>
      <c r="T352" s="84"/>
      <c r="U352" s="84"/>
      <c r="V352" s="84"/>
      <c r="W352" s="4" t="str">
        <f t="shared" si="35"/>
        <v>Negative</v>
      </c>
      <c r="X352" s="206">
        <v>-229158.34</v>
      </c>
    </row>
    <row r="353" spans="1:24" ht="12" x14ac:dyDescent="0.2">
      <c r="A353" s="10" t="str">
        <f t="shared" si="51"/>
        <v>Deposit</v>
      </c>
      <c r="B353" s="13">
        <f t="array" ref="B353">IFERROR(INDEX(CreditDAY[Credit Days Nominal],MATCH(M353&amp;Q353&amp;I353,CreditDAY[Customer]&amp;CreditDAY[Договор.Наименование]&amp;CreditDAY[Brand Temp],0)),0)</f>
        <v>0</v>
      </c>
      <c r="C353" s="10"/>
      <c r="D353" s="165">
        <f t="shared" si="52"/>
        <v>0</v>
      </c>
      <c r="E353" s="16">
        <f t="shared" si="53"/>
        <v>0</v>
      </c>
      <c r="F353" s="23">
        <f t="shared" si="54"/>
        <v>44453</v>
      </c>
      <c r="G353" s="27" t="str">
        <f t="array" ref="G353">IF(K353&lt;0,"Advance",INDEX('Days Ranges'!$C$4:$C$12,MATCH(1,($F353&gt;='Days Ranges'!$A$4:$A$12)*($F353&lt;'Days Ranges'!$B$4:$B$12),0)))</f>
        <v>Advance</v>
      </c>
      <c r="H353" s="27" t="str">
        <f t="array" ref="H353">IF(K353&lt;0,"Advance",INDEX('Days Ranges'!$D$4:$D$12,MATCH(1,($F353&gt;'Days Ranges'!$A$4:$A$12)*($F353&lt;'Days Ranges'!$B$4:$B$12),0)))</f>
        <v>Advance</v>
      </c>
      <c r="I353" s="27" t="str">
        <f>IFERROR(IF(IFERROR(REPLACE(O353,FIND("ОПТ ",O353,1),4,""),O353)=0,VLOOKUP(MID(Q353,FIND(" ",Q353,1)+1,3),Brands!$B$2:$C$24,2,0),IFERROR(REPLACE(O353,FIND("ОПТ ",O353,1),4,""),O353)),"Check PLEASE")</f>
        <v>Dr.Martens</v>
      </c>
      <c r="J353" s="27" t="str">
        <f>VLOOKUP(I353,Brands!$E$2:$F$21,2,0)</f>
        <v>Dr.Martens</v>
      </c>
      <c r="K353" s="23">
        <f t="shared" si="55"/>
        <v>-69939.960000000006</v>
      </c>
      <c r="L353" s="208"/>
      <c r="M353" s="205" t="s">
        <v>265</v>
      </c>
      <c r="N353" s="208"/>
      <c r="O353" s="205"/>
      <c r="P353" s="205"/>
      <c r="Q353" s="205" t="s">
        <v>1494</v>
      </c>
      <c r="S353" s="84"/>
      <c r="T353" s="84"/>
      <c r="U353" s="84"/>
      <c r="V353" s="84"/>
      <c r="W353" s="4" t="str">
        <f t="shared" si="35"/>
        <v>Negative</v>
      </c>
      <c r="X353" s="206">
        <v>-69939.960000000006</v>
      </c>
    </row>
    <row r="354" spans="1:24" s="325" customFormat="1" ht="12" x14ac:dyDescent="0.2">
      <c r="A354" s="10" t="str">
        <f t="shared" ref="A354:A378" si="56">IFERROR(LEFT(L354,FIND("УТ",L354,1)-2),IF(ISERROR(FIND("Платежное",L354,1)),"Deposit","Платежное поручение входящее"))</f>
        <v>Deposit</v>
      </c>
      <c r="B354" s="13">
        <f t="array" ref="B354">IFERROR(INDEX(CreditDAY[Credit Days Nominal],MATCH(M354&amp;Q354&amp;I354,CreditDAY[Customer]&amp;CreditDAY[Договор.Наименование]&amp;CreditDAY[Brand Temp],0)),0)</f>
        <v>0</v>
      </c>
      <c r="C354" s="10"/>
      <c r="D354" s="165">
        <f t="shared" ref="D354:D378" si="57">DATE(YEAR(N354),MONTH(N354),DAY(N354))</f>
        <v>0</v>
      </c>
      <c r="E354" s="16">
        <f t="shared" ref="E354:E378" si="58">N354+B354+C354</f>
        <v>0</v>
      </c>
      <c r="F354" s="23">
        <f t="shared" ref="F354:F378" si="59">IFERROR($B$1-E354,100000)</f>
        <v>44453</v>
      </c>
      <c r="G354" s="27" t="str">
        <f t="array" ref="G354">IF(K354&lt;0,"Advance",INDEX('Days Ranges'!$C$4:$C$12,MATCH(1,($F354&gt;='Days Ranges'!$A$4:$A$12)*($F354&lt;'Days Ranges'!$B$4:$B$12),0)))</f>
        <v>Advance</v>
      </c>
      <c r="H354" s="27" t="str">
        <f t="array" ref="H354">IF(K354&lt;0,"Advance",INDEX('Days Ranges'!$D$4:$D$12,MATCH(1,($F354&gt;'Days Ranges'!$A$4:$A$12)*($F354&lt;'Days Ranges'!$B$4:$B$12),0)))</f>
        <v>Advance</v>
      </c>
      <c r="I354" s="27" t="str">
        <f>IFERROR(IF(IFERROR(REPLACE(O354,FIND("ОПТ ",O354,1),4,""),O354)=0,VLOOKUP(MID(Q354,FIND(" ",Q354,1)+1,3),Brands!$B$2:$C$24,2,0),IFERROR(REPLACE(O354,FIND("ОПТ ",O354,1),4,""),O354)),"Check PLEASE")</f>
        <v>Saucony</v>
      </c>
      <c r="J354" s="27" t="str">
        <f>VLOOKUP(I354,Brands!$E$2:$F$21,2,0)</f>
        <v>Saucony</v>
      </c>
      <c r="K354" s="23">
        <f t="shared" ref="K354:K378" si="60">X354</f>
        <v>-66120</v>
      </c>
      <c r="L354" s="326"/>
      <c r="M354" s="321" t="s">
        <v>265</v>
      </c>
      <c r="N354" s="326"/>
      <c r="O354" s="327"/>
      <c r="P354" s="327"/>
      <c r="Q354" s="327" t="s">
        <v>1393</v>
      </c>
      <c r="R354" s="328"/>
      <c r="S354" s="329"/>
      <c r="T354" s="329"/>
      <c r="U354" s="329"/>
      <c r="V354" s="329"/>
      <c r="W354" s="4" t="str">
        <f t="shared" si="35"/>
        <v>Negative</v>
      </c>
      <c r="X354" s="206">
        <v>-66120</v>
      </c>
    </row>
    <row r="355" spans="1:24" s="325" customFormat="1" ht="12" x14ac:dyDescent="0.2">
      <c r="A355" s="10" t="str">
        <f t="shared" si="56"/>
        <v>Deposit</v>
      </c>
      <c r="B355" s="13">
        <f t="array" ref="B355">IFERROR(INDEX(CreditDAY[Credit Days Nominal],MATCH(M355&amp;Q355&amp;I355,CreditDAY[Customer]&amp;CreditDAY[Договор.Наименование]&amp;CreditDAY[Brand Temp],0)),0)</f>
        <v>0</v>
      </c>
      <c r="C355" s="10"/>
      <c r="D355" s="165">
        <f t="shared" si="57"/>
        <v>0</v>
      </c>
      <c r="E355" s="16">
        <f t="shared" si="58"/>
        <v>0</v>
      </c>
      <c r="F355" s="23">
        <f t="shared" si="59"/>
        <v>44453</v>
      </c>
      <c r="G355" s="27" t="str">
        <f t="array" ref="G355">IF(K355&lt;0,"Advance",INDEX('Days Ranges'!$C$4:$C$12,MATCH(1,($F355&gt;='Days Ranges'!$A$4:$A$12)*($F355&lt;'Days Ranges'!$B$4:$B$12),0)))</f>
        <v>Advance</v>
      </c>
      <c r="H355" s="27" t="str">
        <f t="array" ref="H355">IF(K355&lt;0,"Advance",INDEX('Days Ranges'!$D$4:$D$12,MATCH(1,($F355&gt;'Days Ranges'!$A$4:$A$12)*($F355&lt;'Days Ranges'!$B$4:$B$12),0)))</f>
        <v>Advance</v>
      </c>
      <c r="I355" s="27" t="str">
        <f>IFERROR(IF(IFERROR(REPLACE(O355,FIND("ОПТ ",O355,1),4,""),O355)=0,VLOOKUP(MID(Q355,FIND(" ",Q355,1)+1,3),Brands!$B$2:$C$24,2,0),IFERROR(REPLACE(O355,FIND("ОПТ ",O355,1),4,""),O355)),"Check PLEASE")</f>
        <v>UGG</v>
      </c>
      <c r="J355" s="27" t="str">
        <f>VLOOKUP(I355,Brands!$E$2:$F$21,2,0)</f>
        <v>UGG</v>
      </c>
      <c r="K355" s="23">
        <f t="shared" si="60"/>
        <v>-228478.75</v>
      </c>
      <c r="L355" s="326"/>
      <c r="M355" s="321" t="s">
        <v>265</v>
      </c>
      <c r="N355" s="326"/>
      <c r="O355" s="327"/>
      <c r="P355" s="327"/>
      <c r="Q355" s="327" t="s">
        <v>1075</v>
      </c>
      <c r="R355" s="328"/>
      <c r="S355" s="329"/>
      <c r="T355" s="329"/>
      <c r="U355" s="329"/>
      <c r="V355" s="329"/>
      <c r="W355" s="4" t="str">
        <f t="shared" si="35"/>
        <v>Negative</v>
      </c>
      <c r="X355" s="206">
        <v>-228478.75</v>
      </c>
    </row>
    <row r="356" spans="1:24" s="325" customFormat="1" ht="12" x14ac:dyDescent="0.2">
      <c r="A356" s="10" t="str">
        <f t="shared" si="56"/>
        <v>Deposit</v>
      </c>
      <c r="B356" s="13">
        <f t="array" ref="B356">IFERROR(INDEX(CreditDAY[Credit Days Nominal],MATCH(M356&amp;Q356&amp;I356,CreditDAY[Customer]&amp;CreditDAY[Договор.Наименование]&amp;CreditDAY[Brand Temp],0)),0)</f>
        <v>0</v>
      </c>
      <c r="C356" s="10"/>
      <c r="D356" s="165">
        <f t="shared" si="57"/>
        <v>0</v>
      </c>
      <c r="E356" s="16">
        <f t="shared" si="58"/>
        <v>0</v>
      </c>
      <c r="F356" s="23">
        <f t="shared" si="59"/>
        <v>44453</v>
      </c>
      <c r="G356" s="27" t="str">
        <f t="array" ref="G356">IF(K356&lt;0,"Advance",INDEX('Days Ranges'!$C$4:$C$12,MATCH(1,($F356&gt;='Days Ranges'!$A$4:$A$12)*($F356&lt;'Days Ranges'!$B$4:$B$12),0)))</f>
        <v>Advance</v>
      </c>
      <c r="H356" s="27" t="str">
        <f t="array" ref="H356">IF(K356&lt;0,"Advance",INDEX('Days Ranges'!$D$4:$D$12,MATCH(1,($F356&gt;'Days Ranges'!$A$4:$A$12)*($F356&lt;'Days Ranges'!$B$4:$B$12),0)))</f>
        <v>Advance</v>
      </c>
      <c r="I356" s="27" t="str">
        <f>IFERROR(IF(IFERROR(REPLACE(O356,FIND("ОПТ ",O356,1),4,""),O356)=0,VLOOKUP(MID(Q356,FIND(" ",Q356,1)+1,3),Brands!$B$2:$C$24,2,0),IFERROR(REPLACE(O356,FIND("ОПТ ",O356,1),4,""),O356)),"Check PLEASE")</f>
        <v>Dr.Martens</v>
      </c>
      <c r="J356" s="27" t="str">
        <f>VLOOKUP(I356,Brands!$E$2:$F$21,2,0)</f>
        <v>Dr.Martens</v>
      </c>
      <c r="K356" s="23">
        <f t="shared" si="60"/>
        <v>-47278.38</v>
      </c>
      <c r="L356" s="326"/>
      <c r="M356" s="321" t="s">
        <v>266</v>
      </c>
      <c r="N356" s="326"/>
      <c r="O356" s="327"/>
      <c r="P356" s="327"/>
      <c r="Q356" s="327" t="s">
        <v>1025</v>
      </c>
      <c r="R356" s="328"/>
      <c r="S356" s="329"/>
      <c r="T356" s="329"/>
      <c r="U356" s="329"/>
      <c r="V356" s="329"/>
      <c r="W356" s="4" t="str">
        <f t="shared" si="35"/>
        <v>Negative</v>
      </c>
      <c r="X356" s="206">
        <v>-47278.38</v>
      </c>
    </row>
    <row r="357" spans="1:24" s="325" customFormat="1" ht="12" x14ac:dyDescent="0.2">
      <c r="A357" s="10" t="str">
        <f t="shared" si="56"/>
        <v>Deposit</v>
      </c>
      <c r="B357" s="13">
        <f t="array" ref="B357">IFERROR(INDEX(CreditDAY[Credit Days Nominal],MATCH(M357&amp;Q357&amp;I357,CreditDAY[Customer]&amp;CreditDAY[Договор.Наименование]&amp;CreditDAY[Brand Temp],0)),0)</f>
        <v>0</v>
      </c>
      <c r="C357" s="10"/>
      <c r="D357" s="165">
        <f t="shared" si="57"/>
        <v>0</v>
      </c>
      <c r="E357" s="16">
        <f t="shared" si="58"/>
        <v>0</v>
      </c>
      <c r="F357" s="23">
        <f t="shared" si="59"/>
        <v>44453</v>
      </c>
      <c r="G357" s="27" t="str">
        <f t="array" ref="G357">IF(K357&lt;0,"Advance",INDEX('Days Ranges'!$C$4:$C$12,MATCH(1,($F357&gt;='Days Ranges'!$A$4:$A$12)*($F357&lt;'Days Ranges'!$B$4:$B$12),0)))</f>
        <v>Advance</v>
      </c>
      <c r="H357" s="27" t="str">
        <f t="array" ref="H357">IF(K357&lt;0,"Advance",INDEX('Days Ranges'!$D$4:$D$12,MATCH(1,($F357&gt;'Days Ranges'!$A$4:$A$12)*($F357&lt;'Days Ranges'!$B$4:$B$12),0)))</f>
        <v>Advance</v>
      </c>
      <c r="I357" s="27" t="str">
        <f>IFERROR(IF(IFERROR(REPLACE(O357,FIND("ОПТ ",O357,1),4,""),O357)=0,VLOOKUP(MID(Q357,FIND(" ",Q357,1)+1,3),Brands!$B$2:$C$24,2,0),IFERROR(REPLACE(O357,FIND("ОПТ ",O357,1),4,""),O357)),"Check PLEASE")</f>
        <v>Dr.Martens</v>
      </c>
      <c r="J357" s="27" t="str">
        <f>VLOOKUP(I357,Brands!$E$2:$F$21,2,0)</f>
        <v>Dr.Martens</v>
      </c>
      <c r="K357" s="23">
        <f t="shared" si="60"/>
        <v>-52335.03</v>
      </c>
      <c r="L357" s="326"/>
      <c r="M357" s="330" t="s">
        <v>267</v>
      </c>
      <c r="N357" s="326"/>
      <c r="O357" s="327"/>
      <c r="P357" s="327"/>
      <c r="Q357" s="327" t="s">
        <v>724</v>
      </c>
      <c r="R357" s="328"/>
      <c r="S357" s="329"/>
      <c r="T357" s="329"/>
      <c r="U357" s="329"/>
      <c r="V357" s="329"/>
      <c r="W357" s="4" t="str">
        <f t="shared" si="35"/>
        <v>Negative</v>
      </c>
      <c r="X357" s="206">
        <v>-52335.03</v>
      </c>
    </row>
    <row r="358" spans="1:24" s="325" customFormat="1" ht="12" x14ac:dyDescent="0.2">
      <c r="A358" s="10" t="str">
        <f t="shared" si="56"/>
        <v>Deposit</v>
      </c>
      <c r="B358" s="13">
        <f t="array" ref="B358">IFERROR(INDEX(CreditDAY[Credit Days Nominal],MATCH(M358&amp;Q358&amp;I358,CreditDAY[Customer]&amp;CreditDAY[Договор.Наименование]&amp;CreditDAY[Brand Temp],0)),0)</f>
        <v>0</v>
      </c>
      <c r="C358" s="10"/>
      <c r="D358" s="165">
        <f t="shared" si="57"/>
        <v>0</v>
      </c>
      <c r="E358" s="16">
        <f t="shared" si="58"/>
        <v>0</v>
      </c>
      <c r="F358" s="23">
        <f t="shared" si="59"/>
        <v>44453</v>
      </c>
      <c r="G358" s="27" t="str">
        <f t="array" ref="G358">IF(K358&lt;0,"Advance",INDEX('Days Ranges'!$C$4:$C$12,MATCH(1,($F358&gt;='Days Ranges'!$A$4:$A$12)*($F358&lt;'Days Ranges'!$B$4:$B$12),0)))</f>
        <v>Advance</v>
      </c>
      <c r="H358" s="27" t="str">
        <f t="array" ref="H358">IF(K358&lt;0,"Advance",INDEX('Days Ranges'!$D$4:$D$12,MATCH(1,($F358&gt;'Days Ranges'!$A$4:$A$12)*($F358&lt;'Days Ranges'!$B$4:$B$12),0)))</f>
        <v>Advance</v>
      </c>
      <c r="I358" s="27" t="str">
        <f>IFERROR(IF(IFERROR(REPLACE(O358,FIND("ОПТ ",O358,1),4,""),O358)=0,VLOOKUP(MID(Q358,FIND(" ",Q358,1)+1,3),Brands!$B$2:$C$24,2,0),IFERROR(REPLACE(O358,FIND("ОПТ ",O358,1),4,""),O358)),"Check PLEASE")</f>
        <v>Saucony</v>
      </c>
      <c r="J358" s="27" t="str">
        <f>VLOOKUP(I358,Brands!$E$2:$F$21,2,0)</f>
        <v>Saucony</v>
      </c>
      <c r="K358" s="23">
        <f t="shared" si="60"/>
        <v>-27902.720000000001</v>
      </c>
      <c r="L358" s="326"/>
      <c r="M358" s="330" t="s">
        <v>267</v>
      </c>
      <c r="N358" s="326"/>
      <c r="O358" s="327"/>
      <c r="P358" s="327"/>
      <c r="Q358" s="327" t="s">
        <v>268</v>
      </c>
      <c r="R358" s="328"/>
      <c r="S358" s="329"/>
      <c r="T358" s="329"/>
      <c r="U358" s="329"/>
      <c r="V358" s="329"/>
      <c r="W358" s="4" t="str">
        <f t="shared" si="35"/>
        <v>Negative</v>
      </c>
      <c r="X358" s="206">
        <v>-27902.720000000001</v>
      </c>
    </row>
    <row r="359" spans="1:24" ht="12" x14ac:dyDescent="0.2">
      <c r="A359" s="10" t="str">
        <f t="shared" si="56"/>
        <v>Deposit</v>
      </c>
      <c r="B359" s="13">
        <f t="array" ref="B359">IFERROR(INDEX(CreditDAY[Credit Days Nominal],MATCH(M359&amp;Q359&amp;I359,CreditDAY[Customer]&amp;CreditDAY[Договор.Наименование]&amp;CreditDAY[Brand Temp],0)),0)</f>
        <v>0</v>
      </c>
      <c r="C359" s="10"/>
      <c r="D359" s="165">
        <f t="shared" si="57"/>
        <v>0</v>
      </c>
      <c r="E359" s="16">
        <f t="shared" si="58"/>
        <v>0</v>
      </c>
      <c r="F359" s="23">
        <f t="shared" si="59"/>
        <v>44453</v>
      </c>
      <c r="G359" s="27" t="str">
        <f t="array" ref="G359">IF(K359&lt;0,"Advance",INDEX('Days Ranges'!$C$4:$C$12,MATCH(1,($F359&gt;='Days Ranges'!$A$4:$A$12)*($F359&lt;'Days Ranges'!$B$4:$B$12),0)))</f>
        <v>Advance</v>
      </c>
      <c r="H359" s="27" t="str">
        <f t="array" ref="H359">IF(K359&lt;0,"Advance",INDEX('Days Ranges'!$D$4:$D$12,MATCH(1,($F359&gt;'Days Ranges'!$A$4:$A$12)*($F359&lt;'Days Ranges'!$B$4:$B$12),0)))</f>
        <v>Advance</v>
      </c>
      <c r="I359" s="27" t="str">
        <f>IFERROR(IF(IFERROR(REPLACE(O359,FIND("ОПТ ",O359,1),4,""),O359)=0,VLOOKUP(MID(Q359,FIND(" ",Q359,1)+1,3),Brands!$B$2:$C$24,2,0),IFERROR(REPLACE(O359,FIND("ОПТ ",O359,1),4,""),O359)),"Check PLEASE")</f>
        <v>Saucony</v>
      </c>
      <c r="J359" s="27" t="str">
        <f>VLOOKUP(I359,Brands!$E$2:$F$21,2,0)</f>
        <v>Saucony</v>
      </c>
      <c r="K359" s="23">
        <f t="shared" si="60"/>
        <v>-18868</v>
      </c>
      <c r="L359" s="208"/>
      <c r="M359" s="205" t="s">
        <v>267</v>
      </c>
      <c r="N359" s="208"/>
      <c r="O359" s="205"/>
      <c r="P359" s="205"/>
      <c r="Q359" s="205" t="s">
        <v>66</v>
      </c>
      <c r="S359" s="84"/>
      <c r="T359" s="84"/>
      <c r="U359" s="84"/>
      <c r="V359" s="84"/>
      <c r="W359" s="4" t="str">
        <f t="shared" si="35"/>
        <v>Negative</v>
      </c>
      <c r="X359" s="206">
        <v>-18868</v>
      </c>
    </row>
    <row r="360" spans="1:24" ht="12" x14ac:dyDescent="0.2">
      <c r="A360" s="10" t="str">
        <f t="shared" si="56"/>
        <v>Deposit</v>
      </c>
      <c r="B360" s="13">
        <f t="array" ref="B360">IFERROR(INDEX(CreditDAY[Credit Days Nominal],MATCH(M360&amp;Q360&amp;I360,CreditDAY[Customer]&amp;CreditDAY[Договор.Наименование]&amp;CreditDAY[Brand Temp],0)),0)</f>
        <v>0</v>
      </c>
      <c r="C360" s="10"/>
      <c r="D360" s="165">
        <f t="shared" si="57"/>
        <v>0</v>
      </c>
      <c r="E360" s="16">
        <f t="shared" si="58"/>
        <v>0</v>
      </c>
      <c r="F360" s="23">
        <f t="shared" si="59"/>
        <v>44453</v>
      </c>
      <c r="G360" s="27" t="str">
        <f t="array" ref="G360">IF(K360&lt;0,"Advance",INDEX('Days Ranges'!$C$4:$C$12,MATCH(1,($F360&gt;='Days Ranges'!$A$4:$A$12)*($F360&lt;'Days Ranges'!$B$4:$B$12),0)))</f>
        <v>Advance</v>
      </c>
      <c r="H360" s="27" t="str">
        <f t="array" ref="H360">IF(K360&lt;0,"Advance",INDEX('Days Ranges'!$D$4:$D$12,MATCH(1,($F360&gt;'Days Ranges'!$A$4:$A$12)*($F360&lt;'Days Ranges'!$B$4:$B$12),0)))</f>
        <v>Advance</v>
      </c>
      <c r="I360" s="27" t="str">
        <f>IFERROR(IF(IFERROR(REPLACE(O360,FIND("ОПТ ",O360,1),4,""),O360)=0,VLOOKUP(MID(Q360,FIND(" ",Q360,1)+1,3),Brands!$B$2:$C$24,2,0),IFERROR(REPLACE(O360,FIND("ОПТ ",O360,1),4,""),O360)),"Check PLEASE")</f>
        <v>Saucony</v>
      </c>
      <c r="J360" s="27" t="str">
        <f>VLOOKUP(I360,Brands!$E$2:$F$21,2,0)</f>
        <v>Saucony</v>
      </c>
      <c r="K360" s="23">
        <f t="shared" si="60"/>
        <v>-50000</v>
      </c>
      <c r="L360" s="208"/>
      <c r="M360" s="205" t="s">
        <v>267</v>
      </c>
      <c r="N360" s="208"/>
      <c r="O360" s="205"/>
      <c r="P360" s="205"/>
      <c r="Q360" s="205" t="s">
        <v>1393</v>
      </c>
      <c r="S360" s="84"/>
      <c r="T360" s="84"/>
      <c r="U360" s="84"/>
      <c r="V360" s="84"/>
      <c r="W360" s="4" t="str">
        <f t="shared" si="35"/>
        <v>Negative</v>
      </c>
      <c r="X360" s="206">
        <v>-50000</v>
      </c>
    </row>
    <row r="361" spans="1:24" ht="12" x14ac:dyDescent="0.2">
      <c r="A361" s="10" t="str">
        <f t="shared" si="56"/>
        <v>Deposit</v>
      </c>
      <c r="B361" s="13">
        <f t="array" ref="B361">IFERROR(INDEX(CreditDAY[Credit Days Nominal],MATCH(M361&amp;Q361&amp;I361,CreditDAY[Customer]&amp;CreditDAY[Договор.Наименование]&amp;CreditDAY[Brand Temp],0)),0)</f>
        <v>0</v>
      </c>
      <c r="C361" s="10"/>
      <c r="D361" s="165">
        <f t="shared" si="57"/>
        <v>0</v>
      </c>
      <c r="E361" s="16">
        <f t="shared" si="58"/>
        <v>0</v>
      </c>
      <c r="F361" s="23">
        <f t="shared" si="59"/>
        <v>44453</v>
      </c>
      <c r="G361" s="27" t="str">
        <f t="array" ref="G361">IF(K361&lt;0,"Advance",INDEX('Days Ranges'!$C$4:$C$12,MATCH(1,($F361&gt;='Days Ranges'!$A$4:$A$12)*($F361&lt;'Days Ranges'!$B$4:$B$12),0)))</f>
        <v>Advance</v>
      </c>
      <c r="H361" s="27" t="str">
        <f t="array" ref="H361">IF(K361&lt;0,"Advance",INDEX('Days Ranges'!$D$4:$D$12,MATCH(1,($F361&gt;'Days Ranges'!$A$4:$A$12)*($F361&lt;'Days Ranges'!$B$4:$B$12),0)))</f>
        <v>Advance</v>
      </c>
      <c r="I361" s="27" t="str">
        <f>IFERROR(IF(IFERROR(REPLACE(O361,FIND("ОПТ ",O361,1),4,""),O361)=0,VLOOKUP(MID(Q361,FIND(" ",Q361,1)+1,3),Brands!$B$2:$C$24,2,0),IFERROR(REPLACE(O361,FIND("ОПТ ",O361,1),4,""),O361)),"Check PLEASE")</f>
        <v>Converse</v>
      </c>
      <c r="J361" s="27" t="str">
        <f>VLOOKUP(I361,Brands!$E$2:$F$21,2,0)</f>
        <v>Converse</v>
      </c>
      <c r="K361" s="23">
        <f t="shared" si="60"/>
        <v>-387610</v>
      </c>
      <c r="L361" s="208"/>
      <c r="M361" s="205" t="s">
        <v>275</v>
      </c>
      <c r="N361" s="208"/>
      <c r="O361" s="205"/>
      <c r="P361" s="205"/>
      <c r="Q361" s="205" t="s">
        <v>1429</v>
      </c>
      <c r="S361" s="84"/>
      <c r="T361" s="84"/>
      <c r="U361" s="84"/>
      <c r="V361" s="84"/>
      <c r="W361" s="4" t="str">
        <f t="shared" si="35"/>
        <v>Negative</v>
      </c>
      <c r="X361" s="206">
        <v>-387610</v>
      </c>
    </row>
    <row r="362" spans="1:24" ht="12" x14ac:dyDescent="0.2">
      <c r="A362" s="10" t="str">
        <f t="shared" si="56"/>
        <v>Deposit</v>
      </c>
      <c r="B362" s="13">
        <f t="array" ref="B362">IFERROR(INDEX(CreditDAY[Credit Days Nominal],MATCH(M362&amp;Q362&amp;I362,CreditDAY[Customer]&amp;CreditDAY[Договор.Наименование]&amp;CreditDAY[Brand Temp],0)),0)</f>
        <v>0</v>
      </c>
      <c r="C362" s="10"/>
      <c r="D362" s="165">
        <f t="shared" si="57"/>
        <v>0</v>
      </c>
      <c r="E362" s="16">
        <f t="shared" si="58"/>
        <v>0</v>
      </c>
      <c r="F362" s="23">
        <f t="shared" si="59"/>
        <v>44453</v>
      </c>
      <c r="G362" s="27" t="str">
        <f t="array" ref="G362">IF(K362&lt;0,"Advance",INDEX('Days Ranges'!$C$4:$C$12,MATCH(1,($F362&gt;='Days Ranges'!$A$4:$A$12)*($F362&lt;'Days Ranges'!$B$4:$B$12),0)))</f>
        <v>Advance</v>
      </c>
      <c r="H362" s="27" t="str">
        <f t="array" ref="H362">IF(K362&lt;0,"Advance",INDEX('Days Ranges'!$D$4:$D$12,MATCH(1,($F362&gt;'Days Ranges'!$A$4:$A$12)*($F362&lt;'Days Ranges'!$B$4:$B$12),0)))</f>
        <v>Advance</v>
      </c>
      <c r="I362" s="27" t="str">
        <f>IFERROR(IF(IFERROR(REPLACE(O362,FIND("ОПТ ",O362,1),4,""),O362)=0,VLOOKUP(MID(Q362,FIND(" ",Q362,1)+1,3),Brands!$B$2:$C$24,2,0),IFERROR(REPLACE(O362,FIND("ОПТ ",O362,1),4,""),O362)),"Check PLEASE")</f>
        <v>Dr.Martens</v>
      </c>
      <c r="J362" s="27" t="str">
        <f>VLOOKUP(I362,Brands!$E$2:$F$21,2,0)</f>
        <v>Dr.Martens</v>
      </c>
      <c r="K362" s="23">
        <f t="shared" si="60"/>
        <v>-366645.59</v>
      </c>
      <c r="L362" s="208"/>
      <c r="M362" s="205" t="s">
        <v>275</v>
      </c>
      <c r="N362" s="208"/>
      <c r="O362" s="205"/>
      <c r="P362" s="205"/>
      <c r="Q362" s="205" t="s">
        <v>728</v>
      </c>
      <c r="S362" s="84"/>
      <c r="T362" s="84"/>
      <c r="U362" s="84"/>
      <c r="V362" s="84"/>
      <c r="W362" s="4" t="str">
        <f t="shared" si="35"/>
        <v>Negative</v>
      </c>
      <c r="X362" s="206">
        <v>-366645.59</v>
      </c>
    </row>
    <row r="363" spans="1:24" ht="12" x14ac:dyDescent="0.2">
      <c r="A363" s="10" t="str">
        <f t="shared" si="56"/>
        <v>Deposit</v>
      </c>
      <c r="B363" s="13">
        <f t="array" ref="B363">IFERROR(INDEX(CreditDAY[Credit Days Nominal],MATCH(M363&amp;Q363&amp;I363,CreditDAY[Customer]&amp;CreditDAY[Договор.Наименование]&amp;CreditDAY[Brand Temp],0)),0)</f>
        <v>0</v>
      </c>
      <c r="C363" s="10"/>
      <c r="D363" s="165">
        <f t="shared" si="57"/>
        <v>0</v>
      </c>
      <c r="E363" s="16">
        <f t="shared" si="58"/>
        <v>0</v>
      </c>
      <c r="F363" s="23">
        <f t="shared" si="59"/>
        <v>44453</v>
      </c>
      <c r="G363" s="27" t="str">
        <f t="array" ref="G363">IF(K363&lt;0,"Advance",INDEX('Days Ranges'!$C$4:$C$12,MATCH(1,($F363&gt;='Days Ranges'!$A$4:$A$12)*($F363&lt;'Days Ranges'!$B$4:$B$12),0)))</f>
        <v>Advance</v>
      </c>
      <c r="H363" s="27" t="str">
        <f t="array" ref="H363">IF(K363&lt;0,"Advance",INDEX('Days Ranges'!$D$4:$D$12,MATCH(1,($F363&gt;'Days Ranges'!$A$4:$A$12)*($F363&lt;'Days Ranges'!$B$4:$B$12),0)))</f>
        <v>Advance</v>
      </c>
      <c r="I363" s="27" t="str">
        <f>IFERROR(IF(IFERROR(REPLACE(O363,FIND("ОПТ ",O363,1),4,""),O363)=0,VLOOKUP(MID(Q363,FIND(" ",Q363,1)+1,3),Brands!$B$2:$C$24,2,0),IFERROR(REPLACE(O363,FIND("ОПТ ",O363,1),4,""),O363)),"Check PLEASE")</f>
        <v>UGG</v>
      </c>
      <c r="J363" s="27" t="str">
        <f>VLOOKUP(I363,Brands!$E$2:$F$21,2,0)</f>
        <v>UGG</v>
      </c>
      <c r="K363" s="23">
        <f t="shared" si="60"/>
        <v>-190406.81</v>
      </c>
      <c r="L363" s="208"/>
      <c r="M363" s="205" t="s">
        <v>275</v>
      </c>
      <c r="N363" s="208"/>
      <c r="O363" s="205"/>
      <c r="P363" s="205"/>
      <c r="Q363" s="205" t="s">
        <v>735</v>
      </c>
      <c r="S363" s="84"/>
      <c r="T363" s="84"/>
      <c r="U363" s="84"/>
      <c r="V363" s="84"/>
      <c r="W363" s="4" t="str">
        <f t="shared" si="35"/>
        <v>Negative</v>
      </c>
      <c r="X363" s="206">
        <v>-190406.81</v>
      </c>
    </row>
    <row r="364" spans="1:24" ht="12" x14ac:dyDescent="0.2">
      <c r="A364" s="10" t="str">
        <f t="shared" si="56"/>
        <v>Deposit</v>
      </c>
      <c r="B364" s="13">
        <f t="array" ref="B364">IFERROR(INDEX(CreditDAY[Credit Days Nominal],MATCH(M364&amp;Q364&amp;I364,CreditDAY[Customer]&amp;CreditDAY[Договор.Наименование]&amp;CreditDAY[Brand Temp],0)),0)</f>
        <v>0</v>
      </c>
      <c r="C364" s="10"/>
      <c r="D364" s="165">
        <f t="shared" si="57"/>
        <v>0</v>
      </c>
      <c r="E364" s="16">
        <f t="shared" si="58"/>
        <v>0</v>
      </c>
      <c r="F364" s="23">
        <f t="shared" si="59"/>
        <v>44453</v>
      </c>
      <c r="G364" s="27" t="str">
        <f t="array" ref="G364">IF(K364&lt;0,"Advance",INDEX('Days Ranges'!$C$4:$C$12,MATCH(1,($F364&gt;='Days Ranges'!$A$4:$A$12)*($F364&lt;'Days Ranges'!$B$4:$B$12),0)))</f>
        <v>Advance</v>
      </c>
      <c r="H364" s="27" t="str">
        <f t="array" ref="H364">IF(K364&lt;0,"Advance",INDEX('Days Ranges'!$D$4:$D$12,MATCH(1,($F364&gt;'Days Ranges'!$A$4:$A$12)*($F364&lt;'Days Ranges'!$B$4:$B$12),0)))</f>
        <v>Advance</v>
      </c>
      <c r="I364" s="27" t="str">
        <f>IFERROR(IF(IFERROR(REPLACE(O364,FIND("ОПТ ",O364,1),4,""),O364)=0,VLOOKUP(MID(Q364,FIND(" ",Q364,1)+1,3),Brands!$B$2:$C$24,2,0),IFERROR(REPLACE(O364,FIND("ОПТ ",O364,1),4,""),O364)),"Check PLEASE")</f>
        <v>Converse</v>
      </c>
      <c r="J364" s="27" t="str">
        <f>VLOOKUP(I364,Brands!$E$2:$F$21,2,0)</f>
        <v>Converse</v>
      </c>
      <c r="K364" s="23">
        <f t="shared" si="60"/>
        <v>-46500</v>
      </c>
      <c r="L364" s="208"/>
      <c r="M364" s="205" t="s">
        <v>276</v>
      </c>
      <c r="N364" s="208"/>
      <c r="O364" s="205"/>
      <c r="P364" s="205"/>
      <c r="Q364" s="205" t="s">
        <v>113</v>
      </c>
      <c r="S364" s="84"/>
      <c r="T364" s="84"/>
      <c r="U364" s="84"/>
      <c r="V364" s="84"/>
      <c r="W364" s="4" t="str">
        <f t="shared" si="35"/>
        <v>Negative</v>
      </c>
      <c r="X364" s="206">
        <v>-46500</v>
      </c>
    </row>
    <row r="365" spans="1:24" ht="12" x14ac:dyDescent="0.2">
      <c r="A365" s="10" t="str">
        <f t="shared" si="56"/>
        <v>Deposit</v>
      </c>
      <c r="B365" s="13">
        <f t="array" ref="B365">IFERROR(INDEX(CreditDAY[Credit Days Nominal],MATCH(M365&amp;Q365&amp;I365,CreditDAY[Customer]&amp;CreditDAY[Договор.Наименование]&amp;CreditDAY[Brand Temp],0)),0)</f>
        <v>0</v>
      </c>
      <c r="C365" s="10"/>
      <c r="D365" s="165">
        <f t="shared" si="57"/>
        <v>0</v>
      </c>
      <c r="E365" s="16">
        <f t="shared" si="58"/>
        <v>0</v>
      </c>
      <c r="F365" s="23">
        <f t="shared" si="59"/>
        <v>44453</v>
      </c>
      <c r="G365" s="27" t="str">
        <f t="array" ref="G365">IF(K365&lt;0,"Advance",INDEX('Days Ranges'!$C$4:$C$12,MATCH(1,($F365&gt;='Days Ranges'!$A$4:$A$12)*($F365&lt;'Days Ranges'!$B$4:$B$12),0)))</f>
        <v>Advance</v>
      </c>
      <c r="H365" s="27" t="str">
        <f t="array" ref="H365">IF(K365&lt;0,"Advance",INDEX('Days Ranges'!$D$4:$D$12,MATCH(1,($F365&gt;'Days Ranges'!$A$4:$A$12)*($F365&lt;'Days Ranges'!$B$4:$B$12),0)))</f>
        <v>Advance</v>
      </c>
      <c r="I365" s="27" t="str">
        <f>IFERROR(IF(IFERROR(REPLACE(O365,FIND("ОПТ ",O365,1),4,""),O365)=0,VLOOKUP(MID(Q365,FIND(" ",Q365,1)+1,3),Brands!$B$2:$C$24,2,0),IFERROR(REPLACE(O365,FIND("ОПТ ",O365,1),4,""),O365)),"Check PLEASE")</f>
        <v>Dr.Martens</v>
      </c>
      <c r="J365" s="27" t="str">
        <f>VLOOKUP(I365,Brands!$E$2:$F$21,2,0)</f>
        <v>Dr.Martens</v>
      </c>
      <c r="K365" s="23">
        <f t="shared" si="60"/>
        <v>-232483.92</v>
      </c>
      <c r="L365" s="208"/>
      <c r="M365" s="205" t="s">
        <v>279</v>
      </c>
      <c r="N365" s="208"/>
      <c r="O365" s="205"/>
      <c r="P365" s="205"/>
      <c r="Q365" s="205" t="s">
        <v>723</v>
      </c>
      <c r="S365" s="84"/>
      <c r="T365" s="84"/>
      <c r="U365" s="84"/>
      <c r="V365" s="84"/>
      <c r="W365" s="4" t="str">
        <f t="shared" si="35"/>
        <v>Negative</v>
      </c>
      <c r="X365" s="206">
        <v>-232483.92</v>
      </c>
    </row>
    <row r="366" spans="1:24" ht="12" x14ac:dyDescent="0.2">
      <c r="A366" s="10" t="str">
        <f t="shared" si="56"/>
        <v>Deposit</v>
      </c>
      <c r="B366" s="13">
        <f t="array" ref="B366">IFERROR(INDEX(CreditDAY[Credit Days Nominal],MATCH(M366&amp;Q366&amp;I366,CreditDAY[Customer]&amp;CreditDAY[Договор.Наименование]&amp;CreditDAY[Brand Temp],0)),0)</f>
        <v>0</v>
      </c>
      <c r="C366" s="10"/>
      <c r="D366" s="165">
        <f t="shared" si="57"/>
        <v>0</v>
      </c>
      <c r="E366" s="16">
        <f t="shared" si="58"/>
        <v>0</v>
      </c>
      <c r="F366" s="23">
        <f t="shared" si="59"/>
        <v>44453</v>
      </c>
      <c r="G366" s="27" t="str">
        <f t="array" ref="G366">IF(K366&lt;0,"Advance",INDEX('Days Ranges'!$C$4:$C$12,MATCH(1,($F366&gt;='Days Ranges'!$A$4:$A$12)*($F366&lt;'Days Ranges'!$B$4:$B$12),0)))</f>
        <v>Advance</v>
      </c>
      <c r="H366" s="27" t="str">
        <f t="array" ref="H366">IF(K366&lt;0,"Advance",INDEX('Days Ranges'!$D$4:$D$12,MATCH(1,($F366&gt;'Days Ranges'!$A$4:$A$12)*($F366&lt;'Days Ranges'!$B$4:$B$12),0)))</f>
        <v>Advance</v>
      </c>
      <c r="I366" s="27" t="str">
        <f>IFERROR(IF(IFERROR(REPLACE(O366,FIND("ОПТ ",O366,1),4,""),O366)=0,VLOOKUP(MID(Q366,FIND(" ",Q366,1)+1,3),Brands!$B$2:$C$24,2,0),IFERROR(REPLACE(O366,FIND("ОПТ ",O366,1),4,""),O366)),"Check PLEASE")</f>
        <v>Dr.Martens</v>
      </c>
      <c r="J366" s="27" t="str">
        <f>VLOOKUP(I366,Brands!$E$2:$F$21,2,0)</f>
        <v>Dr.Martens</v>
      </c>
      <c r="K366" s="23">
        <f t="shared" si="60"/>
        <v>-96417.26</v>
      </c>
      <c r="L366" s="208"/>
      <c r="M366" s="205" t="s">
        <v>279</v>
      </c>
      <c r="N366" s="208"/>
      <c r="O366" s="205"/>
      <c r="P366" s="205"/>
      <c r="Q366" s="205" t="s">
        <v>1484</v>
      </c>
      <c r="S366" s="84"/>
      <c r="T366" s="84"/>
      <c r="U366" s="84"/>
      <c r="V366" s="84"/>
      <c r="W366" s="4" t="str">
        <f t="shared" si="35"/>
        <v>Negative</v>
      </c>
      <c r="X366" s="206">
        <v>-96417.26</v>
      </c>
    </row>
    <row r="367" spans="1:24" ht="12" x14ac:dyDescent="0.2">
      <c r="A367" s="10" t="str">
        <f t="shared" si="56"/>
        <v>Deposit</v>
      </c>
      <c r="B367" s="13">
        <f t="array" ref="B367">IFERROR(INDEX(CreditDAY[Credit Days Nominal],MATCH(M367&amp;Q367&amp;I367,CreditDAY[Customer]&amp;CreditDAY[Договор.Наименование]&amp;CreditDAY[Brand Temp],0)),0)</f>
        <v>0</v>
      </c>
      <c r="C367" s="10"/>
      <c r="D367" s="165">
        <f t="shared" si="57"/>
        <v>0</v>
      </c>
      <c r="E367" s="16">
        <f t="shared" si="58"/>
        <v>0</v>
      </c>
      <c r="F367" s="23">
        <f t="shared" si="59"/>
        <v>44453</v>
      </c>
      <c r="G367" s="27" t="str">
        <f t="array" ref="G367">IF(K367&lt;0,"Advance",INDEX('Days Ranges'!$C$4:$C$12,MATCH(1,($F367&gt;='Days Ranges'!$A$4:$A$12)*($F367&lt;'Days Ranges'!$B$4:$B$12),0)))</f>
        <v>Advance</v>
      </c>
      <c r="H367" s="27" t="str">
        <f t="array" ref="H367">IF(K367&lt;0,"Advance",INDEX('Days Ranges'!$D$4:$D$12,MATCH(1,($F367&gt;'Days Ranges'!$A$4:$A$12)*($F367&lt;'Days Ranges'!$B$4:$B$12),0)))</f>
        <v>Advance</v>
      </c>
      <c r="I367" s="27" t="str">
        <f>IFERROR(IF(IFERROR(REPLACE(O367,FIND("ОПТ ",O367,1),4,""),O367)=0,VLOOKUP(MID(Q367,FIND(" ",Q367,1)+1,3),Brands!$B$2:$C$24,2,0),IFERROR(REPLACE(O367,FIND("ОПТ ",O367,1),4,""),O367)),"Check PLEASE")</f>
        <v>UGG</v>
      </c>
      <c r="J367" s="27" t="str">
        <f>VLOOKUP(I367,Brands!$E$2:$F$21,2,0)</f>
        <v>UGG</v>
      </c>
      <c r="K367" s="23">
        <f t="shared" si="60"/>
        <v>-71128.600000000006</v>
      </c>
      <c r="L367" s="208"/>
      <c r="M367" s="205" t="s">
        <v>279</v>
      </c>
      <c r="N367" s="208"/>
      <c r="O367" s="205"/>
      <c r="P367" s="205"/>
      <c r="Q367" s="205" t="s">
        <v>725</v>
      </c>
      <c r="S367" s="84"/>
      <c r="T367" s="84"/>
      <c r="U367" s="84"/>
      <c r="V367" s="84"/>
      <c r="W367" s="4" t="str">
        <f t="shared" si="35"/>
        <v>Negative</v>
      </c>
      <c r="X367" s="206">
        <v>-71128.600000000006</v>
      </c>
    </row>
    <row r="368" spans="1:24" ht="12" x14ac:dyDescent="0.2">
      <c r="A368" s="10" t="str">
        <f t="shared" si="56"/>
        <v>Deposit</v>
      </c>
      <c r="B368" s="13">
        <f t="array" ref="B368">IFERROR(INDEX(CreditDAY[Credit Days Nominal],MATCH(M368&amp;Q368&amp;I368,CreditDAY[Customer]&amp;CreditDAY[Договор.Наименование]&amp;CreditDAY[Brand Temp],0)),0)</f>
        <v>0</v>
      </c>
      <c r="C368" s="10"/>
      <c r="D368" s="165">
        <f t="shared" si="57"/>
        <v>0</v>
      </c>
      <c r="E368" s="16">
        <f t="shared" si="58"/>
        <v>0</v>
      </c>
      <c r="F368" s="23">
        <f t="shared" si="59"/>
        <v>44453</v>
      </c>
      <c r="G368" s="27" t="str">
        <f t="array" ref="G368">IF(K368&lt;0,"Advance",INDEX('Days Ranges'!$C$4:$C$12,MATCH(1,($F368&gt;='Days Ranges'!$A$4:$A$12)*($F368&lt;'Days Ranges'!$B$4:$B$12),0)))</f>
        <v>Advance</v>
      </c>
      <c r="H368" s="27" t="str">
        <f t="array" ref="H368">IF(K368&lt;0,"Advance",INDEX('Days Ranges'!$D$4:$D$12,MATCH(1,($F368&gt;'Days Ranges'!$A$4:$A$12)*($F368&lt;'Days Ranges'!$B$4:$B$12),0)))</f>
        <v>Advance</v>
      </c>
      <c r="I368" s="27" t="str">
        <f>IFERROR(IF(IFERROR(REPLACE(O368,FIND("ОПТ ",O368,1),4,""),O368)=0,VLOOKUP(MID(Q368,FIND(" ",Q368,1)+1,3),Brands!$B$2:$C$24,2,0),IFERROR(REPLACE(O368,FIND("ОПТ ",O368,1),4,""),O368)),"Check PLEASE")</f>
        <v>Dr.Martens</v>
      </c>
      <c r="J368" s="27" t="str">
        <f>VLOOKUP(I368,Brands!$E$2:$F$21,2,0)</f>
        <v>Dr.Martens</v>
      </c>
      <c r="K368" s="23">
        <f t="shared" si="60"/>
        <v>-840088.11</v>
      </c>
      <c r="L368" s="208"/>
      <c r="M368" s="205" t="s">
        <v>1136</v>
      </c>
      <c r="N368" s="208"/>
      <c r="O368" s="205"/>
      <c r="P368" s="205"/>
      <c r="Q368" s="205" t="s">
        <v>728</v>
      </c>
      <c r="S368" s="84"/>
      <c r="T368" s="84"/>
      <c r="U368" s="84"/>
      <c r="V368" s="84"/>
      <c r="W368" s="4" t="str">
        <f t="shared" si="35"/>
        <v>Negative</v>
      </c>
      <c r="X368" s="206">
        <v>-840088.11</v>
      </c>
    </row>
    <row r="369" spans="1:24" ht="12" x14ac:dyDescent="0.2">
      <c r="A369" s="10" t="str">
        <f t="shared" si="56"/>
        <v>Deposit</v>
      </c>
      <c r="B369" s="13">
        <f t="array" ref="B369">IFERROR(INDEX(CreditDAY[Credit Days Nominal],MATCH(M369&amp;Q369&amp;I369,CreditDAY[Customer]&amp;CreditDAY[Договор.Наименование]&amp;CreditDAY[Brand Temp],0)),0)</f>
        <v>0</v>
      </c>
      <c r="C369" s="10"/>
      <c r="D369" s="165">
        <f t="shared" si="57"/>
        <v>0</v>
      </c>
      <c r="E369" s="16">
        <f t="shared" si="58"/>
        <v>0</v>
      </c>
      <c r="F369" s="23">
        <f t="shared" si="59"/>
        <v>44453</v>
      </c>
      <c r="G369" s="27" t="str">
        <f t="array" ref="G369">IF(K369&lt;0,"Advance",INDEX('Days Ranges'!$C$4:$C$12,MATCH(1,($F369&gt;='Days Ranges'!$A$4:$A$12)*($F369&lt;'Days Ranges'!$B$4:$B$12),0)))</f>
        <v>Advance</v>
      </c>
      <c r="H369" s="27" t="str">
        <f t="array" ref="H369">IF(K369&lt;0,"Advance",INDEX('Days Ranges'!$D$4:$D$12,MATCH(1,($F369&gt;'Days Ranges'!$A$4:$A$12)*($F369&lt;'Days Ranges'!$B$4:$B$12),0)))</f>
        <v>Advance</v>
      </c>
      <c r="I369" s="27" t="str">
        <f>IFERROR(IF(IFERROR(REPLACE(O369,FIND("ОПТ ",O369,1),4,""),O369)=0,VLOOKUP(MID(Q369,FIND(" ",Q369,1)+1,3),Brands!$B$2:$C$24,2,0),IFERROR(REPLACE(O369,FIND("ОПТ ",O369,1),4,""),O369)),"Check PLEASE")</f>
        <v>Dr.Martens</v>
      </c>
      <c r="J369" s="27" t="str">
        <f>VLOOKUP(I369,Brands!$E$2:$F$21,2,0)</f>
        <v>Dr.Martens</v>
      </c>
      <c r="K369" s="23">
        <f t="shared" si="60"/>
        <v>-416335.41</v>
      </c>
      <c r="L369" s="208"/>
      <c r="M369" s="205" t="s">
        <v>1136</v>
      </c>
      <c r="N369" s="208"/>
      <c r="O369" s="205"/>
      <c r="P369" s="205"/>
      <c r="Q369" s="205" t="s">
        <v>1484</v>
      </c>
      <c r="S369" s="84"/>
      <c r="T369" s="84"/>
      <c r="U369" s="84"/>
      <c r="V369" s="84"/>
      <c r="W369" s="4" t="str">
        <f t="shared" si="35"/>
        <v>Negative</v>
      </c>
      <c r="X369" s="206">
        <v>-416335.41</v>
      </c>
    </row>
    <row r="370" spans="1:24" ht="12" x14ac:dyDescent="0.2">
      <c r="A370" s="10" t="str">
        <f t="shared" si="56"/>
        <v>Deposit</v>
      </c>
      <c r="B370" s="13">
        <f t="array" ref="B370">IFERROR(INDEX(CreditDAY[Credit Days Nominal],MATCH(M370&amp;Q370&amp;I370,CreditDAY[Customer]&amp;CreditDAY[Договор.Наименование]&amp;CreditDAY[Brand Temp],0)),0)</f>
        <v>0</v>
      </c>
      <c r="C370" s="10"/>
      <c r="D370" s="165">
        <f t="shared" si="57"/>
        <v>0</v>
      </c>
      <c r="E370" s="16">
        <f t="shared" si="58"/>
        <v>0</v>
      </c>
      <c r="F370" s="23">
        <f t="shared" si="59"/>
        <v>44453</v>
      </c>
      <c r="G370" s="27" t="str">
        <f t="array" ref="G370">IF(K370&lt;0,"Advance",INDEX('Days Ranges'!$C$4:$C$12,MATCH(1,($F370&gt;='Days Ranges'!$A$4:$A$12)*($F370&lt;'Days Ranges'!$B$4:$B$12),0)))</f>
        <v>Advance</v>
      </c>
      <c r="H370" s="27" t="str">
        <f t="array" ref="H370">IF(K370&lt;0,"Advance",INDEX('Days Ranges'!$D$4:$D$12,MATCH(1,($F370&gt;'Days Ranges'!$A$4:$A$12)*($F370&lt;'Days Ranges'!$B$4:$B$12),0)))</f>
        <v>Advance</v>
      </c>
      <c r="I370" s="27" t="str">
        <f>IFERROR(IF(IFERROR(REPLACE(O370,FIND("ОПТ ",O370,1),4,""),O370)=0,VLOOKUP(MID(Q370,FIND(" ",Q370,1)+1,3),Brands!$B$2:$C$24,2,0),IFERROR(REPLACE(O370,FIND("ОПТ ",O370,1),4,""),O370)),"Check PLEASE")</f>
        <v>UGG</v>
      </c>
      <c r="J370" s="27" t="str">
        <f>VLOOKUP(I370,Brands!$E$2:$F$21,2,0)</f>
        <v>UGG</v>
      </c>
      <c r="K370" s="23">
        <f t="shared" si="60"/>
        <v>-297741.08</v>
      </c>
      <c r="L370" s="208"/>
      <c r="M370" s="205" t="s">
        <v>1136</v>
      </c>
      <c r="N370" s="208"/>
      <c r="O370" s="205"/>
      <c r="P370" s="205"/>
      <c r="Q370" s="205" t="s">
        <v>729</v>
      </c>
      <c r="S370" s="84"/>
      <c r="T370" s="84"/>
      <c r="U370" s="84"/>
      <c r="V370" s="84"/>
      <c r="W370" s="4" t="str">
        <f t="shared" si="35"/>
        <v>Negative</v>
      </c>
      <c r="X370" s="206">
        <v>-297741.08</v>
      </c>
    </row>
    <row r="371" spans="1:24" ht="12" x14ac:dyDescent="0.2">
      <c r="A371" s="10" t="str">
        <f t="shared" si="56"/>
        <v>Deposit</v>
      </c>
      <c r="B371" s="13">
        <f t="array" ref="B371">IFERROR(INDEX(CreditDAY[Credit Days Nominal],MATCH(M371&amp;Q371&amp;I371,CreditDAY[Customer]&amp;CreditDAY[Договор.Наименование]&amp;CreditDAY[Brand Temp],0)),0)</f>
        <v>0</v>
      </c>
      <c r="C371" s="10"/>
      <c r="D371" s="165">
        <f t="shared" si="57"/>
        <v>0</v>
      </c>
      <c r="E371" s="16">
        <f t="shared" si="58"/>
        <v>0</v>
      </c>
      <c r="F371" s="23">
        <f t="shared" si="59"/>
        <v>44453</v>
      </c>
      <c r="G371" s="27" t="str">
        <f t="array" ref="G371">IF(K371&lt;0,"Advance",INDEX('Days Ranges'!$C$4:$C$12,MATCH(1,($F371&gt;='Days Ranges'!$A$4:$A$12)*($F371&lt;'Days Ranges'!$B$4:$B$12),0)))</f>
        <v>Advance</v>
      </c>
      <c r="H371" s="27" t="str">
        <f t="array" ref="H371">IF(K371&lt;0,"Advance",INDEX('Days Ranges'!$D$4:$D$12,MATCH(1,($F371&gt;'Days Ranges'!$A$4:$A$12)*($F371&lt;'Days Ranges'!$B$4:$B$12),0)))</f>
        <v>Advance</v>
      </c>
      <c r="I371" s="27" t="str">
        <f>IFERROR(IF(IFERROR(REPLACE(O371,FIND("ОПТ ",O371,1),4,""),O371)=0,VLOOKUP(MID(Q371,FIND(" ",Q371,1)+1,3),Brands!$B$2:$C$24,2,0),IFERROR(REPLACE(O371,FIND("ОПТ ",O371,1),4,""),O371)),"Check PLEASE")</f>
        <v>UGG</v>
      </c>
      <c r="J371" s="27" t="str">
        <f>VLOOKUP(I371,Brands!$E$2:$F$21,2,0)</f>
        <v>UGG</v>
      </c>
      <c r="K371" s="23">
        <f t="shared" si="60"/>
        <v>-78507.97</v>
      </c>
      <c r="L371" s="208"/>
      <c r="M371" s="205" t="s">
        <v>1136</v>
      </c>
      <c r="N371" s="208"/>
      <c r="O371" s="205"/>
      <c r="P371" s="205"/>
      <c r="Q371" s="205" t="s">
        <v>1457</v>
      </c>
      <c r="S371" s="84"/>
      <c r="T371" s="84"/>
      <c r="U371" s="84"/>
      <c r="V371" s="84"/>
      <c r="W371" s="4" t="str">
        <f t="shared" si="35"/>
        <v>Negative</v>
      </c>
      <c r="X371" s="206">
        <v>-78507.97</v>
      </c>
    </row>
    <row r="372" spans="1:24" ht="12" x14ac:dyDescent="0.2">
      <c r="A372" s="10" t="str">
        <f t="shared" si="56"/>
        <v>Deposit</v>
      </c>
      <c r="B372" s="13">
        <f t="array" ref="B372">IFERROR(INDEX(CreditDAY[Credit Days Nominal],MATCH(M372&amp;Q372&amp;I372,CreditDAY[Customer]&amp;CreditDAY[Договор.Наименование]&amp;CreditDAY[Brand Temp],0)),0)</f>
        <v>0</v>
      </c>
      <c r="C372" s="10"/>
      <c r="D372" s="165">
        <f t="shared" si="57"/>
        <v>0</v>
      </c>
      <c r="E372" s="16">
        <f t="shared" si="58"/>
        <v>0</v>
      </c>
      <c r="F372" s="23">
        <f t="shared" si="59"/>
        <v>44453</v>
      </c>
      <c r="G372" s="27" t="str">
        <f t="array" ref="G372">IF(K372&lt;0,"Advance",INDEX('Days Ranges'!$C$4:$C$12,MATCH(1,($F372&gt;='Days Ranges'!$A$4:$A$12)*($F372&lt;'Days Ranges'!$B$4:$B$12),0)))</f>
        <v>Advance</v>
      </c>
      <c r="H372" s="27" t="str">
        <f t="array" ref="H372">IF(K372&lt;0,"Advance",INDEX('Days Ranges'!$D$4:$D$12,MATCH(1,($F372&gt;'Days Ranges'!$A$4:$A$12)*($F372&lt;'Days Ranges'!$B$4:$B$12),0)))</f>
        <v>Advance</v>
      </c>
      <c r="I372" s="27" t="str">
        <f>IFERROR(IF(IFERROR(REPLACE(O372,FIND("ОПТ ",O372,1),4,""),O372)=0,VLOOKUP(MID(Q372,FIND(" ",Q372,1)+1,3),Brands!$B$2:$C$24,2,0),IFERROR(REPLACE(O372,FIND("ОПТ ",O372,1),4,""),O372)),"Check PLEASE")</f>
        <v>Converse</v>
      </c>
      <c r="J372" s="27" t="str">
        <f>VLOOKUP(I372,Brands!$E$2:$F$21,2,0)</f>
        <v>Converse</v>
      </c>
      <c r="K372" s="23">
        <f t="shared" si="60"/>
        <v>-3319968.6</v>
      </c>
      <c r="L372" s="208"/>
      <c r="M372" s="205" t="s">
        <v>280</v>
      </c>
      <c r="N372" s="208"/>
      <c r="O372" s="205"/>
      <c r="P372" s="205"/>
      <c r="Q372" s="205" t="s">
        <v>42</v>
      </c>
      <c r="S372" s="84"/>
      <c r="T372" s="84"/>
      <c r="U372" s="84"/>
      <c r="V372" s="84"/>
      <c r="W372" s="4" t="str">
        <f t="shared" si="35"/>
        <v>Negative</v>
      </c>
      <c r="X372" s="206">
        <v>-3319968.6</v>
      </c>
    </row>
    <row r="373" spans="1:24" ht="12" x14ac:dyDescent="0.2">
      <c r="A373" s="10" t="str">
        <f t="shared" si="56"/>
        <v>Deposit</v>
      </c>
      <c r="B373" s="13">
        <f t="array" ref="B373">IFERROR(INDEX(CreditDAY[Credit Days Nominal],MATCH(M373&amp;Q373&amp;I373,CreditDAY[Customer]&amp;CreditDAY[Договор.Наименование]&amp;CreditDAY[Brand Temp],0)),0)</f>
        <v>0</v>
      </c>
      <c r="C373" s="10"/>
      <c r="D373" s="165">
        <f t="shared" si="57"/>
        <v>0</v>
      </c>
      <c r="E373" s="16">
        <f t="shared" si="58"/>
        <v>0</v>
      </c>
      <c r="F373" s="23">
        <f t="shared" si="59"/>
        <v>44453</v>
      </c>
      <c r="G373" s="27" t="str">
        <f t="array" ref="G373">IF(K373&lt;0,"Advance",INDEX('Days Ranges'!$C$4:$C$12,MATCH(1,($F373&gt;='Days Ranges'!$A$4:$A$12)*($F373&lt;'Days Ranges'!$B$4:$B$12),0)))</f>
        <v>Advance</v>
      </c>
      <c r="H373" s="27" t="str">
        <f t="array" ref="H373">IF(K373&lt;0,"Advance",INDEX('Days Ranges'!$D$4:$D$12,MATCH(1,($F373&gt;'Days Ranges'!$A$4:$A$12)*($F373&lt;'Days Ranges'!$B$4:$B$12),0)))</f>
        <v>Advance</v>
      </c>
      <c r="I373" s="27" t="str">
        <f>IFERROR(IF(IFERROR(REPLACE(O373,FIND("ОПТ ",O373,1),4,""),O373)=0,VLOOKUP(MID(Q373,FIND(" ",Q373,1)+1,3),Brands!$B$2:$C$24,2,0),IFERROR(REPLACE(O373,FIND("ОПТ ",O373,1),4,""),O373)),"Check PLEASE")</f>
        <v>Converse</v>
      </c>
      <c r="J373" s="27" t="str">
        <f>VLOOKUP(I373,Brands!$E$2:$F$21,2,0)</f>
        <v>Converse</v>
      </c>
      <c r="K373" s="23">
        <f t="shared" si="60"/>
        <v>-5509044.4500000002</v>
      </c>
      <c r="L373" s="208"/>
      <c r="M373" s="205" t="s">
        <v>280</v>
      </c>
      <c r="N373" s="208"/>
      <c r="O373" s="205"/>
      <c r="P373" s="205"/>
      <c r="Q373" s="205" t="s">
        <v>1442</v>
      </c>
      <c r="S373" s="84"/>
      <c r="T373" s="84"/>
      <c r="U373" s="84"/>
      <c r="V373" s="84"/>
      <c r="W373" s="4" t="str">
        <f t="shared" si="35"/>
        <v>Negative</v>
      </c>
      <c r="X373" s="206">
        <v>-5509044.4500000002</v>
      </c>
    </row>
    <row r="374" spans="1:24" ht="12" x14ac:dyDescent="0.2">
      <c r="A374" s="10" t="str">
        <f t="shared" si="56"/>
        <v>Deposit</v>
      </c>
      <c r="B374" s="13">
        <f t="array" ref="B374">IFERROR(INDEX(CreditDAY[Credit Days Nominal],MATCH(M374&amp;Q374&amp;I374,CreditDAY[Customer]&amp;CreditDAY[Договор.Наименование]&amp;CreditDAY[Brand Temp],0)),0)</f>
        <v>0</v>
      </c>
      <c r="C374" s="10"/>
      <c r="D374" s="165">
        <f t="shared" si="57"/>
        <v>0</v>
      </c>
      <c r="E374" s="16">
        <f t="shared" si="58"/>
        <v>0</v>
      </c>
      <c r="F374" s="23">
        <f t="shared" si="59"/>
        <v>44453</v>
      </c>
      <c r="G374" s="27" t="str">
        <f t="array" ref="G374">IF(K374&lt;0,"Advance",INDEX('Days Ranges'!$C$4:$C$12,MATCH(1,($F374&gt;='Days Ranges'!$A$4:$A$12)*($F374&lt;'Days Ranges'!$B$4:$B$12),0)))</f>
        <v>Advance</v>
      </c>
      <c r="H374" s="27" t="str">
        <f t="array" ref="H374">IF(K374&lt;0,"Advance",INDEX('Days Ranges'!$D$4:$D$12,MATCH(1,($F374&gt;'Days Ranges'!$A$4:$A$12)*($F374&lt;'Days Ranges'!$B$4:$B$12),0)))</f>
        <v>Advance</v>
      </c>
      <c r="I374" s="27" t="str">
        <f>IFERROR(IF(IFERROR(REPLACE(O374,FIND("ОПТ ",O374,1),4,""),O374)=0,VLOOKUP(MID(Q374,FIND(" ",Q374,1)+1,3),Brands!$B$2:$C$24,2,0),IFERROR(REPLACE(O374,FIND("ОПТ ",O374,1),4,""),O374)),"Check PLEASE")</f>
        <v>Dr.Martens</v>
      </c>
      <c r="J374" s="27" t="str">
        <f>VLOOKUP(I374,Brands!$E$2:$F$21,2,0)</f>
        <v>Dr.Martens</v>
      </c>
      <c r="K374" s="23">
        <f t="shared" si="60"/>
        <v>-15757218</v>
      </c>
      <c r="L374" s="208"/>
      <c r="M374" s="205" t="s">
        <v>280</v>
      </c>
      <c r="N374" s="208"/>
      <c r="O374" s="205"/>
      <c r="P374" s="205"/>
      <c r="Q374" s="205" t="s">
        <v>723</v>
      </c>
      <c r="S374" s="84"/>
      <c r="T374" s="84"/>
      <c r="U374" s="84"/>
      <c r="V374" s="84"/>
      <c r="W374" s="4" t="str">
        <f t="shared" si="35"/>
        <v>Negative</v>
      </c>
      <c r="X374" s="206">
        <v>-15757218</v>
      </c>
    </row>
    <row r="375" spans="1:24" ht="12" x14ac:dyDescent="0.2">
      <c r="A375" s="10" t="str">
        <f t="shared" si="56"/>
        <v>Deposit</v>
      </c>
      <c r="B375" s="13">
        <f t="array" ref="B375">IFERROR(INDEX(CreditDAY[Credit Days Nominal],MATCH(M375&amp;Q375&amp;I375,CreditDAY[Customer]&amp;CreditDAY[Договор.Наименование]&amp;CreditDAY[Brand Temp],0)),0)</f>
        <v>0</v>
      </c>
      <c r="C375" s="10"/>
      <c r="D375" s="165">
        <f t="shared" si="57"/>
        <v>0</v>
      </c>
      <c r="E375" s="16">
        <f t="shared" si="58"/>
        <v>0</v>
      </c>
      <c r="F375" s="23">
        <f t="shared" si="59"/>
        <v>44453</v>
      </c>
      <c r="G375" s="27" t="str">
        <f t="array" ref="G375">IF(K375&lt;0,"Advance",INDEX('Days Ranges'!$C$4:$C$12,MATCH(1,($F375&gt;='Days Ranges'!$A$4:$A$12)*($F375&lt;'Days Ranges'!$B$4:$B$12),0)))</f>
        <v>Advance</v>
      </c>
      <c r="H375" s="27" t="str">
        <f t="array" ref="H375">IF(K375&lt;0,"Advance",INDEX('Days Ranges'!$D$4:$D$12,MATCH(1,($F375&gt;'Days Ranges'!$A$4:$A$12)*($F375&lt;'Days Ranges'!$B$4:$B$12),0)))</f>
        <v>Advance</v>
      </c>
      <c r="I375" s="27" t="str">
        <f>IFERROR(IF(IFERROR(REPLACE(O375,FIND("ОПТ ",O375,1),4,""),O375)=0,VLOOKUP(MID(Q375,FIND(" ",Q375,1)+1,3),Brands!$B$2:$C$24,2,0),IFERROR(REPLACE(O375,FIND("ОПТ ",O375,1),4,""),O375)),"Check PLEASE")</f>
        <v>Dr.Martens</v>
      </c>
      <c r="J375" s="27" t="str">
        <f>VLOOKUP(I375,Brands!$E$2:$F$21,2,0)</f>
        <v>Dr.Martens</v>
      </c>
      <c r="K375" s="23">
        <f t="shared" si="60"/>
        <v>-5009184.18</v>
      </c>
      <c r="L375" s="208"/>
      <c r="M375" s="205" t="s">
        <v>280</v>
      </c>
      <c r="N375" s="208"/>
      <c r="O375" s="205"/>
      <c r="P375" s="205"/>
      <c r="Q375" s="205" t="s">
        <v>1494</v>
      </c>
      <c r="S375" s="84"/>
      <c r="T375" s="84"/>
      <c r="U375" s="84"/>
      <c r="V375" s="84"/>
      <c r="W375" s="4" t="str">
        <f t="shared" si="35"/>
        <v>Negative</v>
      </c>
      <c r="X375" s="206">
        <v>-5009184.18</v>
      </c>
    </row>
    <row r="376" spans="1:24" ht="12" x14ac:dyDescent="0.2">
      <c r="A376" s="10" t="str">
        <f t="shared" si="56"/>
        <v>Deposit</v>
      </c>
      <c r="B376" s="13">
        <f t="array" ref="B376">IFERROR(INDEX(CreditDAY[Credit Days Nominal],MATCH(M376&amp;Q376&amp;I376,CreditDAY[Customer]&amp;CreditDAY[Договор.Наименование]&amp;CreditDAY[Brand Temp],0)),0)</f>
        <v>0</v>
      </c>
      <c r="C376" s="10"/>
      <c r="D376" s="165">
        <f t="shared" si="57"/>
        <v>0</v>
      </c>
      <c r="E376" s="16">
        <f t="shared" si="58"/>
        <v>0</v>
      </c>
      <c r="F376" s="23">
        <f t="shared" si="59"/>
        <v>44453</v>
      </c>
      <c r="G376" s="27" t="str">
        <f t="array" ref="G376">IF(K376&lt;0,"Advance",INDEX('Days Ranges'!$C$4:$C$12,MATCH(1,($F376&gt;='Days Ranges'!$A$4:$A$12)*($F376&lt;'Days Ranges'!$B$4:$B$12),0)))</f>
        <v>Advance</v>
      </c>
      <c r="H376" s="27" t="str">
        <f t="array" ref="H376">IF(K376&lt;0,"Advance",INDEX('Days Ranges'!$D$4:$D$12,MATCH(1,($F376&gt;'Days Ranges'!$A$4:$A$12)*($F376&lt;'Days Ranges'!$B$4:$B$12),0)))</f>
        <v>Advance</v>
      </c>
      <c r="I376" s="27" t="str">
        <f>IFERROR(IF(IFERROR(REPLACE(O376,FIND("ОПТ ",O376,1),4,""),O376)=0,VLOOKUP(MID(Q376,FIND(" ",Q376,1)+1,3),Brands!$B$2:$C$24,2,0),IFERROR(REPLACE(O376,FIND("ОПТ ",O376,1),4,""),O376)),"Check PLEASE")</f>
        <v>Saucony</v>
      </c>
      <c r="J376" s="27" t="str">
        <f>VLOOKUP(I376,Brands!$E$2:$F$21,2,0)</f>
        <v>Saucony</v>
      </c>
      <c r="K376" s="23">
        <f t="shared" si="60"/>
        <v>-510003.36</v>
      </c>
      <c r="L376" s="208"/>
      <c r="M376" s="205" t="s">
        <v>280</v>
      </c>
      <c r="N376" s="208"/>
      <c r="O376" s="205"/>
      <c r="P376" s="205"/>
      <c r="Q376" s="205" t="s">
        <v>268</v>
      </c>
      <c r="S376" s="84"/>
      <c r="T376" s="84"/>
      <c r="U376" s="84"/>
      <c r="V376" s="84"/>
      <c r="W376" s="4" t="str">
        <f t="shared" si="35"/>
        <v>Negative</v>
      </c>
      <c r="X376" s="206">
        <v>-510003.36</v>
      </c>
    </row>
    <row r="377" spans="1:24" ht="12" x14ac:dyDescent="0.2">
      <c r="A377" s="10" t="str">
        <f t="shared" si="56"/>
        <v>Deposit</v>
      </c>
      <c r="B377" s="13">
        <f t="array" ref="B377">IFERROR(INDEX(CreditDAY[Credit Days Nominal],MATCH(M377&amp;Q377&amp;I377,CreditDAY[Customer]&amp;CreditDAY[Договор.Наименование]&amp;CreditDAY[Brand Temp],0)),0)</f>
        <v>0</v>
      </c>
      <c r="C377" s="10"/>
      <c r="D377" s="165">
        <f t="shared" si="57"/>
        <v>0</v>
      </c>
      <c r="E377" s="16">
        <f t="shared" si="58"/>
        <v>0</v>
      </c>
      <c r="F377" s="23">
        <f t="shared" si="59"/>
        <v>44453</v>
      </c>
      <c r="G377" s="27" t="str">
        <f t="array" ref="G377">IF(K377&lt;0,"Advance",INDEX('Days Ranges'!$C$4:$C$12,MATCH(1,($F377&gt;='Days Ranges'!$A$4:$A$12)*($F377&lt;'Days Ranges'!$B$4:$B$12),0)))</f>
        <v>Advance</v>
      </c>
      <c r="H377" s="27" t="str">
        <f t="array" ref="H377">IF(K377&lt;0,"Advance",INDEX('Days Ranges'!$D$4:$D$12,MATCH(1,($F377&gt;'Days Ranges'!$A$4:$A$12)*($F377&lt;'Days Ranges'!$B$4:$B$12),0)))</f>
        <v>Advance</v>
      </c>
      <c r="I377" s="27" t="str">
        <f>IFERROR(IF(IFERROR(REPLACE(O377,FIND("ОПТ ",O377,1),4,""),O377)=0,VLOOKUP(MID(Q377,FIND(" ",Q377,1)+1,3),Brands!$B$2:$C$24,2,0),IFERROR(REPLACE(O377,FIND("ОПТ ",O377,1),4,""),O377)),"Check PLEASE")</f>
        <v>Saucony</v>
      </c>
      <c r="J377" s="27" t="str">
        <f>VLOOKUP(I377,Brands!$E$2:$F$21,2,0)</f>
        <v>Saucony</v>
      </c>
      <c r="K377" s="23">
        <f t="shared" si="60"/>
        <v>-2186977.5</v>
      </c>
      <c r="L377" s="208"/>
      <c r="M377" s="205" t="s">
        <v>280</v>
      </c>
      <c r="N377" s="208"/>
      <c r="O377" s="205"/>
      <c r="P377" s="205"/>
      <c r="Q377" s="205" t="s">
        <v>1389</v>
      </c>
      <c r="S377" s="84"/>
      <c r="T377" s="84"/>
      <c r="U377" s="84"/>
      <c r="V377" s="84"/>
      <c r="W377" s="4" t="str">
        <f t="shared" si="35"/>
        <v>Negative</v>
      </c>
      <c r="X377" s="206">
        <v>-2186977.5</v>
      </c>
    </row>
    <row r="378" spans="1:24" ht="12" x14ac:dyDescent="0.2">
      <c r="A378" s="10" t="str">
        <f t="shared" si="56"/>
        <v>Deposit</v>
      </c>
      <c r="B378" s="13">
        <f t="array" ref="B378">IFERROR(INDEX(CreditDAY[Credit Days Nominal],MATCH(M378&amp;Q378&amp;I378,CreditDAY[Customer]&amp;CreditDAY[Договор.Наименование]&amp;CreditDAY[Brand Temp],0)),0)</f>
        <v>0</v>
      </c>
      <c r="C378" s="10"/>
      <c r="D378" s="165">
        <f t="shared" si="57"/>
        <v>0</v>
      </c>
      <c r="E378" s="16">
        <f t="shared" si="58"/>
        <v>0</v>
      </c>
      <c r="F378" s="23">
        <f t="shared" si="59"/>
        <v>44453</v>
      </c>
      <c r="G378" s="27" t="str">
        <f t="array" ref="G378">IF(K378&lt;0,"Advance",INDEX('Days Ranges'!$C$4:$C$12,MATCH(1,($F378&gt;='Days Ranges'!$A$4:$A$12)*($F378&lt;'Days Ranges'!$B$4:$B$12),0)))</f>
        <v>Advance</v>
      </c>
      <c r="H378" s="27" t="str">
        <f t="array" ref="H378">IF(K378&lt;0,"Advance",INDEX('Days Ranges'!$D$4:$D$12,MATCH(1,($F378&gt;'Days Ranges'!$A$4:$A$12)*($F378&lt;'Days Ranges'!$B$4:$B$12),0)))</f>
        <v>Advance</v>
      </c>
      <c r="I378" s="27" t="str">
        <f>IFERROR(IF(IFERROR(REPLACE(O378,FIND("ОПТ ",O378,1),4,""),O378)=0,VLOOKUP(MID(Q378,FIND(" ",Q378,1)+1,3),Brands!$B$2:$C$24,2,0),IFERROR(REPLACE(O378,FIND("ОПТ ",O378,1),4,""),O378)),"Check PLEASE")</f>
        <v>UGG</v>
      </c>
      <c r="J378" s="27" t="str">
        <f>VLOOKUP(I378,Brands!$E$2:$F$21,2,0)</f>
        <v>UGG</v>
      </c>
      <c r="K378" s="23">
        <f t="shared" si="60"/>
        <v>-10456902.640000001</v>
      </c>
      <c r="L378" s="208"/>
      <c r="M378" s="205" t="s">
        <v>280</v>
      </c>
      <c r="N378" s="208"/>
      <c r="O378" s="205"/>
      <c r="P378" s="205"/>
      <c r="Q378" s="205" t="s">
        <v>1075</v>
      </c>
      <c r="S378" s="84"/>
      <c r="T378" s="84"/>
      <c r="U378" s="84"/>
      <c r="V378" s="84"/>
      <c r="W378" s="4" t="str">
        <f t="shared" si="35"/>
        <v>Negative</v>
      </c>
      <c r="X378" s="206">
        <v>-10456902.640000001</v>
      </c>
    </row>
    <row r="379" spans="1:24" ht="12" x14ac:dyDescent="0.2">
      <c r="A379" s="10" t="str">
        <f t="shared" ref="A379:A392" si="61">IFERROR(LEFT(L379,FIND("УТ",L379,1)-2),IF(ISERROR(FIND("Платежное",L379,1)),"Deposit","Платежное поручение входящее"))</f>
        <v>Deposit</v>
      </c>
      <c r="B379" s="13">
        <f t="array" ref="B379">IFERROR(INDEX(CreditDAY[Credit Days Nominal],MATCH(M379&amp;Q379&amp;I379,CreditDAY[Customer]&amp;CreditDAY[Договор.Наименование]&amp;CreditDAY[Brand Temp],0)),0)</f>
        <v>0</v>
      </c>
      <c r="C379" s="10"/>
      <c r="D379" s="165">
        <f t="shared" ref="D379:D392" si="62">DATE(YEAR(N379),MONTH(N379),DAY(N379))</f>
        <v>0</v>
      </c>
      <c r="E379" s="16">
        <f t="shared" ref="E379:E392" si="63">N379+B379+C379</f>
        <v>0</v>
      </c>
      <c r="F379" s="23">
        <f t="shared" ref="F379:F392" si="64">IFERROR($B$1-E379,100000)</f>
        <v>44453</v>
      </c>
      <c r="G379" s="27" t="str">
        <f t="array" ref="G379">IF(K379&lt;0,"Advance",INDEX('Days Ranges'!$C$4:$C$12,MATCH(1,($F379&gt;='Days Ranges'!$A$4:$A$12)*($F379&lt;'Days Ranges'!$B$4:$B$12),0)))</f>
        <v>Advance</v>
      </c>
      <c r="H379" s="27" t="str">
        <f t="array" ref="H379">IF(K379&lt;0,"Advance",INDEX('Days Ranges'!$D$4:$D$12,MATCH(1,($F379&gt;'Days Ranges'!$A$4:$A$12)*($F379&lt;'Days Ranges'!$B$4:$B$12),0)))</f>
        <v>Advance</v>
      </c>
      <c r="I379" s="27" t="str">
        <f>IFERROR(IF(IFERROR(REPLACE(O379,FIND("ОПТ ",O379,1),4,""),O379)=0,VLOOKUP(MID(Q379,FIND(" ",Q379,1)+1,3),Brands!$B$2:$C$24,2,0),IFERROR(REPLACE(O379,FIND("ОПТ ",O379,1),4,""),O379)),"Check PLEASE")</f>
        <v>UGG</v>
      </c>
      <c r="J379" s="27" t="str">
        <f>VLOOKUP(I379,Brands!$E$2:$F$21,2,0)</f>
        <v>UGG</v>
      </c>
      <c r="K379" s="23">
        <f t="shared" ref="K379:K392" si="65">X379</f>
        <v>-1490040</v>
      </c>
      <c r="L379" s="208"/>
      <c r="M379" s="205" t="s">
        <v>280</v>
      </c>
      <c r="N379" s="208"/>
      <c r="O379" s="205"/>
      <c r="P379" s="205"/>
      <c r="Q379" s="205" t="s">
        <v>1495</v>
      </c>
      <c r="S379" s="84"/>
      <c r="T379" s="84"/>
      <c r="U379" s="84"/>
      <c r="V379" s="84"/>
      <c r="W379" s="4" t="str">
        <f t="shared" si="35"/>
        <v>Negative</v>
      </c>
      <c r="X379" s="206">
        <v>-1490040</v>
      </c>
    </row>
    <row r="380" spans="1:24" ht="12" x14ac:dyDescent="0.2">
      <c r="A380" s="10" t="str">
        <f t="shared" si="61"/>
        <v>Deposit</v>
      </c>
      <c r="B380" s="13">
        <f t="array" ref="B380">IFERROR(INDEX(CreditDAY[Credit Days Nominal],MATCH(M380&amp;Q380&amp;I380,CreditDAY[Customer]&amp;CreditDAY[Договор.Наименование]&amp;CreditDAY[Brand Temp],0)),0)</f>
        <v>0</v>
      </c>
      <c r="C380" s="10"/>
      <c r="D380" s="165">
        <f t="shared" si="62"/>
        <v>0</v>
      </c>
      <c r="E380" s="16">
        <f t="shared" si="63"/>
        <v>0</v>
      </c>
      <c r="F380" s="23">
        <f t="shared" si="64"/>
        <v>44453</v>
      </c>
      <c r="G380" s="27" t="str">
        <f t="array" ref="G380">IF(K380&lt;0,"Advance",INDEX('Days Ranges'!$C$4:$C$12,MATCH(1,($F380&gt;='Days Ranges'!$A$4:$A$12)*($F380&lt;'Days Ranges'!$B$4:$B$12),0)))</f>
        <v>Advance</v>
      </c>
      <c r="H380" s="27" t="str">
        <f t="array" ref="H380">IF(K380&lt;0,"Advance",INDEX('Days Ranges'!$D$4:$D$12,MATCH(1,($F380&gt;'Days Ranges'!$A$4:$A$12)*($F380&lt;'Days Ranges'!$B$4:$B$12),0)))</f>
        <v>Advance</v>
      </c>
      <c r="I380" s="27" t="str">
        <f>IFERROR(IF(IFERROR(REPLACE(O380,FIND("ОПТ ",O380,1),4,""),O380)=0,VLOOKUP(MID(Q380,FIND(" ",Q380,1)+1,3),Brands!$B$2:$C$24,2,0),IFERROR(REPLACE(O380,FIND("ОПТ ",O380,1),4,""),O380)),"Check PLEASE")</f>
        <v>Converse</v>
      </c>
      <c r="J380" s="27" t="str">
        <f>VLOOKUP(I380,Brands!$E$2:$F$21,2,0)</f>
        <v>Converse</v>
      </c>
      <c r="K380" s="23">
        <f t="shared" si="65"/>
        <v>-3278285.78</v>
      </c>
      <c r="L380" s="208"/>
      <c r="M380" s="205" t="s">
        <v>285</v>
      </c>
      <c r="N380" s="208"/>
      <c r="O380" s="205"/>
      <c r="P380" s="205"/>
      <c r="Q380" s="205" t="s">
        <v>42</v>
      </c>
      <c r="S380" s="84"/>
      <c r="T380" s="84"/>
      <c r="U380" s="84"/>
      <c r="V380" s="84"/>
      <c r="W380" s="4" t="str">
        <f t="shared" si="35"/>
        <v>Negative</v>
      </c>
      <c r="X380" s="206">
        <v>-3278285.78</v>
      </c>
    </row>
    <row r="381" spans="1:24" ht="12" x14ac:dyDescent="0.2">
      <c r="A381" s="10" t="str">
        <f t="shared" si="61"/>
        <v>Deposit</v>
      </c>
      <c r="B381" s="13">
        <f t="array" ref="B381">IFERROR(INDEX(CreditDAY[Credit Days Nominal],MATCH(M381&amp;Q381&amp;I381,CreditDAY[Customer]&amp;CreditDAY[Договор.Наименование]&amp;CreditDAY[Brand Temp],0)),0)</f>
        <v>0</v>
      </c>
      <c r="C381" s="10"/>
      <c r="D381" s="165">
        <f t="shared" si="62"/>
        <v>0</v>
      </c>
      <c r="E381" s="16">
        <f t="shared" si="63"/>
        <v>0</v>
      </c>
      <c r="F381" s="23">
        <f t="shared" si="64"/>
        <v>44453</v>
      </c>
      <c r="G381" s="27" t="str">
        <f t="array" ref="G381">IF(K381&lt;0,"Advance",INDEX('Days Ranges'!$C$4:$C$12,MATCH(1,($F381&gt;='Days Ranges'!$A$4:$A$12)*($F381&lt;'Days Ranges'!$B$4:$B$12),0)))</f>
        <v>Advance</v>
      </c>
      <c r="H381" s="27" t="str">
        <f t="array" ref="H381">IF(K381&lt;0,"Advance",INDEX('Days Ranges'!$D$4:$D$12,MATCH(1,($F381&gt;'Days Ranges'!$A$4:$A$12)*($F381&lt;'Days Ranges'!$B$4:$B$12),0)))</f>
        <v>Advance</v>
      </c>
      <c r="I381" s="27" t="str">
        <f>IFERROR(IF(IFERROR(REPLACE(O381,FIND("ОПТ ",O381,1),4,""),O381)=0,VLOOKUP(MID(Q381,FIND(" ",Q381,1)+1,3),Brands!$B$2:$C$24,2,0),IFERROR(REPLACE(O381,FIND("ОПТ ",O381,1),4,""),O381)),"Check PLEASE")</f>
        <v>Converse</v>
      </c>
      <c r="J381" s="27" t="str">
        <f>VLOOKUP(I381,Brands!$E$2:$F$21,2,0)</f>
        <v>Converse</v>
      </c>
      <c r="K381" s="23">
        <f t="shared" si="65"/>
        <v>-9711000.9900000002</v>
      </c>
      <c r="L381" s="208"/>
      <c r="M381" s="205" t="s">
        <v>285</v>
      </c>
      <c r="N381" s="208"/>
      <c r="O381" s="205"/>
      <c r="P381" s="205"/>
      <c r="Q381" s="205" t="s">
        <v>1429</v>
      </c>
      <c r="S381" s="84"/>
      <c r="T381" s="84"/>
      <c r="U381" s="84"/>
      <c r="V381" s="84"/>
      <c r="W381" s="4" t="str">
        <f t="shared" si="35"/>
        <v>Negative</v>
      </c>
      <c r="X381" s="207">
        <v>-9711000.9900000002</v>
      </c>
    </row>
    <row r="382" spans="1:24" ht="12" x14ac:dyDescent="0.2">
      <c r="A382" s="10" t="str">
        <f t="shared" si="61"/>
        <v>Deposit</v>
      </c>
      <c r="B382" s="13">
        <f t="array" ref="B382">IFERROR(INDEX(CreditDAY[Credit Days Nominal],MATCH(M382&amp;Q382&amp;I382,CreditDAY[Customer]&amp;CreditDAY[Договор.Наименование]&amp;CreditDAY[Brand Temp],0)),0)</f>
        <v>0</v>
      </c>
      <c r="C382" s="10"/>
      <c r="D382" s="165">
        <f t="shared" si="62"/>
        <v>0</v>
      </c>
      <c r="E382" s="16">
        <f t="shared" si="63"/>
        <v>0</v>
      </c>
      <c r="F382" s="23">
        <f t="shared" si="64"/>
        <v>44453</v>
      </c>
      <c r="G382" s="27" t="str">
        <f t="array" ref="G382">IF(K382&lt;0,"Advance",INDEX('Days Ranges'!$C$4:$C$12,MATCH(1,($F382&gt;='Days Ranges'!$A$4:$A$12)*($F382&lt;'Days Ranges'!$B$4:$B$12),0)))</f>
        <v>Advance</v>
      </c>
      <c r="H382" s="27" t="str">
        <f t="array" ref="H382">IF(K382&lt;0,"Advance",INDEX('Days Ranges'!$D$4:$D$12,MATCH(1,($F382&gt;'Days Ranges'!$A$4:$A$12)*($F382&lt;'Days Ranges'!$B$4:$B$12),0)))</f>
        <v>Advance</v>
      </c>
      <c r="I382" s="27" t="str">
        <f>IFERROR(IF(IFERROR(REPLACE(O382,FIND("ОПТ ",O382,1),4,""),O382)=0,VLOOKUP(MID(Q382,FIND(" ",Q382,1)+1,3),Brands!$B$2:$C$24,2,0),IFERROR(REPLACE(O382,FIND("ОПТ ",O382,1),4,""),O382)),"Check PLEASE")</f>
        <v>Converse</v>
      </c>
      <c r="J382" s="27" t="str">
        <f>VLOOKUP(I382,Brands!$E$2:$F$21,2,0)</f>
        <v>Converse</v>
      </c>
      <c r="K382" s="23">
        <f t="shared" si="65"/>
        <v>-3192908.84</v>
      </c>
      <c r="L382" s="208"/>
      <c r="M382" s="205" t="s">
        <v>285</v>
      </c>
      <c r="N382" s="208"/>
      <c r="O382" s="205"/>
      <c r="P382" s="205"/>
      <c r="Q382" s="205" t="s">
        <v>39</v>
      </c>
      <c r="S382" s="84"/>
      <c r="T382" s="84"/>
      <c r="U382" s="84"/>
      <c r="V382" s="84"/>
      <c r="W382" s="4" t="str">
        <f t="shared" si="35"/>
        <v>Negative</v>
      </c>
      <c r="X382" s="206">
        <v>-3192908.84</v>
      </c>
    </row>
    <row r="383" spans="1:24" s="58" customFormat="1" ht="12" x14ac:dyDescent="0.2">
      <c r="A383" s="10" t="str">
        <f t="shared" si="61"/>
        <v>Deposit</v>
      </c>
      <c r="B383" s="13">
        <f t="array" ref="B383">IFERROR(INDEX(CreditDAY[Credit Days Nominal],MATCH(M383&amp;Q383&amp;I383,CreditDAY[Customer]&amp;CreditDAY[Договор.Наименование]&amp;CreditDAY[Brand Temp],0)),0)</f>
        <v>0</v>
      </c>
      <c r="C383" s="10"/>
      <c r="D383" s="165">
        <f t="shared" si="62"/>
        <v>0</v>
      </c>
      <c r="E383" s="16">
        <f t="shared" si="63"/>
        <v>0</v>
      </c>
      <c r="F383" s="23">
        <f t="shared" si="64"/>
        <v>44453</v>
      </c>
      <c r="G383" s="27" t="str">
        <f t="array" ref="G383">IF(K383&lt;0,"Advance",INDEX('Days Ranges'!$C$4:$C$12,MATCH(1,($F383&gt;='Days Ranges'!$A$4:$A$12)*($F383&lt;'Days Ranges'!$B$4:$B$12),0)))</f>
        <v>Advance</v>
      </c>
      <c r="H383" s="27" t="str">
        <f t="array" ref="H383">IF(K383&lt;0,"Advance",INDEX('Days Ranges'!$D$4:$D$12,MATCH(1,($F383&gt;'Days Ranges'!$A$4:$A$12)*($F383&lt;'Days Ranges'!$B$4:$B$12),0)))</f>
        <v>Advance</v>
      </c>
      <c r="I383" s="27" t="str">
        <f>IFERROR(IF(IFERROR(REPLACE(O383,FIND("ОПТ ",O383,1),4,""),O383)=0,VLOOKUP(MID(Q383,FIND(" ",Q383,1)+1,3),Brands!$B$2:$C$24,2,0),IFERROR(REPLACE(O383,FIND("ОПТ ",O383,1),4,""),O383)),"Check PLEASE")</f>
        <v>Dr.Martens</v>
      </c>
      <c r="J383" s="27" t="str">
        <f>VLOOKUP(I383,Brands!$E$2:$F$21,2,0)</f>
        <v>Dr.Martens</v>
      </c>
      <c r="K383" s="23">
        <f t="shared" si="65"/>
        <v>-3321050.96</v>
      </c>
      <c r="L383" s="208"/>
      <c r="M383" s="205" t="s">
        <v>285</v>
      </c>
      <c r="N383" s="208"/>
      <c r="O383" s="205"/>
      <c r="P383" s="205"/>
      <c r="Q383" s="205" t="s">
        <v>724</v>
      </c>
      <c r="S383" s="85"/>
      <c r="T383" s="85"/>
      <c r="U383" s="85"/>
      <c r="V383" s="85"/>
      <c r="W383" s="4" t="str">
        <f t="shared" si="35"/>
        <v>Negative</v>
      </c>
      <c r="X383" s="206">
        <v>-3321050.96</v>
      </c>
    </row>
    <row r="384" spans="1:24" s="58" customFormat="1" ht="12" x14ac:dyDescent="0.2">
      <c r="A384" s="10" t="str">
        <f t="shared" si="61"/>
        <v>Deposit</v>
      </c>
      <c r="B384" s="13">
        <f t="array" ref="B384">IFERROR(INDEX(CreditDAY[Credit Days Nominal],MATCH(M384&amp;Q384&amp;I384,CreditDAY[Customer]&amp;CreditDAY[Договор.Наименование]&amp;CreditDAY[Brand Temp],0)),0)</f>
        <v>0</v>
      </c>
      <c r="C384" s="10"/>
      <c r="D384" s="165">
        <f t="shared" si="62"/>
        <v>0</v>
      </c>
      <c r="E384" s="16">
        <f t="shared" si="63"/>
        <v>0</v>
      </c>
      <c r="F384" s="23">
        <f t="shared" si="64"/>
        <v>44453</v>
      </c>
      <c r="G384" s="27" t="str">
        <f t="array" ref="G384">IF(K384&lt;0,"Advance",INDEX('Days Ranges'!$C$4:$C$12,MATCH(1,($F384&gt;='Days Ranges'!$A$4:$A$12)*($F384&lt;'Days Ranges'!$B$4:$B$12),0)))</f>
        <v>Advance</v>
      </c>
      <c r="H384" s="27" t="str">
        <f t="array" ref="H384">IF(K384&lt;0,"Advance",INDEX('Days Ranges'!$D$4:$D$12,MATCH(1,($F384&gt;'Days Ranges'!$A$4:$A$12)*($F384&lt;'Days Ranges'!$B$4:$B$12),0)))</f>
        <v>Advance</v>
      </c>
      <c r="I384" s="27" t="str">
        <f>IFERROR(IF(IFERROR(REPLACE(O384,FIND("ОПТ ",O384,1),4,""),O384)=0,VLOOKUP(MID(Q384,FIND(" ",Q384,1)+1,3),Brands!$B$2:$C$24,2,0),IFERROR(REPLACE(O384,FIND("ОПТ ",O384,1),4,""),O384)),"Check PLEASE")</f>
        <v>Dr.Martens</v>
      </c>
      <c r="J384" s="27" t="str">
        <f>VLOOKUP(I384,Brands!$E$2:$F$21,2,0)</f>
        <v>Dr.Martens</v>
      </c>
      <c r="K384" s="23">
        <f t="shared" si="65"/>
        <v>-334570.84999999998</v>
      </c>
      <c r="L384" s="208"/>
      <c r="M384" s="205" t="s">
        <v>285</v>
      </c>
      <c r="N384" s="208"/>
      <c r="O384" s="205"/>
      <c r="P384" s="205"/>
      <c r="Q384" s="205" t="s">
        <v>1484</v>
      </c>
      <c r="S384" s="85"/>
      <c r="T384" s="85"/>
      <c r="U384" s="85"/>
      <c r="V384" s="85"/>
      <c r="W384" s="4" t="str">
        <f t="shared" si="35"/>
        <v>Negative</v>
      </c>
      <c r="X384" s="206">
        <v>-334570.84999999998</v>
      </c>
    </row>
    <row r="385" spans="1:24" s="58" customFormat="1" ht="12" x14ac:dyDescent="0.2">
      <c r="A385" s="10" t="str">
        <f t="shared" si="61"/>
        <v>Deposit</v>
      </c>
      <c r="B385" s="13">
        <f t="array" ref="B385">IFERROR(INDEX(CreditDAY[Credit Days Nominal],MATCH(M385&amp;Q385&amp;I385,CreditDAY[Customer]&amp;CreditDAY[Договор.Наименование]&amp;CreditDAY[Brand Temp],0)),0)</f>
        <v>0</v>
      </c>
      <c r="C385" s="10"/>
      <c r="D385" s="165">
        <f t="shared" si="62"/>
        <v>0</v>
      </c>
      <c r="E385" s="16">
        <f t="shared" si="63"/>
        <v>0</v>
      </c>
      <c r="F385" s="23">
        <f t="shared" si="64"/>
        <v>44453</v>
      </c>
      <c r="G385" s="27" t="str">
        <f t="array" ref="G385">IF(K385&lt;0,"Advance",INDEX('Days Ranges'!$C$4:$C$12,MATCH(1,($F385&gt;='Days Ranges'!$A$4:$A$12)*($F385&lt;'Days Ranges'!$B$4:$B$12),0)))</f>
        <v>Advance</v>
      </c>
      <c r="H385" s="27" t="str">
        <f t="array" ref="H385">IF(K385&lt;0,"Advance",INDEX('Days Ranges'!$D$4:$D$12,MATCH(1,($F385&gt;'Days Ranges'!$A$4:$A$12)*($F385&lt;'Days Ranges'!$B$4:$B$12),0)))</f>
        <v>Advance</v>
      </c>
      <c r="I385" s="27" t="str">
        <f>IFERROR(IF(IFERROR(REPLACE(O385,FIND("ОПТ ",O385,1),4,""),O385)=0,VLOOKUP(MID(Q385,FIND(" ",Q385,1)+1,3),Brands!$B$2:$C$24,2,0),IFERROR(REPLACE(O385,FIND("ОПТ ",O385,1),4,""),O385)),"Check PLEASE")</f>
        <v>UGG</v>
      </c>
      <c r="J385" s="27" t="str">
        <f>VLOOKUP(I385,Brands!$E$2:$F$21,2,0)</f>
        <v>UGG</v>
      </c>
      <c r="K385" s="23">
        <f t="shared" si="65"/>
        <v>-828931.38</v>
      </c>
      <c r="L385" s="208"/>
      <c r="M385" s="205" t="s">
        <v>285</v>
      </c>
      <c r="N385" s="208"/>
      <c r="O385" s="205"/>
      <c r="P385" s="205"/>
      <c r="Q385" s="205" t="s">
        <v>725</v>
      </c>
      <c r="S385" s="85"/>
      <c r="T385" s="85"/>
      <c r="U385" s="85"/>
      <c r="V385" s="85"/>
      <c r="W385" s="4" t="str">
        <f t="shared" si="35"/>
        <v>Negative</v>
      </c>
      <c r="X385" s="206">
        <v>-828931.38</v>
      </c>
    </row>
    <row r="386" spans="1:24" s="58" customFormat="1" ht="12" x14ac:dyDescent="0.2">
      <c r="A386" s="10" t="str">
        <f t="shared" si="61"/>
        <v>Deposit</v>
      </c>
      <c r="B386" s="13">
        <f t="array" ref="B386">IFERROR(INDEX(CreditDAY[Credit Days Nominal],MATCH(M386&amp;Q386&amp;I386,CreditDAY[Customer]&amp;CreditDAY[Договор.Наименование]&amp;CreditDAY[Brand Temp],0)),0)</f>
        <v>0</v>
      </c>
      <c r="C386" s="10"/>
      <c r="D386" s="165">
        <f t="shared" si="62"/>
        <v>0</v>
      </c>
      <c r="E386" s="16">
        <f t="shared" si="63"/>
        <v>0</v>
      </c>
      <c r="F386" s="23">
        <f t="shared" si="64"/>
        <v>44453</v>
      </c>
      <c r="G386" s="27" t="str">
        <f t="array" ref="G386">IF(K386&lt;0,"Advance",INDEX('Days Ranges'!$C$4:$C$12,MATCH(1,($F386&gt;='Days Ranges'!$A$4:$A$12)*($F386&lt;'Days Ranges'!$B$4:$B$12),0)))</f>
        <v>Advance</v>
      </c>
      <c r="H386" s="27" t="str">
        <f t="array" ref="H386">IF(K386&lt;0,"Advance",INDEX('Days Ranges'!$D$4:$D$12,MATCH(1,($F386&gt;'Days Ranges'!$A$4:$A$12)*($F386&lt;'Days Ranges'!$B$4:$B$12),0)))</f>
        <v>Advance</v>
      </c>
      <c r="I386" s="27" t="str">
        <f>IFERROR(IF(IFERROR(REPLACE(O386,FIND("ОПТ ",O386,1),4,""),O386)=0,VLOOKUP(MID(Q386,FIND(" ",Q386,1)+1,3),Brands!$B$2:$C$24,2,0),IFERROR(REPLACE(O386,FIND("ОПТ ",O386,1),4,""),O386)),"Check PLEASE")</f>
        <v>Converse</v>
      </c>
      <c r="J386" s="27" t="str">
        <f>VLOOKUP(I386,Brands!$E$2:$F$21,2,0)</f>
        <v>Converse</v>
      </c>
      <c r="K386" s="23">
        <f t="shared" si="65"/>
        <v>-384334.6</v>
      </c>
      <c r="L386" s="178"/>
      <c r="M386" s="192" t="s">
        <v>292</v>
      </c>
      <c r="N386" s="178"/>
      <c r="O386" s="178"/>
      <c r="P386" s="178"/>
      <c r="Q386" s="85" t="s">
        <v>104</v>
      </c>
      <c r="S386" s="85"/>
      <c r="T386" s="85"/>
      <c r="U386" s="85"/>
      <c r="V386" s="85"/>
      <c r="W386" s="4" t="str">
        <f t="shared" si="35"/>
        <v>Negative</v>
      </c>
      <c r="X386" s="206">
        <v>-384334.6</v>
      </c>
    </row>
    <row r="387" spans="1:24" s="58" customFormat="1" ht="12" x14ac:dyDescent="0.2">
      <c r="A387" s="10" t="str">
        <f t="shared" si="61"/>
        <v>Deposit</v>
      </c>
      <c r="B387" s="13">
        <f t="array" ref="B387">IFERROR(INDEX(CreditDAY[Credit Days Nominal],MATCH(M387&amp;Q387&amp;I387,CreditDAY[Customer]&amp;CreditDAY[Договор.Наименование]&amp;CreditDAY[Brand Temp],0)),0)</f>
        <v>0</v>
      </c>
      <c r="C387" s="10"/>
      <c r="D387" s="165">
        <f t="shared" si="62"/>
        <v>0</v>
      </c>
      <c r="E387" s="16">
        <f t="shared" si="63"/>
        <v>0</v>
      </c>
      <c r="F387" s="23">
        <f t="shared" si="64"/>
        <v>44453</v>
      </c>
      <c r="G387" s="27" t="str">
        <f t="array" ref="G387">IF(K387&lt;0,"Advance",INDEX('Days Ranges'!$C$4:$C$12,MATCH(1,($F387&gt;='Days Ranges'!$A$4:$A$12)*($F387&lt;'Days Ranges'!$B$4:$B$12),0)))</f>
        <v>Advance</v>
      </c>
      <c r="H387" s="27" t="str">
        <f t="array" ref="H387">IF(K387&lt;0,"Advance",INDEX('Days Ranges'!$D$4:$D$12,MATCH(1,($F387&gt;'Days Ranges'!$A$4:$A$12)*($F387&lt;'Days Ranges'!$B$4:$B$12),0)))</f>
        <v>Advance</v>
      </c>
      <c r="I387" s="27" t="str">
        <f>IFERROR(IF(IFERROR(REPLACE(O387,FIND("ОПТ ",O387,1),4,""),O387)=0,VLOOKUP(MID(Q387,FIND(" ",Q387,1)+1,3),Brands!$B$2:$C$24,2,0),IFERROR(REPLACE(O387,FIND("ОПТ ",O387,1),4,""),O387)),"Check PLEASE")</f>
        <v>Converse</v>
      </c>
      <c r="J387" s="27" t="str">
        <f>VLOOKUP(I387,Brands!$E$2:$F$21,2,0)</f>
        <v>Converse</v>
      </c>
      <c r="K387" s="23">
        <f t="shared" si="65"/>
        <v>-552658.24</v>
      </c>
      <c r="L387" s="178"/>
      <c r="M387" s="192" t="s">
        <v>292</v>
      </c>
      <c r="N387" s="178"/>
      <c r="O387" s="178"/>
      <c r="P387" s="178"/>
      <c r="Q387" s="85" t="s">
        <v>38</v>
      </c>
      <c r="S387" s="85"/>
      <c r="T387" s="85"/>
      <c r="U387" s="85"/>
      <c r="V387" s="85"/>
      <c r="W387" s="4" t="str">
        <f t="shared" si="35"/>
        <v>Negative</v>
      </c>
      <c r="X387" s="206">
        <v>-552658.24</v>
      </c>
    </row>
    <row r="388" spans="1:24" s="58" customFormat="1" ht="12" x14ac:dyDescent="0.2">
      <c r="A388" s="10" t="str">
        <f t="shared" si="61"/>
        <v>Deposit</v>
      </c>
      <c r="B388" s="13">
        <f t="array" ref="B388">IFERROR(INDEX(CreditDAY[Credit Days Nominal],MATCH(M388&amp;Q388&amp;I388,CreditDAY[Customer]&amp;CreditDAY[Договор.Наименование]&amp;CreditDAY[Brand Temp],0)),0)</f>
        <v>0</v>
      </c>
      <c r="C388" s="10"/>
      <c r="D388" s="165">
        <f t="shared" si="62"/>
        <v>0</v>
      </c>
      <c r="E388" s="16">
        <f t="shared" si="63"/>
        <v>0</v>
      </c>
      <c r="F388" s="23">
        <f t="shared" si="64"/>
        <v>44453</v>
      </c>
      <c r="G388" s="27" t="str">
        <f t="array" ref="G388">IF(K388&lt;0,"Advance",INDEX('Days Ranges'!$C$4:$C$12,MATCH(1,($F388&gt;='Days Ranges'!$A$4:$A$12)*($F388&lt;'Days Ranges'!$B$4:$B$12),0)))</f>
        <v>Advance</v>
      </c>
      <c r="H388" s="27" t="str">
        <f t="array" ref="H388">IF(K388&lt;0,"Advance",INDEX('Days Ranges'!$D$4:$D$12,MATCH(1,($F388&gt;'Days Ranges'!$A$4:$A$12)*($F388&lt;'Days Ranges'!$B$4:$B$12),0)))</f>
        <v>Advance</v>
      </c>
      <c r="I388" s="27" t="str">
        <f>IFERROR(IF(IFERROR(REPLACE(O388,FIND("ОПТ ",O388,1),4,""),O388)=0,VLOOKUP(MID(Q388,FIND(" ",Q388,1)+1,3),Brands!$B$2:$C$24,2,0),IFERROR(REPLACE(O388,FIND("ОПТ ",O388,1),4,""),O388)),"Check PLEASE")</f>
        <v>Converse</v>
      </c>
      <c r="J388" s="27" t="str">
        <f>VLOOKUP(I388,Brands!$E$2:$F$21,2,0)</f>
        <v>Converse</v>
      </c>
      <c r="K388" s="23">
        <f t="shared" si="65"/>
        <v>-134208</v>
      </c>
      <c r="L388" s="178"/>
      <c r="M388" s="192" t="s">
        <v>1632</v>
      </c>
      <c r="N388" s="178"/>
      <c r="O388" s="178"/>
      <c r="P388" s="178"/>
      <c r="Q388" s="85" t="s">
        <v>1487</v>
      </c>
      <c r="S388" s="85"/>
      <c r="T388" s="85"/>
      <c r="U388" s="85"/>
      <c r="V388" s="85"/>
      <c r="W388" s="4" t="str">
        <f t="shared" si="35"/>
        <v>Negative</v>
      </c>
      <c r="X388" s="206">
        <v>-134208</v>
      </c>
    </row>
    <row r="389" spans="1:24" s="58" customFormat="1" ht="12" x14ac:dyDescent="0.2">
      <c r="A389" s="10" t="str">
        <f t="shared" si="61"/>
        <v>Deposit</v>
      </c>
      <c r="B389" s="13">
        <f t="array" ref="B389">IFERROR(INDEX(CreditDAY[Credit Days Nominal],MATCH(M389&amp;Q389&amp;I389,CreditDAY[Customer]&amp;CreditDAY[Договор.Наименование]&amp;CreditDAY[Brand Temp],0)),0)</f>
        <v>0</v>
      </c>
      <c r="C389" s="10"/>
      <c r="D389" s="165">
        <f t="shared" si="62"/>
        <v>0</v>
      </c>
      <c r="E389" s="16">
        <f t="shared" si="63"/>
        <v>0</v>
      </c>
      <c r="F389" s="23">
        <f t="shared" si="64"/>
        <v>44453</v>
      </c>
      <c r="G389" s="27" t="str">
        <f t="array" ref="G389">IF(K389&lt;0,"Advance",INDEX('Days Ranges'!$C$4:$C$12,MATCH(1,($F389&gt;='Days Ranges'!$A$4:$A$12)*($F389&lt;'Days Ranges'!$B$4:$B$12),0)))</f>
        <v>Advance</v>
      </c>
      <c r="H389" s="27" t="str">
        <f t="array" ref="H389">IF(K389&lt;0,"Advance",INDEX('Days Ranges'!$D$4:$D$12,MATCH(1,($F389&gt;'Days Ranges'!$A$4:$A$12)*($F389&lt;'Days Ranges'!$B$4:$B$12),0)))</f>
        <v>Advance</v>
      </c>
      <c r="I389" s="27" t="str">
        <f>IFERROR(IF(IFERROR(REPLACE(O389,FIND("ОПТ ",O389,1),4,""),O389)=0,VLOOKUP(MID(Q389,FIND(" ",Q389,1)+1,3),Brands!$B$2:$C$24,2,0),IFERROR(REPLACE(O389,FIND("ОПТ ",O389,1),4,""),O389)),"Check PLEASE")</f>
        <v>Havaianas</v>
      </c>
      <c r="J389" s="27" t="str">
        <f>VLOOKUP(I389,Brands!$E$2:$F$21,2,0)</f>
        <v>Havaianas</v>
      </c>
      <c r="K389" s="23">
        <f t="shared" si="65"/>
        <v>-17188.46</v>
      </c>
      <c r="L389" s="178"/>
      <c r="M389" s="192" t="s">
        <v>1632</v>
      </c>
      <c r="N389" s="178"/>
      <c r="O389" s="178"/>
      <c r="P389" s="178"/>
      <c r="Q389" s="85" t="s">
        <v>1548</v>
      </c>
      <c r="S389" s="85"/>
      <c r="T389" s="85"/>
      <c r="U389" s="85"/>
      <c r="V389" s="85"/>
      <c r="W389" s="4" t="str">
        <f t="shared" si="35"/>
        <v>Negative</v>
      </c>
      <c r="X389" s="206">
        <v>-17188.46</v>
      </c>
    </row>
    <row r="390" spans="1:24" s="58" customFormat="1" ht="12" x14ac:dyDescent="0.2">
      <c r="A390" s="10" t="str">
        <f t="shared" si="61"/>
        <v>Deposit</v>
      </c>
      <c r="B390" s="13">
        <f t="array" ref="B390">IFERROR(INDEX(CreditDAY[Credit Days Nominal],MATCH(M390&amp;Q390&amp;I390,CreditDAY[Customer]&amp;CreditDAY[Договор.Наименование]&amp;CreditDAY[Brand Temp],0)),0)</f>
        <v>0</v>
      </c>
      <c r="C390" s="10"/>
      <c r="D390" s="165">
        <f t="shared" si="62"/>
        <v>0</v>
      </c>
      <c r="E390" s="16">
        <f t="shared" si="63"/>
        <v>0</v>
      </c>
      <c r="F390" s="23">
        <f t="shared" si="64"/>
        <v>44453</v>
      </c>
      <c r="G390" s="27" t="str">
        <f t="array" ref="G390">IF(K390&lt;0,"Advance",INDEX('Days Ranges'!$C$4:$C$12,MATCH(1,($F390&gt;='Days Ranges'!$A$4:$A$12)*($F390&lt;'Days Ranges'!$B$4:$B$12),0)))</f>
        <v>Advance</v>
      </c>
      <c r="H390" s="27" t="str">
        <f t="array" ref="H390">IF(K390&lt;0,"Advance",INDEX('Days Ranges'!$D$4:$D$12,MATCH(1,($F390&gt;'Days Ranges'!$A$4:$A$12)*($F390&lt;'Days Ranges'!$B$4:$B$12),0)))</f>
        <v>Advance</v>
      </c>
      <c r="I390" s="27" t="str">
        <f>IFERROR(IF(IFERROR(REPLACE(O390,FIND("ОПТ ",O390,1),4,""),O390)=0,VLOOKUP(MID(Q390,FIND(" ",Q390,1)+1,3),Brands!$B$2:$C$24,2,0),IFERROR(REPLACE(O390,FIND("ОПТ ",O390,1),4,""),O390)),"Check PLEASE")</f>
        <v>Converse</v>
      </c>
      <c r="J390" s="27" t="str">
        <f>VLOOKUP(I390,Brands!$E$2:$F$21,2,0)</f>
        <v>Converse</v>
      </c>
      <c r="K390" s="23">
        <f t="shared" si="65"/>
        <v>-33289.65</v>
      </c>
      <c r="L390" s="178"/>
      <c r="M390" s="192" t="s">
        <v>296</v>
      </c>
      <c r="N390" s="178"/>
      <c r="O390" s="178"/>
      <c r="P390" s="178"/>
      <c r="Q390" s="85" t="s">
        <v>738</v>
      </c>
      <c r="S390" s="85"/>
      <c r="T390" s="85"/>
      <c r="U390" s="85"/>
      <c r="V390" s="85"/>
      <c r="W390" s="4" t="str">
        <f t="shared" si="35"/>
        <v>Negative</v>
      </c>
      <c r="X390" s="206">
        <v>-33289.65</v>
      </c>
    </row>
    <row r="391" spans="1:24" s="58" customFormat="1" ht="12" x14ac:dyDescent="0.2">
      <c r="A391" s="10" t="str">
        <f t="shared" si="61"/>
        <v>Deposit</v>
      </c>
      <c r="B391" s="13">
        <f t="array" ref="B391">IFERROR(INDEX(CreditDAY[Credit Days Nominal],MATCH(M391&amp;Q391&amp;I391,CreditDAY[Customer]&amp;CreditDAY[Договор.Наименование]&amp;CreditDAY[Brand Temp],0)),0)</f>
        <v>0</v>
      </c>
      <c r="C391" s="10"/>
      <c r="D391" s="165">
        <f t="shared" si="62"/>
        <v>0</v>
      </c>
      <c r="E391" s="16">
        <f t="shared" si="63"/>
        <v>0</v>
      </c>
      <c r="F391" s="23">
        <f t="shared" si="64"/>
        <v>44453</v>
      </c>
      <c r="G391" s="27" t="str">
        <f t="array" ref="G391">IF(K391&lt;0,"Advance",INDEX('Days Ranges'!$C$4:$C$12,MATCH(1,($F391&gt;='Days Ranges'!$A$4:$A$12)*($F391&lt;'Days Ranges'!$B$4:$B$12),0)))</f>
        <v>Advance</v>
      </c>
      <c r="H391" s="27" t="str">
        <f t="array" ref="H391">IF(K391&lt;0,"Advance",INDEX('Days Ranges'!$D$4:$D$12,MATCH(1,($F391&gt;'Days Ranges'!$A$4:$A$12)*($F391&lt;'Days Ranges'!$B$4:$B$12),0)))</f>
        <v>Advance</v>
      </c>
      <c r="I391" s="27" t="str">
        <f>IFERROR(IF(IFERROR(REPLACE(O391,FIND("ОПТ ",O391,1),4,""),O391)=0,VLOOKUP(MID(Q391,FIND(" ",Q391,1)+1,3),Brands!$B$2:$C$24,2,0),IFERROR(REPLACE(O391,FIND("ОПТ ",O391,1),4,""),O391)),"Check PLEASE")</f>
        <v>Converse</v>
      </c>
      <c r="J391" s="27" t="str">
        <f>VLOOKUP(I391,Brands!$E$2:$F$21,2,0)</f>
        <v>Converse</v>
      </c>
      <c r="K391" s="23">
        <f t="shared" si="65"/>
        <v>-43844.31</v>
      </c>
      <c r="L391" s="178"/>
      <c r="M391" s="192" t="s">
        <v>296</v>
      </c>
      <c r="N391" s="178"/>
      <c r="O391" s="178"/>
      <c r="P391" s="178"/>
      <c r="Q391" s="85" t="s">
        <v>1429</v>
      </c>
      <c r="S391" s="85"/>
      <c r="T391" s="85"/>
      <c r="U391" s="85"/>
      <c r="V391" s="85"/>
      <c r="W391" s="4" t="str">
        <f t="shared" ref="W391:W407" si="66">IF(X391&lt;0,"Negative","Positive")</f>
        <v>Negative</v>
      </c>
      <c r="X391" s="206">
        <v>-43844.31</v>
      </c>
    </row>
    <row r="392" spans="1:24" s="58" customFormat="1" ht="12" x14ac:dyDescent="0.2">
      <c r="A392" s="10" t="str">
        <f t="shared" si="61"/>
        <v>Deposit</v>
      </c>
      <c r="B392" s="13">
        <f t="array" ref="B392">IFERROR(INDEX(CreditDAY[Credit Days Nominal],MATCH(M392&amp;Q392&amp;I392,CreditDAY[Customer]&amp;CreditDAY[Договор.Наименование]&amp;CreditDAY[Brand Temp],0)),0)</f>
        <v>0</v>
      </c>
      <c r="C392" s="10"/>
      <c r="D392" s="165">
        <f t="shared" si="62"/>
        <v>0</v>
      </c>
      <c r="E392" s="16">
        <f t="shared" si="63"/>
        <v>0</v>
      </c>
      <c r="F392" s="23">
        <f t="shared" si="64"/>
        <v>44453</v>
      </c>
      <c r="G392" s="27" t="str">
        <f t="array" ref="G392">IF(K392&lt;0,"Advance",INDEX('Days Ranges'!$C$4:$C$12,MATCH(1,($F392&gt;='Days Ranges'!$A$4:$A$12)*($F392&lt;'Days Ranges'!$B$4:$B$12),0)))</f>
        <v>Advance</v>
      </c>
      <c r="H392" s="27" t="str">
        <f t="array" ref="H392">IF(K392&lt;0,"Advance",INDEX('Days Ranges'!$D$4:$D$12,MATCH(1,($F392&gt;'Days Ranges'!$A$4:$A$12)*($F392&lt;'Days Ranges'!$B$4:$B$12),0)))</f>
        <v>Advance</v>
      </c>
      <c r="I392" s="27" t="str">
        <f>IFERROR(IF(IFERROR(REPLACE(O392,FIND("ОПТ ",O392,1),4,""),O392)=0,VLOOKUP(MID(Q392,FIND(" ",Q392,1)+1,3),Brands!$B$2:$C$24,2,0),IFERROR(REPLACE(O392,FIND("ОПТ ",O392,1),4,""),O392)),"Check PLEASE")</f>
        <v>Dr.Martens</v>
      </c>
      <c r="J392" s="27" t="str">
        <f>VLOOKUP(I392,Brands!$E$2:$F$21,2,0)</f>
        <v>Dr.Martens</v>
      </c>
      <c r="K392" s="23">
        <f t="shared" si="65"/>
        <v>-384036.65</v>
      </c>
      <c r="L392" s="178"/>
      <c r="M392" s="192" t="s">
        <v>296</v>
      </c>
      <c r="N392" s="178"/>
      <c r="O392" s="178"/>
      <c r="P392" s="178"/>
      <c r="Q392" s="85" t="s">
        <v>724</v>
      </c>
      <c r="S392" s="85"/>
      <c r="T392" s="85"/>
      <c r="U392" s="85"/>
      <c r="V392" s="85"/>
      <c r="W392" s="4" t="str">
        <f t="shared" si="66"/>
        <v>Negative</v>
      </c>
      <c r="X392" s="206">
        <v>-384036.65</v>
      </c>
    </row>
    <row r="393" spans="1:24" s="58" customFormat="1" ht="12" x14ac:dyDescent="0.2">
      <c r="A393" s="10" t="str">
        <f t="shared" ref="A393:A407" si="67">IFERROR(LEFT(L393,FIND("УТ",L393,1)-2),IF(ISERROR(FIND("Платежное",L393,1)),"Deposit","Платежное поручение входящее"))</f>
        <v>Deposit</v>
      </c>
      <c r="B393" s="13">
        <f t="array" ref="B393">IFERROR(INDEX(CreditDAY[Credit Days Nominal],MATCH(M393&amp;Q393&amp;I393,CreditDAY[Customer]&amp;CreditDAY[Договор.Наименование]&amp;CreditDAY[Brand Temp],0)),0)</f>
        <v>0</v>
      </c>
      <c r="C393" s="10"/>
      <c r="D393" s="165">
        <f t="shared" ref="D393:D407" si="68">DATE(YEAR(N393),MONTH(N393),DAY(N393))</f>
        <v>0</v>
      </c>
      <c r="E393" s="16">
        <f t="shared" ref="E393:E407" si="69">N393+B393+C393</f>
        <v>0</v>
      </c>
      <c r="F393" s="23">
        <f t="shared" ref="F393:F407" si="70">IFERROR($B$1-E393,100000)</f>
        <v>44453</v>
      </c>
      <c r="G393" s="27" t="str">
        <f t="array" ref="G393">IF(K393&lt;0,"Advance",INDEX('Days Ranges'!$C$4:$C$12,MATCH(1,($F393&gt;='Days Ranges'!$A$4:$A$12)*($F393&lt;'Days Ranges'!$B$4:$B$12),0)))</f>
        <v>Advance</v>
      </c>
      <c r="H393" s="27" t="str">
        <f t="array" ref="H393">IF(K393&lt;0,"Advance",INDEX('Days Ranges'!$D$4:$D$12,MATCH(1,($F393&gt;'Days Ranges'!$A$4:$A$12)*($F393&lt;'Days Ranges'!$B$4:$B$12),0)))</f>
        <v>Advance</v>
      </c>
      <c r="I393" s="27" t="str">
        <f>IFERROR(IF(IFERROR(REPLACE(O393,FIND("ОПТ ",O393,1),4,""),O393)=0,VLOOKUP(MID(Q393,FIND(" ",Q393,1)+1,3),Brands!$B$2:$C$24,2,0),IFERROR(REPLACE(O393,FIND("ОПТ ",O393,1),4,""),O393)),"Check PLEASE")</f>
        <v>Dr.Martens</v>
      </c>
      <c r="J393" s="27" t="str">
        <f>VLOOKUP(I393,Brands!$E$2:$F$21,2,0)</f>
        <v>Dr.Martens</v>
      </c>
      <c r="K393" s="23">
        <f t="shared" ref="K393:K407" si="71">X393</f>
        <v>-77641</v>
      </c>
      <c r="L393" s="178"/>
      <c r="M393" s="192" t="s">
        <v>296</v>
      </c>
      <c r="N393" s="178"/>
      <c r="O393" s="178"/>
      <c r="P393" s="178"/>
      <c r="Q393" s="85" t="s">
        <v>1494</v>
      </c>
      <c r="S393" s="85"/>
      <c r="T393" s="85"/>
      <c r="U393" s="85"/>
      <c r="V393" s="85"/>
      <c r="W393" s="4" t="str">
        <f t="shared" si="66"/>
        <v>Negative</v>
      </c>
      <c r="X393" s="182">
        <v>-77641</v>
      </c>
    </row>
    <row r="394" spans="1:24" s="58" customFormat="1" ht="12" x14ac:dyDescent="0.2">
      <c r="A394" s="10" t="str">
        <f t="shared" si="67"/>
        <v>Deposit</v>
      </c>
      <c r="B394" s="13">
        <f t="array" ref="B394">IFERROR(INDEX(CreditDAY[Credit Days Nominal],MATCH(M394&amp;Q394&amp;I394,CreditDAY[Customer]&amp;CreditDAY[Договор.Наименование]&amp;CreditDAY[Brand Temp],0)),0)</f>
        <v>0</v>
      </c>
      <c r="C394" s="10"/>
      <c r="D394" s="165">
        <f t="shared" si="68"/>
        <v>0</v>
      </c>
      <c r="E394" s="16">
        <f t="shared" si="69"/>
        <v>0</v>
      </c>
      <c r="F394" s="23">
        <f t="shared" si="70"/>
        <v>44453</v>
      </c>
      <c r="G394" s="27" t="str">
        <f t="array" ref="G394">IF(K394&lt;0,"Advance",INDEX('Days Ranges'!$C$4:$C$12,MATCH(1,($F394&gt;='Days Ranges'!$A$4:$A$12)*($F394&lt;'Days Ranges'!$B$4:$B$12),0)))</f>
        <v>Advance</v>
      </c>
      <c r="H394" s="27" t="str">
        <f t="array" ref="H394">IF(K394&lt;0,"Advance",INDEX('Days Ranges'!$D$4:$D$12,MATCH(1,($F394&gt;'Days Ranges'!$A$4:$A$12)*($F394&lt;'Days Ranges'!$B$4:$B$12),0)))</f>
        <v>Advance</v>
      </c>
      <c r="I394" s="27" t="str">
        <f>IFERROR(IF(IFERROR(REPLACE(O394,FIND("ОПТ ",O394,1),4,""),O394)=0,VLOOKUP(MID(Q394,FIND(" ",Q394,1)+1,3),Brands!$B$2:$C$24,2,0),IFERROR(REPLACE(O394,FIND("ОПТ ",O394,1),4,""),O394)),"Check PLEASE")</f>
        <v>Converse</v>
      </c>
      <c r="J394" s="27" t="str">
        <f>VLOOKUP(I394,Brands!$E$2:$F$21,2,0)</f>
        <v>Converse</v>
      </c>
      <c r="K394" s="23">
        <f t="shared" si="71"/>
        <v>-294350.56</v>
      </c>
      <c r="L394" s="178"/>
      <c r="M394" s="192" t="s">
        <v>315</v>
      </c>
      <c r="N394" s="178"/>
      <c r="O394" s="178"/>
      <c r="P394" s="178"/>
      <c r="Q394" s="85" t="s">
        <v>42</v>
      </c>
      <c r="S394" s="85"/>
      <c r="T394" s="85"/>
      <c r="U394" s="85"/>
      <c r="V394" s="85"/>
      <c r="W394" s="4" t="str">
        <f t="shared" si="66"/>
        <v>Negative</v>
      </c>
      <c r="X394" s="182">
        <v>-294350.56</v>
      </c>
    </row>
    <row r="395" spans="1:24" s="58" customFormat="1" ht="12" x14ac:dyDescent="0.2">
      <c r="A395" s="10" t="str">
        <f t="shared" si="67"/>
        <v>Deposit</v>
      </c>
      <c r="B395" s="13">
        <f t="array" ref="B395">IFERROR(INDEX(CreditDAY[Credit Days Nominal],MATCH(M395&amp;Q395&amp;I395,CreditDAY[Customer]&amp;CreditDAY[Договор.Наименование]&amp;CreditDAY[Brand Temp],0)),0)</f>
        <v>0</v>
      </c>
      <c r="C395" s="10"/>
      <c r="D395" s="165">
        <f t="shared" si="68"/>
        <v>0</v>
      </c>
      <c r="E395" s="16">
        <f t="shared" si="69"/>
        <v>0</v>
      </c>
      <c r="F395" s="23">
        <f t="shared" si="70"/>
        <v>44453</v>
      </c>
      <c r="G395" s="27" t="str">
        <f t="array" ref="G395">IF(K395&lt;0,"Advance",INDEX('Days Ranges'!$C$4:$C$12,MATCH(1,($F395&gt;='Days Ranges'!$A$4:$A$12)*($F395&lt;'Days Ranges'!$B$4:$B$12),0)))</f>
        <v>Advance</v>
      </c>
      <c r="H395" s="27" t="str">
        <f t="array" ref="H395">IF(K395&lt;0,"Advance",INDEX('Days Ranges'!$D$4:$D$12,MATCH(1,($F395&gt;'Days Ranges'!$A$4:$A$12)*($F395&lt;'Days Ranges'!$B$4:$B$12),0)))</f>
        <v>Advance</v>
      </c>
      <c r="I395" s="27" t="str">
        <f>IFERROR(IF(IFERROR(REPLACE(O395,FIND("ОПТ ",O395,1),4,""),O395)=0,VLOOKUP(MID(Q395,FIND(" ",Q395,1)+1,3),Brands!$B$2:$C$24,2,0),IFERROR(REPLACE(O395,FIND("ОПТ ",O395,1),4,""),O395)),"Check PLEASE")</f>
        <v>Converse</v>
      </c>
      <c r="J395" s="27" t="str">
        <f>VLOOKUP(I395,Brands!$E$2:$F$21,2,0)</f>
        <v>Converse</v>
      </c>
      <c r="K395" s="23">
        <f t="shared" si="71"/>
        <v>-0.12</v>
      </c>
      <c r="L395" s="178"/>
      <c r="M395" s="192" t="s">
        <v>315</v>
      </c>
      <c r="N395" s="178"/>
      <c r="O395" s="178"/>
      <c r="P395" s="178"/>
      <c r="Q395" s="85" t="s">
        <v>38</v>
      </c>
      <c r="S395" s="85"/>
      <c r="T395" s="85"/>
      <c r="U395" s="85"/>
      <c r="V395" s="85"/>
      <c r="W395" s="4" t="str">
        <f t="shared" si="66"/>
        <v>Negative</v>
      </c>
      <c r="X395" s="182">
        <v>-0.12</v>
      </c>
    </row>
    <row r="396" spans="1:24" s="58" customFormat="1" ht="12" x14ac:dyDescent="0.2">
      <c r="A396" s="10" t="str">
        <f t="shared" si="67"/>
        <v>Deposit</v>
      </c>
      <c r="B396" s="13">
        <f t="array" ref="B396">IFERROR(INDEX(CreditDAY[Credit Days Nominal],MATCH(M396&amp;Q396&amp;I396,CreditDAY[Customer]&amp;CreditDAY[Договор.Наименование]&amp;CreditDAY[Brand Temp],0)),0)</f>
        <v>0</v>
      </c>
      <c r="C396" s="10"/>
      <c r="D396" s="165">
        <f t="shared" si="68"/>
        <v>0</v>
      </c>
      <c r="E396" s="16">
        <f t="shared" si="69"/>
        <v>0</v>
      </c>
      <c r="F396" s="23">
        <f t="shared" si="70"/>
        <v>44453</v>
      </c>
      <c r="G396" s="27" t="str">
        <f t="array" ref="G396">IF(K396&lt;0,"Advance",INDEX('Days Ranges'!$C$4:$C$12,MATCH(1,($F396&gt;='Days Ranges'!$A$4:$A$12)*($F396&lt;'Days Ranges'!$B$4:$B$12),0)))</f>
        <v>Advance</v>
      </c>
      <c r="H396" s="27" t="str">
        <f t="array" ref="H396">IF(K396&lt;0,"Advance",INDEX('Days Ranges'!$D$4:$D$12,MATCH(1,($F396&gt;'Days Ranges'!$A$4:$A$12)*($F396&lt;'Days Ranges'!$B$4:$B$12),0)))</f>
        <v>Advance</v>
      </c>
      <c r="I396" s="27" t="str">
        <f>IFERROR(IF(IFERROR(REPLACE(O396,FIND("ОПТ ",O396,1),4,""),O396)=0,VLOOKUP(MID(Q396,FIND(" ",Q396,1)+1,3),Brands!$B$2:$C$24,2,0),IFERROR(REPLACE(O396,FIND("ОПТ ",O396,1),4,""),O396)),"Check PLEASE")</f>
        <v>Converse</v>
      </c>
      <c r="J396" s="27" t="str">
        <f>VLOOKUP(I396,Brands!$E$2:$F$21,2,0)</f>
        <v>Converse</v>
      </c>
      <c r="K396" s="23">
        <f t="shared" si="71"/>
        <v>-241890.85</v>
      </c>
      <c r="L396" s="178"/>
      <c r="M396" s="192" t="s">
        <v>315</v>
      </c>
      <c r="N396" s="178"/>
      <c r="O396" s="178"/>
      <c r="P396" s="178"/>
      <c r="Q396" s="85" t="s">
        <v>1429</v>
      </c>
      <c r="S396" s="85"/>
      <c r="T396" s="85"/>
      <c r="U396" s="85"/>
      <c r="V396" s="85"/>
      <c r="W396" s="4" t="str">
        <f t="shared" si="66"/>
        <v>Negative</v>
      </c>
      <c r="X396" s="182">
        <v>-241890.85</v>
      </c>
    </row>
    <row r="397" spans="1:24" s="58" customFormat="1" ht="12" x14ac:dyDescent="0.2">
      <c r="A397" s="10" t="str">
        <f t="shared" si="67"/>
        <v>Deposit</v>
      </c>
      <c r="B397" s="13">
        <f t="array" ref="B397">IFERROR(INDEX(CreditDAY[Credit Days Nominal],MATCH(M397&amp;Q397&amp;I397,CreditDAY[Customer]&amp;CreditDAY[Договор.Наименование]&amp;CreditDAY[Brand Temp],0)),0)</f>
        <v>0</v>
      </c>
      <c r="C397" s="10"/>
      <c r="D397" s="165">
        <f t="shared" si="68"/>
        <v>0</v>
      </c>
      <c r="E397" s="16">
        <f t="shared" si="69"/>
        <v>0</v>
      </c>
      <c r="F397" s="23">
        <f t="shared" si="70"/>
        <v>44453</v>
      </c>
      <c r="G397" s="27" t="str">
        <f t="array" ref="G397">IF(K397&lt;0,"Advance",INDEX('Days Ranges'!$C$4:$C$12,MATCH(1,($F397&gt;='Days Ranges'!$A$4:$A$12)*($F397&lt;'Days Ranges'!$B$4:$B$12),0)))</f>
        <v>Advance</v>
      </c>
      <c r="H397" s="27" t="str">
        <f t="array" ref="H397">IF(K397&lt;0,"Advance",INDEX('Days Ranges'!$D$4:$D$12,MATCH(1,($F397&gt;'Days Ranges'!$A$4:$A$12)*($F397&lt;'Days Ranges'!$B$4:$B$12),0)))</f>
        <v>Advance</v>
      </c>
      <c r="I397" s="27" t="str">
        <f>IFERROR(IF(IFERROR(REPLACE(O397,FIND("ОПТ ",O397,1),4,""),O397)=0,VLOOKUP(MID(Q397,FIND(" ",Q397,1)+1,3),Brands!$B$2:$C$24,2,0),IFERROR(REPLACE(O397,FIND("ОПТ ",O397,1),4,""),O397)),"Check PLEASE")</f>
        <v>Dr.Martens</v>
      </c>
      <c r="J397" s="27" t="str">
        <f>VLOOKUP(I397,Brands!$E$2:$F$21,2,0)</f>
        <v>Dr.Martens</v>
      </c>
      <c r="K397" s="23">
        <f t="shared" si="71"/>
        <v>-287183.90999999997</v>
      </c>
      <c r="L397" s="178"/>
      <c r="M397" s="192" t="s">
        <v>315</v>
      </c>
      <c r="N397" s="178"/>
      <c r="O397" s="178"/>
      <c r="P397" s="178"/>
      <c r="Q397" s="85" t="s">
        <v>724</v>
      </c>
      <c r="S397" s="85"/>
      <c r="T397" s="85"/>
      <c r="U397" s="85"/>
      <c r="V397" s="85"/>
      <c r="W397" s="4" t="str">
        <f t="shared" si="66"/>
        <v>Negative</v>
      </c>
      <c r="X397" s="182">
        <v>-287183.90999999997</v>
      </c>
    </row>
    <row r="398" spans="1:24" s="58" customFormat="1" ht="12" x14ac:dyDescent="0.2">
      <c r="A398" s="10" t="str">
        <f t="shared" si="67"/>
        <v>Deposit</v>
      </c>
      <c r="B398" s="13">
        <f t="array" ref="B398">IFERROR(INDEX(CreditDAY[Credit Days Nominal],MATCH(M398&amp;Q398&amp;I398,CreditDAY[Customer]&amp;CreditDAY[Договор.Наименование]&amp;CreditDAY[Brand Temp],0)),0)</f>
        <v>0</v>
      </c>
      <c r="C398" s="10"/>
      <c r="D398" s="165">
        <f t="shared" si="68"/>
        <v>0</v>
      </c>
      <c r="E398" s="16">
        <f t="shared" si="69"/>
        <v>0</v>
      </c>
      <c r="F398" s="23">
        <f t="shared" si="70"/>
        <v>44453</v>
      </c>
      <c r="G398" s="27" t="str">
        <f t="array" ref="G398">IF(K398&lt;0,"Advance",INDEX('Days Ranges'!$C$4:$C$12,MATCH(1,($F398&gt;='Days Ranges'!$A$4:$A$12)*($F398&lt;'Days Ranges'!$B$4:$B$12),0)))</f>
        <v>Advance</v>
      </c>
      <c r="H398" s="27" t="str">
        <f t="array" ref="H398">IF(K398&lt;0,"Advance",INDEX('Days Ranges'!$D$4:$D$12,MATCH(1,($F398&gt;'Days Ranges'!$A$4:$A$12)*($F398&lt;'Days Ranges'!$B$4:$B$12),0)))</f>
        <v>Advance</v>
      </c>
      <c r="I398" s="27" t="str">
        <f>IFERROR(IF(IFERROR(REPLACE(O398,FIND("ОПТ ",O398,1),4,""),O398)=0,VLOOKUP(MID(Q398,FIND(" ",Q398,1)+1,3),Brands!$B$2:$C$24,2,0),IFERROR(REPLACE(O398,FIND("ОПТ ",O398,1),4,""),O398)),"Check PLEASE")</f>
        <v>Dr.Martens</v>
      </c>
      <c r="J398" s="27" t="str">
        <f>VLOOKUP(I398,Brands!$E$2:$F$21,2,0)</f>
        <v>Dr.Martens</v>
      </c>
      <c r="K398" s="23">
        <f t="shared" si="71"/>
        <v>-251493.6</v>
      </c>
      <c r="L398" s="178"/>
      <c r="M398" s="192" t="s">
        <v>315</v>
      </c>
      <c r="N398" s="178"/>
      <c r="O398" s="178"/>
      <c r="P398" s="178"/>
      <c r="Q398" s="85" t="s">
        <v>739</v>
      </c>
      <c r="S398" s="85"/>
      <c r="T398" s="85"/>
      <c r="U398" s="85"/>
      <c r="V398" s="85"/>
      <c r="W398" s="4" t="str">
        <f t="shared" si="66"/>
        <v>Negative</v>
      </c>
      <c r="X398" s="182">
        <v>-251493.6</v>
      </c>
    </row>
    <row r="399" spans="1:24" s="58" customFormat="1" ht="12" x14ac:dyDescent="0.2">
      <c r="A399" s="10" t="str">
        <f t="shared" si="67"/>
        <v>Deposit</v>
      </c>
      <c r="B399" s="13">
        <f t="array" ref="B399">IFERROR(INDEX(CreditDAY[Credit Days Nominal],MATCH(M399&amp;Q399&amp;I399,CreditDAY[Customer]&amp;CreditDAY[Договор.Наименование]&amp;CreditDAY[Brand Temp],0)),0)</f>
        <v>0</v>
      </c>
      <c r="C399" s="10"/>
      <c r="D399" s="165">
        <f t="shared" si="68"/>
        <v>0</v>
      </c>
      <c r="E399" s="16">
        <f t="shared" si="69"/>
        <v>0</v>
      </c>
      <c r="F399" s="23">
        <f t="shared" si="70"/>
        <v>44453</v>
      </c>
      <c r="G399" s="27" t="str">
        <f t="array" ref="G399">IF(K399&lt;0,"Advance",INDEX('Days Ranges'!$C$4:$C$12,MATCH(1,($F399&gt;='Days Ranges'!$A$4:$A$12)*($F399&lt;'Days Ranges'!$B$4:$B$12),0)))</f>
        <v>Advance</v>
      </c>
      <c r="H399" s="27" t="str">
        <f t="array" ref="H399">IF(K399&lt;0,"Advance",INDEX('Days Ranges'!$D$4:$D$12,MATCH(1,($F399&gt;'Days Ranges'!$A$4:$A$12)*($F399&lt;'Days Ranges'!$B$4:$B$12),0)))</f>
        <v>Advance</v>
      </c>
      <c r="I399" s="27" t="str">
        <f>IFERROR(IF(IFERROR(REPLACE(O399,FIND("ОПТ ",O399,1),4,""),O399)=0,VLOOKUP(MID(Q399,FIND(" ",Q399,1)+1,3),Brands!$B$2:$C$24,2,0),IFERROR(REPLACE(O399,FIND("ОПТ ",O399,1),4,""),O399)),"Check PLEASE")</f>
        <v>Dr.Martens</v>
      </c>
      <c r="J399" s="27" t="str">
        <f>VLOOKUP(I399,Brands!$E$2:$F$21,2,0)</f>
        <v>Dr.Martens</v>
      </c>
      <c r="K399" s="23">
        <f t="shared" si="71"/>
        <v>-197942.56</v>
      </c>
      <c r="L399" s="178"/>
      <c r="M399" s="192" t="s">
        <v>315</v>
      </c>
      <c r="N399" s="178"/>
      <c r="O399" s="178"/>
      <c r="P399" s="178"/>
      <c r="Q399" s="85" t="s">
        <v>1484</v>
      </c>
      <c r="S399" s="85"/>
      <c r="T399" s="85"/>
      <c r="U399" s="85"/>
      <c r="V399" s="85"/>
      <c r="W399" s="4" t="str">
        <f t="shared" si="66"/>
        <v>Negative</v>
      </c>
      <c r="X399" s="182">
        <v>-197942.56</v>
      </c>
    </row>
    <row r="400" spans="1:24" s="58" customFormat="1" ht="12" x14ac:dyDescent="0.2">
      <c r="A400" s="10" t="str">
        <f t="shared" si="67"/>
        <v>Deposit</v>
      </c>
      <c r="B400" s="13">
        <f t="array" ref="B400">IFERROR(INDEX(CreditDAY[Credit Days Nominal],MATCH(M400&amp;Q400&amp;I400,CreditDAY[Customer]&amp;CreditDAY[Договор.Наименование]&amp;CreditDAY[Brand Temp],0)),0)</f>
        <v>0</v>
      </c>
      <c r="C400" s="10"/>
      <c r="D400" s="165">
        <f t="shared" si="68"/>
        <v>0</v>
      </c>
      <c r="E400" s="16">
        <f t="shared" si="69"/>
        <v>0</v>
      </c>
      <c r="F400" s="23">
        <f t="shared" si="70"/>
        <v>44453</v>
      </c>
      <c r="G400" s="27" t="str">
        <f t="array" ref="G400">IF(K400&lt;0,"Advance",INDEX('Days Ranges'!$C$4:$C$12,MATCH(1,($F400&gt;='Days Ranges'!$A$4:$A$12)*($F400&lt;'Days Ranges'!$B$4:$B$12),0)))</f>
        <v>Advance</v>
      </c>
      <c r="H400" s="27" t="str">
        <f t="array" ref="H400">IF(K400&lt;0,"Advance",INDEX('Days Ranges'!$D$4:$D$12,MATCH(1,($F400&gt;'Days Ranges'!$A$4:$A$12)*($F400&lt;'Days Ranges'!$B$4:$B$12),0)))</f>
        <v>Advance</v>
      </c>
      <c r="I400" s="27" t="str">
        <f>IFERROR(IF(IFERROR(REPLACE(O400,FIND("ОПТ ",O400,1),4,""),O400)=0,VLOOKUP(MID(Q400,FIND(" ",Q400,1)+1,3),Brands!$B$2:$C$24,2,0),IFERROR(REPLACE(O400,FIND("ОПТ ",O400,1),4,""),O400)),"Check PLEASE")</f>
        <v>Saucony</v>
      </c>
      <c r="J400" s="27" t="str">
        <f>VLOOKUP(I400,Brands!$E$2:$F$21,2,0)</f>
        <v>Saucony</v>
      </c>
      <c r="K400" s="23">
        <f t="shared" si="71"/>
        <v>-72521.31</v>
      </c>
      <c r="L400" s="178"/>
      <c r="M400" s="192" t="s">
        <v>315</v>
      </c>
      <c r="N400" s="178"/>
      <c r="O400" s="178"/>
      <c r="P400" s="178"/>
      <c r="Q400" s="85" t="s">
        <v>1393</v>
      </c>
      <c r="S400" s="85"/>
      <c r="T400" s="85"/>
      <c r="U400" s="85"/>
      <c r="V400" s="85"/>
      <c r="W400" s="4" t="str">
        <f t="shared" si="66"/>
        <v>Negative</v>
      </c>
      <c r="X400" s="182">
        <v>-72521.31</v>
      </c>
    </row>
    <row r="401" spans="1:24" s="58" customFormat="1" ht="12" x14ac:dyDescent="0.2">
      <c r="A401" s="10" t="str">
        <f t="shared" si="67"/>
        <v>Deposit</v>
      </c>
      <c r="B401" s="13">
        <f t="array" ref="B401">IFERROR(INDEX(CreditDAY[Credit Days Nominal],MATCH(M401&amp;Q401&amp;I401,CreditDAY[Customer]&amp;CreditDAY[Договор.Наименование]&amp;CreditDAY[Brand Temp],0)),0)</f>
        <v>0</v>
      </c>
      <c r="C401" s="10"/>
      <c r="D401" s="165">
        <f t="shared" si="68"/>
        <v>0</v>
      </c>
      <c r="E401" s="16">
        <f t="shared" si="69"/>
        <v>0</v>
      </c>
      <c r="F401" s="23">
        <f t="shared" si="70"/>
        <v>44453</v>
      </c>
      <c r="G401" s="27" t="str">
        <f t="array" ref="G401">IF(K401&lt;0,"Advance",INDEX('Days Ranges'!$C$4:$C$12,MATCH(1,($F401&gt;='Days Ranges'!$A$4:$A$12)*($F401&lt;'Days Ranges'!$B$4:$B$12),0)))</f>
        <v>Advance</v>
      </c>
      <c r="H401" s="27" t="str">
        <f t="array" ref="H401">IF(K401&lt;0,"Advance",INDEX('Days Ranges'!$D$4:$D$12,MATCH(1,($F401&gt;'Days Ranges'!$A$4:$A$12)*($F401&lt;'Days Ranges'!$B$4:$B$12),0)))</f>
        <v>Advance</v>
      </c>
      <c r="I401" s="27" t="str">
        <f>IFERROR(IF(IFERROR(REPLACE(O401,FIND("ОПТ ",O401,1),4,""),O401)=0,VLOOKUP(MID(Q401,FIND(" ",Q401,1)+1,3),Brands!$B$2:$C$24,2,0),IFERROR(REPLACE(O401,FIND("ОПТ ",O401,1),4,""),O401)),"Check PLEASE")</f>
        <v>Converse</v>
      </c>
      <c r="J401" s="27" t="str">
        <f>VLOOKUP(I401,Brands!$E$2:$F$21,2,0)</f>
        <v>Converse</v>
      </c>
      <c r="K401" s="23">
        <f t="shared" si="71"/>
        <v>-329792.7</v>
      </c>
      <c r="L401" s="178"/>
      <c r="M401" s="192" t="s">
        <v>324</v>
      </c>
      <c r="N401" s="178"/>
      <c r="O401" s="178"/>
      <c r="P401" s="178"/>
      <c r="Q401" s="85" t="s">
        <v>1429</v>
      </c>
      <c r="S401" s="85"/>
      <c r="T401" s="85"/>
      <c r="U401" s="85"/>
      <c r="V401" s="85"/>
      <c r="W401" s="4" t="str">
        <f t="shared" si="66"/>
        <v>Negative</v>
      </c>
      <c r="X401" s="182">
        <v>-329792.7</v>
      </c>
    </row>
    <row r="402" spans="1:24" s="58" customFormat="1" ht="12" x14ac:dyDescent="0.2">
      <c r="A402" s="10" t="str">
        <f t="shared" si="67"/>
        <v>Deposit</v>
      </c>
      <c r="B402" s="13">
        <f t="array" ref="B402">IFERROR(INDEX(CreditDAY[Credit Days Nominal],MATCH(M402&amp;Q402&amp;I402,CreditDAY[Customer]&amp;CreditDAY[Договор.Наименование]&amp;CreditDAY[Brand Temp],0)),0)</f>
        <v>0</v>
      </c>
      <c r="C402" s="10"/>
      <c r="D402" s="165">
        <f t="shared" si="68"/>
        <v>0</v>
      </c>
      <c r="E402" s="16">
        <f t="shared" si="69"/>
        <v>0</v>
      </c>
      <c r="F402" s="23">
        <f t="shared" si="70"/>
        <v>44453</v>
      </c>
      <c r="G402" s="27" t="str">
        <f t="array" ref="G402">IF(K402&lt;0,"Advance",INDEX('Days Ranges'!$C$4:$C$12,MATCH(1,($F402&gt;='Days Ranges'!$A$4:$A$12)*($F402&lt;'Days Ranges'!$B$4:$B$12),0)))</f>
        <v>Advance</v>
      </c>
      <c r="H402" s="27" t="str">
        <f t="array" ref="H402">IF(K402&lt;0,"Advance",INDEX('Days Ranges'!$D$4:$D$12,MATCH(1,($F402&gt;'Days Ranges'!$A$4:$A$12)*($F402&lt;'Days Ranges'!$B$4:$B$12),0)))</f>
        <v>Advance</v>
      </c>
      <c r="I402" s="27" t="str">
        <f>IFERROR(IF(IFERROR(REPLACE(O402,FIND("ОПТ ",O402,1),4,""),O402)=0,VLOOKUP(MID(Q402,FIND(" ",Q402,1)+1,3),Brands!$B$2:$C$24,2,0),IFERROR(REPLACE(O402,FIND("ОПТ ",O402,1),4,""),O402)),"Check PLEASE")</f>
        <v>Dr.Martens</v>
      </c>
      <c r="J402" s="27" t="str">
        <f>VLOOKUP(I402,Brands!$E$2:$F$21,2,0)</f>
        <v>Dr.Martens</v>
      </c>
      <c r="K402" s="23">
        <f t="shared" si="71"/>
        <v>-189464.85</v>
      </c>
      <c r="L402" s="178"/>
      <c r="M402" s="192" t="s">
        <v>324</v>
      </c>
      <c r="N402" s="178"/>
      <c r="O402" s="178"/>
      <c r="P402" s="178"/>
      <c r="Q402" s="85" t="s">
        <v>728</v>
      </c>
      <c r="S402" s="85"/>
      <c r="T402" s="85"/>
      <c r="U402" s="85"/>
      <c r="V402" s="85"/>
      <c r="W402" s="4" t="str">
        <f t="shared" si="66"/>
        <v>Negative</v>
      </c>
      <c r="X402" s="182">
        <v>-189464.85</v>
      </c>
    </row>
    <row r="403" spans="1:24" s="58" customFormat="1" ht="12" x14ac:dyDescent="0.2">
      <c r="A403" s="10" t="str">
        <f t="shared" si="67"/>
        <v>Deposit</v>
      </c>
      <c r="B403" s="13">
        <f t="array" ref="B403">IFERROR(INDEX(CreditDAY[Credit Days Nominal],MATCH(M403&amp;Q403&amp;I403,CreditDAY[Customer]&amp;CreditDAY[Договор.Наименование]&amp;CreditDAY[Brand Temp],0)),0)</f>
        <v>0</v>
      </c>
      <c r="C403" s="10"/>
      <c r="D403" s="165">
        <f t="shared" si="68"/>
        <v>0</v>
      </c>
      <c r="E403" s="16">
        <f t="shared" si="69"/>
        <v>0</v>
      </c>
      <c r="F403" s="23">
        <f t="shared" si="70"/>
        <v>44453</v>
      </c>
      <c r="G403" s="27" t="str">
        <f t="array" ref="G403">IF(K403&lt;0,"Advance",INDEX('Days Ranges'!$C$4:$C$12,MATCH(1,($F403&gt;='Days Ranges'!$A$4:$A$12)*($F403&lt;'Days Ranges'!$B$4:$B$12),0)))</f>
        <v>Advance</v>
      </c>
      <c r="H403" s="27" t="str">
        <f t="array" ref="H403">IF(K403&lt;0,"Advance",INDEX('Days Ranges'!$D$4:$D$12,MATCH(1,($F403&gt;'Days Ranges'!$A$4:$A$12)*($F403&lt;'Days Ranges'!$B$4:$B$12),0)))</f>
        <v>Advance</v>
      </c>
      <c r="I403" s="27" t="str">
        <f>IFERROR(IF(IFERROR(REPLACE(O403,FIND("ОПТ ",O403,1),4,""),O403)=0,VLOOKUP(MID(Q403,FIND(" ",Q403,1)+1,3),Brands!$B$2:$C$24,2,0),IFERROR(REPLACE(O403,FIND("ОПТ ",O403,1),4,""),O403)),"Check PLEASE")</f>
        <v>Saucony</v>
      </c>
      <c r="J403" s="27" t="str">
        <f>VLOOKUP(I403,Brands!$E$2:$F$21,2,0)</f>
        <v>Saucony</v>
      </c>
      <c r="K403" s="23">
        <f t="shared" si="71"/>
        <v>-25023.45</v>
      </c>
      <c r="L403" s="178"/>
      <c r="M403" s="192" t="s">
        <v>324</v>
      </c>
      <c r="N403" s="178"/>
      <c r="O403" s="178"/>
      <c r="P403" s="178"/>
      <c r="Q403" s="85" t="s">
        <v>325</v>
      </c>
      <c r="S403" s="85"/>
      <c r="T403" s="85"/>
      <c r="U403" s="85"/>
      <c r="V403" s="85"/>
      <c r="W403" s="4" t="str">
        <f t="shared" si="66"/>
        <v>Negative</v>
      </c>
      <c r="X403" s="182">
        <v>-25023.45</v>
      </c>
    </row>
    <row r="404" spans="1:24" s="58" customFormat="1" ht="12" x14ac:dyDescent="0.2">
      <c r="A404" s="10" t="str">
        <f t="shared" si="67"/>
        <v>Deposit</v>
      </c>
      <c r="B404" s="13">
        <f t="array" ref="B404">IFERROR(INDEX(CreditDAY[Credit Days Nominal],MATCH(M404&amp;Q404&amp;I404,CreditDAY[Customer]&amp;CreditDAY[Договор.Наименование]&amp;CreditDAY[Brand Temp],0)),0)</f>
        <v>0</v>
      </c>
      <c r="C404" s="10"/>
      <c r="D404" s="165">
        <f t="shared" si="68"/>
        <v>0</v>
      </c>
      <c r="E404" s="16">
        <f t="shared" si="69"/>
        <v>0</v>
      </c>
      <c r="F404" s="23">
        <f t="shared" si="70"/>
        <v>44453</v>
      </c>
      <c r="G404" s="27" t="str">
        <f t="array" ref="G404">IF(K404&lt;0,"Advance",INDEX('Days Ranges'!$C$4:$C$12,MATCH(1,($F404&gt;='Days Ranges'!$A$4:$A$12)*($F404&lt;'Days Ranges'!$B$4:$B$12),0)))</f>
        <v>Advance</v>
      </c>
      <c r="H404" s="27" t="str">
        <f t="array" ref="H404">IF(K404&lt;0,"Advance",INDEX('Days Ranges'!$D$4:$D$12,MATCH(1,($F404&gt;'Days Ranges'!$A$4:$A$12)*($F404&lt;'Days Ranges'!$B$4:$B$12),0)))</f>
        <v>Advance</v>
      </c>
      <c r="I404" s="27" t="str">
        <f>IFERROR(IF(IFERROR(REPLACE(O404,FIND("ОПТ ",O404,1),4,""),O404)=0,VLOOKUP(MID(Q404,FIND(" ",Q404,1)+1,3),Brands!$B$2:$C$24,2,0),IFERROR(REPLACE(O404,FIND("ОПТ ",O404,1),4,""),O404)),"Check PLEASE")</f>
        <v>UGG</v>
      </c>
      <c r="J404" s="27" t="str">
        <f>VLOOKUP(I404,Brands!$E$2:$F$21,2,0)</f>
        <v>UGG</v>
      </c>
      <c r="K404" s="23">
        <f t="shared" si="71"/>
        <v>-85944.35</v>
      </c>
      <c r="L404" s="86"/>
      <c r="M404" s="86" t="s">
        <v>327</v>
      </c>
      <c r="N404" s="86"/>
      <c r="O404" s="86"/>
      <c r="P404" s="86"/>
      <c r="Q404" s="85" t="s">
        <v>725</v>
      </c>
      <c r="S404" s="85"/>
      <c r="T404" s="85"/>
      <c r="U404" s="85"/>
      <c r="V404" s="85"/>
      <c r="W404" s="4" t="str">
        <f t="shared" si="66"/>
        <v>Negative</v>
      </c>
      <c r="X404" s="85">
        <v>-85944.35</v>
      </c>
    </row>
    <row r="405" spans="1:24" s="58" customFormat="1" ht="12" x14ac:dyDescent="0.2">
      <c r="A405" s="10" t="str">
        <f t="shared" si="67"/>
        <v>Deposit</v>
      </c>
      <c r="B405" s="13">
        <f t="array" ref="B405">IFERROR(INDEX(CreditDAY[Credit Days Nominal],MATCH(M405&amp;Q405&amp;I405,CreditDAY[Customer]&amp;CreditDAY[Договор.Наименование]&amp;CreditDAY[Brand Temp],0)),0)</f>
        <v>0</v>
      </c>
      <c r="C405" s="10"/>
      <c r="D405" s="165">
        <f t="shared" si="68"/>
        <v>0</v>
      </c>
      <c r="E405" s="16">
        <f t="shared" si="69"/>
        <v>0</v>
      </c>
      <c r="F405" s="23">
        <f t="shared" si="70"/>
        <v>44453</v>
      </c>
      <c r="G405" s="27" t="str">
        <f t="array" ref="G405">IF(K405&lt;0,"Advance",INDEX('Days Ranges'!$C$4:$C$12,MATCH(1,($F405&gt;='Days Ranges'!$A$4:$A$12)*($F405&lt;'Days Ranges'!$B$4:$B$12),0)))</f>
        <v>Advance</v>
      </c>
      <c r="H405" s="27" t="str">
        <f t="array" ref="H405">IF(K405&lt;0,"Advance",INDEX('Days Ranges'!$D$4:$D$12,MATCH(1,($F405&gt;'Days Ranges'!$A$4:$A$12)*($F405&lt;'Days Ranges'!$B$4:$B$12),0)))</f>
        <v>Advance</v>
      </c>
      <c r="I405" s="27" t="str">
        <f>IFERROR(IF(IFERROR(REPLACE(O405,FIND("ОПТ ",O405,1),4,""),O405)=0,VLOOKUP(MID(Q405,FIND(" ",Q405,1)+1,3),Brands!$B$2:$C$24,2,0),IFERROR(REPLACE(O405,FIND("ОПТ ",O405,1),4,""),O405)),"Check PLEASE")</f>
        <v>Converse</v>
      </c>
      <c r="J405" s="27" t="str">
        <f>VLOOKUP(I405,Brands!$E$2:$F$21,2,0)</f>
        <v>Converse</v>
      </c>
      <c r="K405" s="23">
        <f t="shared" si="71"/>
        <v>-2256</v>
      </c>
      <c r="L405" s="86"/>
      <c r="M405" s="86" t="s">
        <v>328</v>
      </c>
      <c r="N405" s="86"/>
      <c r="O405" s="86"/>
      <c r="P405" s="86"/>
      <c r="Q405" s="85" t="s">
        <v>38</v>
      </c>
      <c r="S405" s="85"/>
      <c r="T405" s="85"/>
      <c r="U405" s="85"/>
      <c r="V405" s="85"/>
      <c r="W405" s="4" t="str">
        <f t="shared" si="66"/>
        <v>Negative</v>
      </c>
      <c r="X405" s="85">
        <v>-2256</v>
      </c>
    </row>
    <row r="406" spans="1:24" s="58" customFormat="1" ht="12" x14ac:dyDescent="0.2">
      <c r="A406" s="10" t="str">
        <f t="shared" si="67"/>
        <v>Deposit</v>
      </c>
      <c r="B406" s="13">
        <f t="array" ref="B406">IFERROR(INDEX(CreditDAY[Credit Days Nominal],MATCH(M406&amp;Q406&amp;I406,CreditDAY[Customer]&amp;CreditDAY[Договор.Наименование]&amp;CreditDAY[Brand Temp],0)),0)</f>
        <v>0</v>
      </c>
      <c r="C406" s="10"/>
      <c r="D406" s="165">
        <f t="shared" si="68"/>
        <v>0</v>
      </c>
      <c r="E406" s="16">
        <f t="shared" si="69"/>
        <v>0</v>
      </c>
      <c r="F406" s="23">
        <f t="shared" si="70"/>
        <v>44453</v>
      </c>
      <c r="G406" s="27" t="str">
        <f t="array" ref="G406">IF(K406&lt;0,"Advance",INDEX('Days Ranges'!$C$4:$C$12,MATCH(1,($F406&gt;='Days Ranges'!$A$4:$A$12)*($F406&lt;'Days Ranges'!$B$4:$B$12),0)))</f>
        <v>Advance</v>
      </c>
      <c r="H406" s="27" t="str">
        <f t="array" ref="H406">IF(K406&lt;0,"Advance",INDEX('Days Ranges'!$D$4:$D$12,MATCH(1,($F406&gt;'Days Ranges'!$A$4:$A$12)*($F406&lt;'Days Ranges'!$B$4:$B$12),0)))</f>
        <v>Advance</v>
      </c>
      <c r="I406" s="27" t="str">
        <f>IFERROR(IF(IFERROR(REPLACE(O406,FIND("ОПТ ",O406,1),4,""),O406)=0,VLOOKUP(MID(Q406,FIND(" ",Q406,1)+1,3),Brands!$B$2:$C$24,2,0),IFERROR(REPLACE(O406,FIND("ОПТ ",O406,1),4,""),O406)),"Check PLEASE")</f>
        <v>Converse</v>
      </c>
      <c r="J406" s="27" t="str">
        <f>VLOOKUP(I406,Brands!$E$2:$F$21,2,0)</f>
        <v>Converse</v>
      </c>
      <c r="K406" s="23">
        <f t="shared" si="71"/>
        <v>-50000</v>
      </c>
      <c r="L406" s="86"/>
      <c r="M406" s="86" t="s">
        <v>328</v>
      </c>
      <c r="N406" s="86"/>
      <c r="O406" s="86"/>
      <c r="P406" s="86"/>
      <c r="Q406" s="85" t="s">
        <v>1429</v>
      </c>
      <c r="S406" s="85"/>
      <c r="T406" s="85"/>
      <c r="U406" s="85"/>
      <c r="V406" s="85"/>
      <c r="W406" s="4" t="str">
        <f t="shared" si="66"/>
        <v>Negative</v>
      </c>
      <c r="X406" s="85">
        <v>-50000</v>
      </c>
    </row>
    <row r="407" spans="1:24" s="58" customFormat="1" ht="12" x14ac:dyDescent="0.2">
      <c r="A407" s="10" t="str">
        <f t="shared" si="67"/>
        <v>Deposit</v>
      </c>
      <c r="B407" s="13">
        <f t="array" ref="B407">IFERROR(INDEX(CreditDAY[Credit Days Nominal],MATCH(M407&amp;Q407&amp;I407,CreditDAY[Customer]&amp;CreditDAY[Договор.Наименование]&amp;CreditDAY[Brand Temp],0)),0)</f>
        <v>0</v>
      </c>
      <c r="C407" s="10"/>
      <c r="D407" s="165">
        <f t="shared" si="68"/>
        <v>0</v>
      </c>
      <c r="E407" s="16">
        <f t="shared" si="69"/>
        <v>0</v>
      </c>
      <c r="F407" s="23">
        <f t="shared" si="70"/>
        <v>44453</v>
      </c>
      <c r="G407" s="27" t="str">
        <f t="array" ref="G407">IF(K407&lt;0,"Advance",INDEX('Days Ranges'!$C$4:$C$12,MATCH(1,($F407&gt;='Days Ranges'!$A$4:$A$12)*($F407&lt;'Days Ranges'!$B$4:$B$12),0)))</f>
        <v>Advance</v>
      </c>
      <c r="H407" s="27" t="str">
        <f t="array" ref="H407">IF(K407&lt;0,"Advance",INDEX('Days Ranges'!$D$4:$D$12,MATCH(1,($F407&gt;'Days Ranges'!$A$4:$A$12)*($F407&lt;'Days Ranges'!$B$4:$B$12),0)))</f>
        <v>Advance</v>
      </c>
      <c r="I407" s="27" t="str">
        <f>IFERROR(IF(IFERROR(REPLACE(O407,FIND("ОПТ ",O407,1),4,""),O407)=0,VLOOKUP(MID(Q407,FIND(" ",Q407,1)+1,3),Brands!$B$2:$C$24,2,0),IFERROR(REPLACE(O407,FIND("ОПТ ",O407,1),4,""),O407)),"Check PLEASE")</f>
        <v>Converse</v>
      </c>
      <c r="J407" s="27" t="str">
        <f>VLOOKUP(I407,Brands!$E$2:$F$21,2,0)</f>
        <v>Converse</v>
      </c>
      <c r="K407" s="23">
        <f t="shared" si="71"/>
        <v>-50000</v>
      </c>
      <c r="L407" s="86"/>
      <c r="M407" s="86" t="s">
        <v>328</v>
      </c>
      <c r="N407" s="86"/>
      <c r="O407" s="86"/>
      <c r="P407" s="86"/>
      <c r="Q407" s="85" t="s">
        <v>39</v>
      </c>
      <c r="S407" s="85"/>
      <c r="T407" s="85"/>
      <c r="U407" s="85"/>
      <c r="V407" s="85"/>
      <c r="W407" s="4" t="str">
        <f t="shared" si="66"/>
        <v>Negative</v>
      </c>
      <c r="X407" s="85">
        <v>-50000</v>
      </c>
    </row>
    <row r="408" spans="1:24" s="58" customFormat="1" ht="12" x14ac:dyDescent="0.2">
      <c r="A408" s="10"/>
      <c r="B408" s="13"/>
      <c r="C408" s="10"/>
      <c r="D408" s="165"/>
      <c r="E408" s="16"/>
      <c r="F408" s="23"/>
      <c r="G408" s="27"/>
      <c r="H408" s="27"/>
      <c r="I408" s="27"/>
      <c r="J408" s="27"/>
      <c r="K408" s="23"/>
      <c r="L408" s="86"/>
      <c r="M408" s="86"/>
      <c r="N408" s="86"/>
      <c r="O408" s="86"/>
      <c r="P408" s="86"/>
      <c r="Q408" s="85"/>
      <c r="S408" s="85"/>
      <c r="T408" s="85"/>
      <c r="U408" s="85"/>
      <c r="V408" s="85"/>
      <c r="W408" s="4"/>
      <c r="X408" s="85"/>
    </row>
    <row r="409" spans="1:24" s="58" customFormat="1" ht="12" x14ac:dyDescent="0.2">
      <c r="A409" s="10"/>
      <c r="B409" s="13"/>
      <c r="C409" s="10"/>
      <c r="D409" s="165"/>
      <c r="E409" s="16"/>
      <c r="F409" s="23"/>
      <c r="G409" s="27"/>
      <c r="H409" s="27"/>
      <c r="I409" s="27"/>
      <c r="J409" s="27"/>
      <c r="K409" s="23"/>
      <c r="L409" s="86"/>
      <c r="M409" s="86"/>
      <c r="N409" s="86"/>
      <c r="O409" s="86"/>
      <c r="P409" s="86"/>
      <c r="Q409" s="85"/>
      <c r="S409" s="85"/>
      <c r="T409" s="85"/>
      <c r="U409" s="85"/>
      <c r="V409" s="85"/>
      <c r="W409" s="4"/>
      <c r="X409" s="85"/>
    </row>
    <row r="410" spans="1:24" s="58" customFormat="1" ht="12" x14ac:dyDescent="0.2">
      <c r="A410" s="10"/>
      <c r="B410" s="13"/>
      <c r="C410" s="10"/>
      <c r="D410" s="165"/>
      <c r="E410" s="16"/>
      <c r="F410" s="23"/>
      <c r="G410" s="27"/>
      <c r="H410" s="27"/>
      <c r="I410" s="27"/>
      <c r="J410" s="27"/>
      <c r="K410" s="23"/>
      <c r="L410" s="86"/>
      <c r="M410" s="86"/>
      <c r="N410" s="86"/>
      <c r="O410" s="86"/>
      <c r="P410" s="86"/>
      <c r="Q410" s="85"/>
      <c r="S410" s="85"/>
      <c r="T410" s="85"/>
      <c r="U410" s="85"/>
      <c r="V410" s="85"/>
      <c r="W410" s="4"/>
      <c r="X410" s="85"/>
    </row>
    <row r="411" spans="1:24" s="58" customFormat="1" ht="12" x14ac:dyDescent="0.2">
      <c r="A411" s="10"/>
      <c r="B411" s="13"/>
      <c r="C411" s="10"/>
      <c r="D411" s="165"/>
      <c r="E411" s="16"/>
      <c r="F411" s="23"/>
      <c r="G411" s="27"/>
      <c r="H411" s="27"/>
      <c r="I411" s="27"/>
      <c r="J411" s="27"/>
      <c r="K411" s="23"/>
      <c r="L411" s="86"/>
      <c r="M411" s="86"/>
      <c r="N411" s="86"/>
      <c r="O411" s="86"/>
      <c r="P411" s="86"/>
      <c r="Q411" s="85"/>
      <c r="S411" s="85"/>
      <c r="T411" s="85"/>
      <c r="U411" s="85"/>
      <c r="V411" s="85"/>
      <c r="W411" s="4"/>
      <c r="X411" s="85"/>
    </row>
    <row r="412" spans="1:24" s="58" customFormat="1" ht="12" x14ac:dyDescent="0.2">
      <c r="A412" s="10"/>
      <c r="B412" s="13"/>
      <c r="C412" s="10"/>
      <c r="D412" s="165"/>
      <c r="E412" s="16"/>
      <c r="F412" s="23"/>
      <c r="G412" s="27"/>
      <c r="H412" s="27"/>
      <c r="I412" s="27"/>
      <c r="J412" s="27"/>
      <c r="K412" s="23"/>
      <c r="L412" s="86"/>
      <c r="M412" s="86"/>
      <c r="N412" s="86"/>
      <c r="O412" s="86"/>
      <c r="P412" s="86"/>
      <c r="Q412" s="85"/>
      <c r="S412" s="85"/>
      <c r="T412" s="85"/>
      <c r="U412" s="85"/>
      <c r="V412" s="85"/>
      <c r="W412" s="4"/>
      <c r="X412" s="85"/>
    </row>
    <row r="413" spans="1:24" s="58" customFormat="1" ht="12" x14ac:dyDescent="0.2">
      <c r="A413" s="10"/>
      <c r="B413" s="13"/>
      <c r="C413" s="10"/>
      <c r="D413" s="165"/>
      <c r="E413" s="16"/>
      <c r="F413" s="23"/>
      <c r="G413" s="27"/>
      <c r="H413" s="27"/>
      <c r="I413" s="27"/>
      <c r="J413" s="27"/>
      <c r="K413" s="23"/>
      <c r="L413" s="86"/>
      <c r="M413" s="86"/>
      <c r="N413" s="86"/>
      <c r="O413" s="86"/>
      <c r="P413" s="86"/>
      <c r="Q413" s="85"/>
      <c r="S413" s="85"/>
      <c r="T413" s="85"/>
      <c r="U413" s="85"/>
      <c r="V413" s="85"/>
      <c r="W413" s="4"/>
      <c r="X413" s="85"/>
    </row>
    <row r="414" spans="1:24" s="58" customFormat="1" ht="12" x14ac:dyDescent="0.2">
      <c r="A414" s="10"/>
      <c r="B414" s="13"/>
      <c r="C414" s="10"/>
      <c r="D414" s="165"/>
      <c r="E414" s="16"/>
      <c r="F414" s="23"/>
      <c r="G414" s="27"/>
      <c r="H414" s="27"/>
      <c r="I414" s="27"/>
      <c r="J414" s="27"/>
      <c r="K414" s="23"/>
      <c r="L414" s="86"/>
      <c r="M414" s="86"/>
      <c r="N414" s="86"/>
      <c r="O414" s="86"/>
      <c r="P414" s="86"/>
      <c r="Q414" s="85"/>
      <c r="S414" s="85"/>
      <c r="T414" s="85"/>
      <c r="U414" s="85"/>
      <c r="V414" s="85"/>
      <c r="W414" s="4"/>
      <c r="X414" s="85"/>
    </row>
    <row r="415" spans="1:24" s="58" customFormat="1" ht="12" x14ac:dyDescent="0.2">
      <c r="A415" s="10"/>
      <c r="B415" s="13"/>
      <c r="C415" s="10"/>
      <c r="D415" s="165"/>
      <c r="E415" s="16"/>
      <c r="F415" s="23"/>
      <c r="G415" s="27"/>
      <c r="H415" s="27"/>
      <c r="I415" s="27"/>
      <c r="J415" s="27"/>
      <c r="K415" s="23"/>
      <c r="L415" s="86"/>
      <c r="M415" s="86"/>
      <c r="N415" s="86"/>
      <c r="O415" s="86"/>
      <c r="P415" s="86"/>
      <c r="Q415" s="85"/>
      <c r="S415" s="85"/>
      <c r="T415" s="85"/>
      <c r="U415" s="85"/>
      <c r="V415" s="85"/>
      <c r="W415" s="4"/>
      <c r="X415" s="85"/>
    </row>
    <row r="416" spans="1:24" s="58" customFormat="1" ht="12" x14ac:dyDescent="0.2">
      <c r="A416" s="10"/>
      <c r="B416" s="13"/>
      <c r="C416" s="10"/>
      <c r="D416" s="165"/>
      <c r="E416" s="16"/>
      <c r="F416" s="23"/>
      <c r="G416" s="27"/>
      <c r="H416" s="27"/>
      <c r="I416" s="27"/>
      <c r="J416" s="27"/>
      <c r="K416" s="23"/>
      <c r="L416" s="86"/>
      <c r="M416" s="86"/>
      <c r="N416" s="86"/>
      <c r="O416" s="86"/>
      <c r="P416" s="86"/>
      <c r="Q416" s="85"/>
      <c r="S416" s="85"/>
      <c r="T416" s="85"/>
      <c r="U416" s="85"/>
      <c r="V416" s="85"/>
      <c r="W416" s="4"/>
      <c r="X416" s="85"/>
    </row>
    <row r="417" spans="1:24" s="58" customFormat="1" ht="12" x14ac:dyDescent="0.2">
      <c r="A417" s="10"/>
      <c r="B417" s="13"/>
      <c r="C417" s="10"/>
      <c r="D417" s="165"/>
      <c r="E417" s="16"/>
      <c r="F417" s="23"/>
      <c r="G417" s="27"/>
      <c r="H417" s="27"/>
      <c r="I417" s="27"/>
      <c r="J417" s="27"/>
      <c r="K417" s="23"/>
      <c r="L417" s="86"/>
      <c r="M417" s="86"/>
      <c r="N417" s="86"/>
      <c r="O417" s="86"/>
      <c r="P417" s="86"/>
      <c r="Q417" s="85"/>
      <c r="S417" s="85"/>
      <c r="T417" s="85"/>
      <c r="U417" s="85"/>
      <c r="V417" s="85"/>
      <c r="W417" s="4"/>
      <c r="X417" s="85"/>
    </row>
    <row r="418" spans="1:24" s="58" customFormat="1" ht="12" x14ac:dyDescent="0.2">
      <c r="A418" s="10"/>
      <c r="B418" s="13"/>
      <c r="C418" s="10"/>
      <c r="D418" s="165"/>
      <c r="E418" s="16"/>
      <c r="F418" s="23"/>
      <c r="G418" s="27"/>
      <c r="H418" s="27"/>
      <c r="I418" s="27"/>
      <c r="J418" s="27"/>
      <c r="K418" s="23"/>
      <c r="L418" s="86"/>
      <c r="M418" s="86"/>
      <c r="N418" s="86"/>
      <c r="O418" s="86"/>
      <c r="P418" s="86"/>
      <c r="Q418" s="85"/>
      <c r="S418" s="85"/>
      <c r="T418" s="85"/>
      <c r="U418" s="85"/>
      <c r="V418" s="85"/>
      <c r="W418" s="4"/>
      <c r="X418" s="85"/>
    </row>
    <row r="419" spans="1:24" s="58" customFormat="1" ht="12" x14ac:dyDescent="0.2">
      <c r="A419" s="10"/>
      <c r="B419" s="13"/>
      <c r="C419" s="10"/>
      <c r="D419" s="165"/>
      <c r="E419" s="16"/>
      <c r="F419" s="23"/>
      <c r="G419" s="27"/>
      <c r="H419" s="27"/>
      <c r="I419" s="27"/>
      <c r="J419" s="27"/>
      <c r="K419" s="23"/>
      <c r="L419" s="86"/>
      <c r="M419" s="86"/>
      <c r="N419" s="86"/>
      <c r="O419" s="86"/>
      <c r="P419" s="86"/>
      <c r="Q419" s="85"/>
      <c r="S419" s="85"/>
      <c r="T419" s="85"/>
      <c r="U419" s="85"/>
      <c r="V419" s="85"/>
      <c r="W419" s="4"/>
      <c r="X419" s="85"/>
    </row>
    <row r="420" spans="1:24" s="58" customFormat="1" ht="12" x14ac:dyDescent="0.2">
      <c r="A420" s="10"/>
      <c r="B420" s="13"/>
      <c r="C420" s="10"/>
      <c r="D420" s="165"/>
      <c r="E420" s="16"/>
      <c r="F420" s="23"/>
      <c r="G420" s="27"/>
      <c r="H420" s="27"/>
      <c r="I420" s="27"/>
      <c r="J420" s="27"/>
      <c r="K420" s="23"/>
      <c r="L420" s="86"/>
      <c r="M420" s="86"/>
      <c r="N420" s="86"/>
      <c r="O420" s="86"/>
      <c r="P420" s="86"/>
      <c r="Q420" s="85"/>
      <c r="S420" s="85"/>
      <c r="T420" s="85"/>
      <c r="U420" s="85"/>
      <c r="V420" s="85"/>
      <c r="W420" s="4"/>
      <c r="X420" s="85"/>
    </row>
    <row r="421" spans="1:24" s="58" customFormat="1" ht="12" x14ac:dyDescent="0.2">
      <c r="A421" s="10"/>
      <c r="B421" s="13"/>
      <c r="C421" s="10"/>
      <c r="D421" s="165"/>
      <c r="E421" s="16"/>
      <c r="F421" s="23"/>
      <c r="G421" s="27"/>
      <c r="H421" s="27"/>
      <c r="I421" s="27"/>
      <c r="J421" s="27"/>
      <c r="K421" s="23"/>
      <c r="L421" s="86"/>
      <c r="M421" s="86"/>
      <c r="N421" s="86"/>
      <c r="O421" s="86"/>
      <c r="P421" s="86"/>
      <c r="Q421" s="85"/>
      <c r="S421" s="85"/>
      <c r="T421" s="85"/>
      <c r="U421" s="85"/>
      <c r="V421" s="85"/>
      <c r="W421" s="4"/>
      <c r="X421" s="85"/>
    </row>
    <row r="422" spans="1:24" s="58" customFormat="1" ht="12" x14ac:dyDescent="0.2">
      <c r="A422" s="10"/>
      <c r="B422" s="13"/>
      <c r="C422" s="10"/>
      <c r="D422" s="165"/>
      <c r="E422" s="16"/>
      <c r="F422" s="23"/>
      <c r="G422" s="27"/>
      <c r="H422" s="27"/>
      <c r="I422" s="27"/>
      <c r="J422" s="27"/>
      <c r="K422" s="23"/>
      <c r="L422" s="86"/>
      <c r="M422" s="86"/>
      <c r="N422" s="86"/>
      <c r="O422" s="86"/>
      <c r="P422" s="86"/>
      <c r="Q422" s="85"/>
      <c r="S422" s="85"/>
      <c r="T422" s="85"/>
      <c r="U422" s="85"/>
      <c r="V422" s="85"/>
      <c r="W422" s="4"/>
      <c r="X422" s="85"/>
    </row>
    <row r="423" spans="1:24" s="58" customFormat="1" ht="12" x14ac:dyDescent="0.2">
      <c r="A423" s="10"/>
      <c r="B423" s="13"/>
      <c r="C423" s="10"/>
      <c r="D423" s="165"/>
      <c r="E423" s="16"/>
      <c r="F423" s="23"/>
      <c r="G423" s="27"/>
      <c r="H423" s="27"/>
      <c r="I423" s="27"/>
      <c r="J423" s="27"/>
      <c r="K423" s="23"/>
      <c r="L423" s="86"/>
      <c r="M423" s="86"/>
      <c r="N423" s="86"/>
      <c r="O423" s="86"/>
      <c r="P423" s="86"/>
      <c r="Q423" s="85"/>
      <c r="S423" s="85"/>
      <c r="T423" s="85"/>
      <c r="U423" s="85"/>
      <c r="V423" s="85"/>
      <c r="W423" s="4"/>
      <c r="X423" s="85"/>
    </row>
    <row r="424" spans="1:24" s="58" customFormat="1" ht="12" x14ac:dyDescent="0.2">
      <c r="B424" s="91"/>
      <c r="E424" s="92"/>
      <c r="F424" s="93"/>
      <c r="G424" s="94"/>
      <c r="H424" s="94"/>
      <c r="I424" s="94"/>
      <c r="J424" s="94"/>
      <c r="K424" s="93"/>
      <c r="L424" s="86"/>
      <c r="M424" s="86"/>
      <c r="N424" s="86"/>
      <c r="O424" s="86"/>
      <c r="P424" s="86"/>
      <c r="Q424" s="85"/>
      <c r="S424" s="85"/>
      <c r="T424" s="85"/>
      <c r="U424" s="85"/>
      <c r="V424" s="85"/>
      <c r="W424" s="85"/>
      <c r="X424" s="85"/>
    </row>
    <row r="425" spans="1:24" s="58" customFormat="1" ht="12" x14ac:dyDescent="0.2">
      <c r="B425" s="91"/>
      <c r="E425" s="92"/>
      <c r="F425" s="93"/>
      <c r="G425" s="94"/>
      <c r="H425" s="94"/>
      <c r="I425" s="94"/>
      <c r="J425" s="94"/>
      <c r="K425" s="93"/>
      <c r="L425" s="86"/>
      <c r="M425" s="86"/>
      <c r="N425" s="86"/>
      <c r="O425" s="86"/>
      <c r="P425" s="86"/>
      <c r="Q425" s="85"/>
      <c r="S425" s="85"/>
      <c r="T425" s="85"/>
      <c r="U425" s="85"/>
      <c r="V425" s="85"/>
      <c r="W425" s="85"/>
      <c r="X425" s="85"/>
    </row>
    <row r="426" spans="1:24" s="58" customFormat="1" ht="12" x14ac:dyDescent="0.2">
      <c r="B426" s="91"/>
      <c r="E426" s="92"/>
      <c r="F426" s="93"/>
      <c r="G426" s="94"/>
      <c r="H426" s="94"/>
      <c r="I426" s="94"/>
      <c r="J426" s="94"/>
      <c r="K426" s="93"/>
      <c r="L426" s="86"/>
      <c r="M426" s="86"/>
      <c r="N426" s="86"/>
      <c r="O426" s="86"/>
      <c r="P426" s="86"/>
      <c r="Q426" s="85"/>
      <c r="S426" s="85"/>
      <c r="T426" s="85"/>
      <c r="U426" s="85"/>
      <c r="V426" s="85"/>
      <c r="W426" s="85"/>
      <c r="X426" s="85"/>
    </row>
    <row r="427" spans="1:24" s="58" customFormat="1" ht="12" x14ac:dyDescent="0.2">
      <c r="B427" s="91"/>
      <c r="E427" s="92"/>
      <c r="F427" s="93"/>
      <c r="G427" s="94"/>
      <c r="H427" s="94"/>
      <c r="I427" s="94"/>
      <c r="J427" s="94"/>
      <c r="K427" s="93"/>
      <c r="L427" s="86"/>
      <c r="M427" s="86"/>
      <c r="N427" s="86"/>
      <c r="O427" s="86"/>
      <c r="P427" s="86"/>
      <c r="Q427" s="85"/>
      <c r="S427" s="85"/>
      <c r="T427" s="85"/>
      <c r="U427" s="85"/>
      <c r="V427" s="85"/>
      <c r="W427" s="85"/>
      <c r="X427" s="85"/>
    </row>
    <row r="428" spans="1:24" s="58" customFormat="1" ht="12" x14ac:dyDescent="0.2">
      <c r="B428" s="91"/>
      <c r="E428" s="92"/>
      <c r="F428" s="93"/>
      <c r="G428" s="94"/>
      <c r="H428" s="94"/>
      <c r="I428" s="94"/>
      <c r="J428" s="94"/>
      <c r="K428" s="93"/>
      <c r="L428" s="86"/>
      <c r="M428" s="86"/>
      <c r="N428" s="86"/>
      <c r="O428" s="86"/>
      <c r="P428" s="86"/>
      <c r="Q428" s="85"/>
      <c r="S428" s="85"/>
      <c r="T428" s="85"/>
      <c r="U428" s="85"/>
      <c r="V428" s="85"/>
      <c r="W428" s="85"/>
      <c r="X428" s="85"/>
    </row>
    <row r="429" spans="1:24" s="58" customFormat="1" ht="12" x14ac:dyDescent="0.2">
      <c r="B429" s="91"/>
      <c r="E429" s="92"/>
      <c r="F429" s="93"/>
      <c r="G429" s="94"/>
      <c r="H429" s="94"/>
      <c r="I429" s="94"/>
      <c r="J429" s="94"/>
      <c r="K429" s="93"/>
      <c r="L429" s="86"/>
      <c r="M429" s="86"/>
      <c r="N429" s="86"/>
      <c r="O429" s="86"/>
      <c r="P429" s="86"/>
      <c r="Q429" s="85"/>
      <c r="S429" s="85"/>
      <c r="T429" s="85"/>
      <c r="U429" s="85"/>
      <c r="V429" s="85"/>
      <c r="W429" s="85"/>
      <c r="X429" s="85"/>
    </row>
    <row r="430" spans="1:24" s="58" customFormat="1" ht="12" x14ac:dyDescent="0.2">
      <c r="B430" s="91"/>
      <c r="E430" s="92"/>
      <c r="F430" s="93"/>
      <c r="G430" s="94"/>
      <c r="H430" s="94"/>
      <c r="I430" s="94"/>
      <c r="J430" s="94"/>
      <c r="K430" s="93"/>
      <c r="L430" s="86"/>
      <c r="M430" s="86"/>
      <c r="N430" s="86"/>
      <c r="O430" s="86"/>
      <c r="P430" s="86"/>
      <c r="Q430" s="85"/>
      <c r="S430" s="85"/>
      <c r="T430" s="85"/>
      <c r="U430" s="85"/>
      <c r="V430" s="85"/>
      <c r="W430" s="85"/>
      <c r="X430" s="85"/>
    </row>
    <row r="431" spans="1:24" s="58" customFormat="1" ht="12" x14ac:dyDescent="0.2">
      <c r="B431" s="91"/>
      <c r="E431" s="92"/>
      <c r="F431" s="93"/>
      <c r="G431" s="94"/>
      <c r="H431" s="94"/>
      <c r="I431" s="94"/>
      <c r="J431" s="94"/>
      <c r="K431" s="93"/>
      <c r="L431" s="86"/>
      <c r="M431" s="86"/>
      <c r="N431" s="86"/>
      <c r="O431" s="86"/>
      <c r="P431" s="86"/>
      <c r="Q431" s="85"/>
      <c r="S431" s="85"/>
      <c r="T431" s="85"/>
      <c r="U431" s="85"/>
      <c r="V431" s="85"/>
      <c r="W431" s="85"/>
      <c r="X431" s="85"/>
    </row>
    <row r="432" spans="1:24" s="58" customFormat="1" ht="12" x14ac:dyDescent="0.2">
      <c r="B432" s="91"/>
      <c r="E432" s="92"/>
      <c r="F432" s="93"/>
      <c r="G432" s="94"/>
      <c r="H432" s="94"/>
      <c r="I432" s="94"/>
      <c r="J432" s="94"/>
      <c r="K432" s="93"/>
      <c r="L432" s="86"/>
      <c r="M432" s="86"/>
      <c r="N432" s="86"/>
      <c r="O432" s="86"/>
      <c r="P432" s="86"/>
      <c r="Q432" s="85"/>
      <c r="S432" s="85"/>
      <c r="T432" s="85"/>
      <c r="U432" s="85"/>
      <c r="V432" s="85"/>
      <c r="W432" s="85"/>
      <c r="X432" s="85"/>
    </row>
    <row r="433" spans="2:24" s="58" customFormat="1" ht="12" x14ac:dyDescent="0.2">
      <c r="B433" s="91"/>
      <c r="E433" s="92"/>
      <c r="F433" s="93"/>
      <c r="G433" s="94"/>
      <c r="H433" s="94"/>
      <c r="I433" s="94"/>
      <c r="J433" s="94"/>
      <c r="K433" s="93"/>
      <c r="L433" s="86"/>
      <c r="M433" s="86"/>
      <c r="N433" s="86"/>
      <c r="O433" s="86"/>
      <c r="P433" s="86"/>
      <c r="Q433" s="85"/>
      <c r="S433" s="85"/>
      <c r="T433" s="85"/>
      <c r="U433" s="85"/>
      <c r="V433" s="85"/>
      <c r="W433" s="85"/>
      <c r="X433" s="85"/>
    </row>
    <row r="434" spans="2:24" s="58" customFormat="1" ht="12" x14ac:dyDescent="0.2">
      <c r="B434" s="91"/>
      <c r="E434" s="92"/>
      <c r="F434" s="93"/>
      <c r="G434" s="94"/>
      <c r="H434" s="94"/>
      <c r="I434" s="94"/>
      <c r="J434" s="94"/>
      <c r="K434" s="93"/>
      <c r="L434" s="86"/>
      <c r="M434" s="86"/>
      <c r="N434" s="86"/>
      <c r="O434" s="86"/>
      <c r="P434" s="86"/>
      <c r="Q434" s="85"/>
      <c r="S434" s="85"/>
      <c r="T434" s="85"/>
      <c r="U434" s="85"/>
      <c r="V434" s="85"/>
      <c r="W434" s="85"/>
      <c r="X434" s="85"/>
    </row>
    <row r="435" spans="2:24" s="58" customFormat="1" ht="12" x14ac:dyDescent="0.2">
      <c r="B435" s="91"/>
      <c r="E435" s="92"/>
      <c r="F435" s="93"/>
      <c r="G435" s="94"/>
      <c r="H435" s="94"/>
      <c r="I435" s="94"/>
      <c r="J435" s="94"/>
      <c r="K435" s="93"/>
      <c r="L435" s="86"/>
      <c r="M435" s="86"/>
      <c r="N435" s="86"/>
      <c r="O435" s="86"/>
      <c r="P435" s="86"/>
      <c r="Q435" s="85"/>
      <c r="S435" s="85"/>
      <c r="T435" s="85"/>
      <c r="U435" s="85"/>
      <c r="V435" s="85"/>
      <c r="W435" s="85"/>
      <c r="X435" s="85"/>
    </row>
    <row r="436" spans="2:24" s="58" customFormat="1" ht="12" x14ac:dyDescent="0.2">
      <c r="B436" s="91"/>
      <c r="E436" s="92"/>
      <c r="F436" s="93"/>
      <c r="G436" s="94"/>
      <c r="H436" s="94"/>
      <c r="I436" s="94"/>
      <c r="J436" s="94"/>
      <c r="K436" s="93"/>
      <c r="L436" s="86"/>
      <c r="M436" s="86"/>
      <c r="N436" s="86"/>
      <c r="O436" s="86"/>
      <c r="P436" s="86"/>
      <c r="Q436" s="85"/>
      <c r="S436" s="85"/>
      <c r="T436" s="85"/>
      <c r="U436" s="85"/>
      <c r="V436" s="85"/>
      <c r="W436" s="85"/>
      <c r="X436" s="85"/>
    </row>
    <row r="437" spans="2:24" s="58" customFormat="1" ht="12" x14ac:dyDescent="0.2">
      <c r="B437" s="91"/>
      <c r="E437" s="92"/>
      <c r="F437" s="93"/>
      <c r="G437" s="94"/>
      <c r="H437" s="94"/>
      <c r="I437" s="94"/>
      <c r="J437" s="94"/>
      <c r="K437" s="93"/>
      <c r="L437" s="86"/>
      <c r="M437" s="86"/>
      <c r="N437" s="86"/>
      <c r="O437" s="86"/>
      <c r="P437" s="86"/>
      <c r="Q437" s="85"/>
      <c r="S437" s="85"/>
      <c r="T437" s="85"/>
      <c r="U437" s="85"/>
      <c r="V437" s="85"/>
      <c r="W437" s="85"/>
      <c r="X437" s="85"/>
    </row>
    <row r="438" spans="2:24" s="58" customFormat="1" ht="12" x14ac:dyDescent="0.2">
      <c r="B438" s="91"/>
      <c r="E438" s="92"/>
      <c r="F438" s="93"/>
      <c r="G438" s="94"/>
      <c r="H438" s="94"/>
      <c r="I438" s="94"/>
      <c r="J438" s="94"/>
      <c r="K438" s="93"/>
      <c r="L438" s="86"/>
      <c r="M438" s="86"/>
      <c r="N438" s="86"/>
      <c r="O438" s="86"/>
      <c r="P438" s="86"/>
      <c r="Q438" s="85"/>
      <c r="S438" s="85"/>
      <c r="T438" s="85"/>
      <c r="U438" s="85"/>
      <c r="V438" s="85"/>
      <c r="W438" s="85"/>
      <c r="X438" s="85"/>
    </row>
    <row r="439" spans="2:24" s="58" customFormat="1" ht="12" x14ac:dyDescent="0.2">
      <c r="B439" s="91"/>
      <c r="E439" s="92"/>
      <c r="F439" s="93"/>
      <c r="G439" s="94"/>
      <c r="H439" s="94"/>
      <c r="I439" s="94"/>
      <c r="J439" s="94"/>
      <c r="K439" s="93"/>
      <c r="L439" s="86"/>
      <c r="M439" s="86"/>
      <c r="N439" s="86"/>
      <c r="O439" s="86"/>
      <c r="P439" s="86"/>
      <c r="Q439" s="85"/>
      <c r="S439" s="85"/>
      <c r="T439" s="85"/>
      <c r="U439" s="85"/>
      <c r="V439" s="85"/>
      <c r="W439" s="85"/>
      <c r="X439" s="85"/>
    </row>
    <row r="440" spans="2:24" s="58" customFormat="1" ht="12" x14ac:dyDescent="0.2">
      <c r="B440" s="91"/>
      <c r="E440" s="92"/>
      <c r="F440" s="93"/>
      <c r="G440" s="94"/>
      <c r="H440" s="94"/>
      <c r="I440" s="94"/>
      <c r="J440" s="94"/>
      <c r="K440" s="93"/>
      <c r="L440" s="86"/>
      <c r="M440" s="86"/>
      <c r="N440" s="86"/>
      <c r="O440" s="86"/>
      <c r="P440" s="86"/>
      <c r="Q440" s="85"/>
      <c r="S440" s="85"/>
      <c r="T440" s="85"/>
      <c r="U440" s="85"/>
      <c r="V440" s="85"/>
      <c r="W440" s="85"/>
      <c r="X440" s="85"/>
    </row>
    <row r="441" spans="2:24" s="58" customFormat="1" ht="12" x14ac:dyDescent="0.2">
      <c r="B441" s="91"/>
      <c r="E441" s="92"/>
      <c r="F441" s="93"/>
      <c r="G441" s="94"/>
      <c r="H441" s="94"/>
      <c r="I441" s="94"/>
      <c r="J441" s="94"/>
      <c r="K441" s="93"/>
      <c r="L441" s="86"/>
      <c r="M441" s="86"/>
      <c r="N441" s="86"/>
      <c r="O441" s="86"/>
      <c r="P441" s="86"/>
      <c r="Q441" s="85"/>
      <c r="S441" s="85"/>
      <c r="T441" s="85"/>
      <c r="U441" s="85"/>
      <c r="V441" s="85"/>
      <c r="W441" s="85"/>
      <c r="X441" s="85"/>
    </row>
    <row r="442" spans="2:24" s="58" customFormat="1" ht="12" x14ac:dyDescent="0.2">
      <c r="B442" s="91"/>
      <c r="E442" s="92"/>
      <c r="F442" s="93"/>
      <c r="G442" s="94"/>
      <c r="H442" s="94"/>
      <c r="I442" s="94"/>
      <c r="J442" s="94"/>
      <c r="K442" s="93"/>
      <c r="L442" s="86"/>
      <c r="M442" s="86"/>
      <c r="N442" s="86"/>
      <c r="O442" s="86"/>
      <c r="P442" s="86"/>
      <c r="Q442" s="85"/>
      <c r="S442" s="85"/>
      <c r="T442" s="85"/>
      <c r="U442" s="85"/>
      <c r="V442" s="85"/>
      <c r="W442" s="85"/>
      <c r="X442" s="85"/>
    </row>
    <row r="443" spans="2:24" s="58" customFormat="1" ht="12" x14ac:dyDescent="0.2">
      <c r="B443" s="91"/>
      <c r="E443" s="92"/>
      <c r="F443" s="93"/>
      <c r="G443" s="94"/>
      <c r="H443" s="94"/>
      <c r="I443" s="94"/>
      <c r="J443" s="94"/>
      <c r="K443" s="93"/>
      <c r="L443" s="86"/>
      <c r="M443" s="86"/>
      <c r="N443" s="86"/>
      <c r="O443" s="86"/>
      <c r="P443" s="86"/>
      <c r="Q443" s="85"/>
      <c r="S443" s="85"/>
      <c r="T443" s="85"/>
      <c r="U443" s="85"/>
      <c r="V443" s="85"/>
      <c r="W443" s="85"/>
      <c r="X443" s="85"/>
    </row>
    <row r="444" spans="2:24" s="58" customFormat="1" ht="12" x14ac:dyDescent="0.2">
      <c r="B444" s="91"/>
      <c r="E444" s="92"/>
      <c r="F444" s="93"/>
      <c r="G444" s="94"/>
      <c r="H444" s="94"/>
      <c r="I444" s="94"/>
      <c r="J444" s="94"/>
      <c r="K444" s="93"/>
      <c r="L444" s="86"/>
      <c r="M444" s="86"/>
      <c r="N444" s="86"/>
      <c r="O444" s="86"/>
      <c r="P444" s="86"/>
      <c r="Q444" s="85"/>
      <c r="S444" s="85"/>
      <c r="T444" s="85"/>
      <c r="U444" s="85"/>
      <c r="V444" s="85"/>
      <c r="W444" s="85"/>
      <c r="X444" s="85"/>
    </row>
    <row r="445" spans="2:24" s="58" customFormat="1" ht="12" x14ac:dyDescent="0.2">
      <c r="B445" s="91"/>
      <c r="E445" s="92"/>
      <c r="F445" s="93"/>
      <c r="G445" s="94"/>
      <c r="H445" s="94"/>
      <c r="I445" s="94"/>
      <c r="J445" s="94"/>
      <c r="K445" s="93"/>
      <c r="L445" s="86"/>
      <c r="M445" s="86"/>
      <c r="N445" s="86"/>
      <c r="O445" s="86"/>
      <c r="P445" s="86"/>
      <c r="Q445" s="85"/>
      <c r="S445" s="85"/>
      <c r="T445" s="85"/>
      <c r="U445" s="85"/>
      <c r="V445" s="85"/>
      <c r="W445" s="85"/>
      <c r="X445" s="85"/>
    </row>
    <row r="446" spans="2:24" s="58" customFormat="1" ht="12" x14ac:dyDescent="0.2">
      <c r="B446" s="91"/>
      <c r="E446" s="92"/>
      <c r="F446" s="93"/>
      <c r="G446" s="94"/>
      <c r="H446" s="94"/>
      <c r="I446" s="94"/>
      <c r="J446" s="94"/>
      <c r="K446" s="93"/>
      <c r="L446" s="86"/>
      <c r="M446" s="86"/>
      <c r="N446" s="86"/>
      <c r="O446" s="86"/>
      <c r="P446" s="86"/>
      <c r="Q446" s="85"/>
      <c r="S446" s="85"/>
      <c r="T446" s="85"/>
      <c r="U446" s="85"/>
      <c r="V446" s="85"/>
      <c r="W446" s="85"/>
      <c r="X446" s="85"/>
    </row>
    <row r="447" spans="2:24" s="58" customFormat="1" ht="12" x14ac:dyDescent="0.2">
      <c r="B447" s="91"/>
      <c r="E447" s="92"/>
      <c r="F447" s="93"/>
      <c r="G447" s="94"/>
      <c r="H447" s="94"/>
      <c r="I447" s="94"/>
      <c r="J447" s="94"/>
      <c r="K447" s="93"/>
      <c r="L447" s="86"/>
      <c r="M447" s="86"/>
      <c r="N447" s="86"/>
      <c r="O447" s="86"/>
      <c r="P447" s="86"/>
      <c r="Q447" s="85"/>
      <c r="S447" s="85"/>
      <c r="T447" s="85"/>
      <c r="U447" s="85"/>
      <c r="V447" s="85"/>
      <c r="W447" s="85"/>
      <c r="X447" s="85"/>
    </row>
    <row r="448" spans="2:24" s="58" customFormat="1" ht="12" x14ac:dyDescent="0.2">
      <c r="B448" s="91"/>
      <c r="E448" s="92"/>
      <c r="F448" s="93"/>
      <c r="G448" s="94"/>
      <c r="H448" s="94"/>
      <c r="I448" s="94"/>
      <c r="J448" s="94"/>
      <c r="K448" s="93"/>
      <c r="L448" s="86"/>
      <c r="M448" s="86"/>
      <c r="N448" s="86"/>
      <c r="O448" s="86"/>
      <c r="P448" s="86"/>
      <c r="Q448" s="85"/>
      <c r="S448" s="85"/>
      <c r="T448" s="85"/>
      <c r="U448" s="85"/>
      <c r="V448" s="85"/>
      <c r="W448" s="85"/>
      <c r="X448" s="85"/>
    </row>
    <row r="449" spans="2:24" s="58" customFormat="1" ht="12" x14ac:dyDescent="0.2">
      <c r="B449" s="91"/>
      <c r="E449" s="92"/>
      <c r="F449" s="93"/>
      <c r="G449" s="94"/>
      <c r="H449" s="94"/>
      <c r="I449" s="94"/>
      <c r="J449" s="94"/>
      <c r="K449" s="93"/>
      <c r="L449" s="86"/>
      <c r="M449" s="86"/>
      <c r="N449" s="86"/>
      <c r="O449" s="86"/>
      <c r="P449" s="86"/>
      <c r="Q449" s="85"/>
      <c r="S449" s="85"/>
      <c r="T449" s="85"/>
      <c r="U449" s="85"/>
      <c r="V449" s="85"/>
      <c r="W449" s="85"/>
      <c r="X449" s="85"/>
    </row>
    <row r="450" spans="2:24" s="58" customFormat="1" ht="12" x14ac:dyDescent="0.2">
      <c r="B450" s="91"/>
      <c r="E450" s="92"/>
      <c r="F450" s="93"/>
      <c r="G450" s="94"/>
      <c r="H450" s="94"/>
      <c r="I450" s="94"/>
      <c r="J450" s="94"/>
      <c r="K450" s="93"/>
      <c r="L450" s="86"/>
      <c r="M450" s="86"/>
      <c r="N450" s="86"/>
      <c r="O450" s="86"/>
      <c r="P450" s="86"/>
      <c r="Q450" s="85"/>
      <c r="S450" s="85"/>
      <c r="T450" s="85"/>
      <c r="U450" s="85"/>
      <c r="V450" s="85"/>
      <c r="W450" s="85"/>
      <c r="X450" s="85"/>
    </row>
    <row r="451" spans="2:24" s="58" customFormat="1" ht="12" x14ac:dyDescent="0.2">
      <c r="B451" s="91"/>
      <c r="E451" s="92"/>
      <c r="F451" s="93"/>
      <c r="G451" s="94"/>
      <c r="H451" s="94"/>
      <c r="I451" s="94"/>
      <c r="J451" s="94"/>
      <c r="K451" s="93"/>
      <c r="L451" s="86"/>
      <c r="M451" s="86"/>
      <c r="N451" s="86"/>
      <c r="O451" s="86"/>
      <c r="P451" s="86"/>
      <c r="Q451" s="85"/>
      <c r="S451" s="85"/>
      <c r="T451" s="85"/>
      <c r="U451" s="85"/>
      <c r="V451" s="85"/>
      <c r="W451" s="85"/>
      <c r="X451" s="85"/>
    </row>
    <row r="452" spans="2:24" s="58" customFormat="1" ht="12" x14ac:dyDescent="0.2">
      <c r="B452" s="91"/>
      <c r="E452" s="92"/>
      <c r="F452" s="93"/>
      <c r="G452" s="94"/>
      <c r="H452" s="94"/>
      <c r="I452" s="94"/>
      <c r="J452" s="94"/>
      <c r="K452" s="93"/>
      <c r="L452" s="86"/>
      <c r="M452" s="86"/>
      <c r="N452" s="86"/>
      <c r="O452" s="86"/>
      <c r="P452" s="86"/>
      <c r="Q452" s="85"/>
      <c r="S452" s="85"/>
      <c r="T452" s="85"/>
      <c r="U452" s="85"/>
      <c r="V452" s="85"/>
      <c r="W452" s="85"/>
      <c r="X452" s="85"/>
    </row>
    <row r="453" spans="2:24" s="58" customFormat="1" ht="12" x14ac:dyDescent="0.2">
      <c r="B453" s="91"/>
      <c r="E453" s="92"/>
      <c r="F453" s="93"/>
      <c r="G453" s="94"/>
      <c r="H453" s="94"/>
      <c r="I453" s="94"/>
      <c r="J453" s="94"/>
      <c r="K453" s="93"/>
      <c r="L453" s="86"/>
      <c r="M453" s="86"/>
      <c r="N453" s="86"/>
      <c r="O453" s="86"/>
      <c r="P453" s="86"/>
      <c r="Q453" s="85"/>
      <c r="S453" s="85"/>
      <c r="T453" s="85"/>
      <c r="U453" s="85"/>
      <c r="V453" s="85"/>
      <c r="W453" s="85"/>
      <c r="X453" s="85"/>
    </row>
    <row r="454" spans="2:24" s="58" customFormat="1" ht="12" x14ac:dyDescent="0.2">
      <c r="B454" s="91"/>
      <c r="E454" s="92"/>
      <c r="F454" s="93"/>
      <c r="G454" s="94"/>
      <c r="H454" s="94"/>
      <c r="I454" s="94"/>
      <c r="J454" s="94"/>
      <c r="K454" s="93"/>
      <c r="L454" s="86"/>
      <c r="M454" s="86"/>
      <c r="N454" s="86"/>
      <c r="O454" s="86"/>
      <c r="P454" s="86"/>
      <c r="Q454" s="85"/>
      <c r="S454" s="85"/>
      <c r="T454" s="85"/>
      <c r="U454" s="85"/>
      <c r="V454" s="85"/>
      <c r="W454" s="85"/>
      <c r="X454" s="85"/>
    </row>
    <row r="455" spans="2:24" s="58" customFormat="1" ht="12" x14ac:dyDescent="0.2">
      <c r="B455" s="91"/>
      <c r="E455" s="92"/>
      <c r="F455" s="93"/>
      <c r="G455" s="94"/>
      <c r="H455" s="94"/>
      <c r="I455" s="94"/>
      <c r="J455" s="94"/>
      <c r="K455" s="93"/>
      <c r="L455" s="86"/>
      <c r="M455" s="86"/>
      <c r="N455" s="86"/>
      <c r="O455" s="86"/>
      <c r="P455" s="86"/>
      <c r="Q455" s="85"/>
      <c r="S455" s="85"/>
      <c r="T455" s="85"/>
      <c r="U455" s="85"/>
      <c r="V455" s="85"/>
      <c r="W455" s="85"/>
      <c r="X455" s="85"/>
    </row>
    <row r="456" spans="2:24" s="58" customFormat="1" ht="12" x14ac:dyDescent="0.2">
      <c r="B456" s="91"/>
      <c r="E456" s="92"/>
      <c r="F456" s="93"/>
      <c r="G456" s="94"/>
      <c r="H456" s="94"/>
      <c r="I456" s="94"/>
      <c r="J456" s="94"/>
      <c r="K456" s="93"/>
      <c r="L456" s="86"/>
      <c r="M456" s="86"/>
      <c r="N456" s="86"/>
      <c r="O456" s="86"/>
      <c r="P456" s="86"/>
      <c r="Q456" s="85"/>
      <c r="S456" s="85"/>
      <c r="T456" s="85"/>
      <c r="U456" s="85"/>
      <c r="V456" s="85"/>
      <c r="W456" s="85"/>
      <c r="X456" s="85"/>
    </row>
    <row r="457" spans="2:24" s="58" customFormat="1" ht="12" x14ac:dyDescent="0.2">
      <c r="B457" s="91"/>
      <c r="E457" s="92"/>
      <c r="F457" s="93"/>
      <c r="G457" s="94"/>
      <c r="H457" s="94"/>
      <c r="I457" s="94"/>
      <c r="J457" s="94"/>
      <c r="K457" s="93"/>
      <c r="L457" s="86"/>
      <c r="M457" s="86"/>
      <c r="N457" s="86"/>
      <c r="O457" s="86"/>
      <c r="P457" s="86"/>
      <c r="Q457" s="85"/>
      <c r="S457" s="85"/>
      <c r="T457" s="85"/>
      <c r="U457" s="85"/>
      <c r="V457" s="85"/>
      <c r="W457" s="85"/>
      <c r="X457" s="85"/>
    </row>
    <row r="458" spans="2:24" s="58" customFormat="1" ht="12" x14ac:dyDescent="0.2">
      <c r="B458" s="91"/>
      <c r="E458" s="92"/>
      <c r="F458" s="93"/>
      <c r="G458" s="94"/>
      <c r="H458" s="94"/>
      <c r="I458" s="94"/>
      <c r="J458" s="94"/>
      <c r="K458" s="93"/>
      <c r="L458" s="86"/>
      <c r="M458" s="86"/>
      <c r="N458" s="86"/>
      <c r="O458" s="86"/>
      <c r="P458" s="86"/>
      <c r="Q458" s="85"/>
      <c r="S458" s="85"/>
      <c r="T458" s="85"/>
      <c r="U458" s="85"/>
      <c r="V458" s="85"/>
      <c r="W458" s="85"/>
      <c r="X458" s="85"/>
    </row>
    <row r="459" spans="2:24" s="58" customFormat="1" ht="12" x14ac:dyDescent="0.2">
      <c r="B459" s="91"/>
      <c r="E459" s="92"/>
      <c r="F459" s="93"/>
      <c r="G459" s="94"/>
      <c r="H459" s="94"/>
      <c r="I459" s="94"/>
      <c r="J459" s="94"/>
      <c r="K459" s="93"/>
      <c r="L459" s="86"/>
      <c r="M459" s="86"/>
      <c r="N459" s="86"/>
      <c r="O459" s="86"/>
      <c r="P459" s="86"/>
      <c r="Q459" s="85"/>
      <c r="S459" s="85"/>
      <c r="T459" s="85"/>
      <c r="U459" s="85"/>
      <c r="V459" s="85"/>
      <c r="W459" s="85"/>
      <c r="X459" s="85"/>
    </row>
    <row r="460" spans="2:24" s="58" customFormat="1" ht="12" x14ac:dyDescent="0.2">
      <c r="B460" s="91"/>
      <c r="E460" s="92"/>
      <c r="F460" s="93"/>
      <c r="G460" s="94"/>
      <c r="H460" s="94"/>
      <c r="I460" s="94"/>
      <c r="J460" s="94"/>
      <c r="K460" s="93"/>
      <c r="L460" s="86"/>
      <c r="M460" s="86"/>
      <c r="N460" s="86"/>
      <c r="O460" s="86"/>
      <c r="P460" s="86"/>
      <c r="Q460" s="85"/>
      <c r="S460" s="85"/>
      <c r="T460" s="85"/>
      <c r="U460" s="85"/>
      <c r="V460" s="85"/>
      <c r="W460" s="85"/>
      <c r="X460" s="85"/>
    </row>
    <row r="461" spans="2:24" s="58" customFormat="1" ht="12" x14ac:dyDescent="0.2">
      <c r="B461" s="91"/>
      <c r="E461" s="92"/>
      <c r="F461" s="93"/>
      <c r="G461" s="94"/>
      <c r="H461" s="94"/>
      <c r="I461" s="94"/>
      <c r="J461" s="94"/>
      <c r="K461" s="93"/>
      <c r="L461" s="86"/>
      <c r="M461" s="86"/>
      <c r="N461" s="86"/>
      <c r="O461" s="86"/>
      <c r="P461" s="86"/>
      <c r="Q461" s="85"/>
      <c r="S461" s="85"/>
      <c r="T461" s="85"/>
      <c r="U461" s="85"/>
      <c r="V461" s="85"/>
      <c r="W461" s="85"/>
      <c r="X461" s="85"/>
    </row>
    <row r="462" spans="2:24" s="58" customFormat="1" ht="12" x14ac:dyDescent="0.2">
      <c r="B462" s="91"/>
      <c r="E462" s="92"/>
      <c r="F462" s="93"/>
      <c r="G462" s="94"/>
      <c r="H462" s="94"/>
      <c r="I462" s="94"/>
      <c r="J462" s="94"/>
      <c r="K462" s="93"/>
      <c r="L462" s="86"/>
      <c r="M462" s="86"/>
      <c r="N462" s="86"/>
      <c r="O462" s="86"/>
      <c r="P462" s="86"/>
      <c r="Q462" s="85"/>
      <c r="S462" s="85"/>
      <c r="T462" s="85"/>
      <c r="U462" s="85"/>
      <c r="V462" s="85"/>
      <c r="W462" s="85"/>
      <c r="X462" s="85"/>
    </row>
    <row r="463" spans="2:24" s="58" customFormat="1" ht="12" x14ac:dyDescent="0.2">
      <c r="B463" s="91"/>
      <c r="E463" s="92"/>
      <c r="F463" s="93"/>
      <c r="G463" s="94"/>
      <c r="H463" s="94"/>
      <c r="I463" s="94"/>
      <c r="J463" s="94"/>
      <c r="K463" s="93"/>
      <c r="L463" s="86"/>
      <c r="M463" s="86"/>
      <c r="N463" s="86"/>
      <c r="O463" s="86"/>
      <c r="P463" s="86"/>
      <c r="Q463" s="85"/>
      <c r="S463" s="85"/>
      <c r="T463" s="85"/>
      <c r="U463" s="85"/>
      <c r="V463" s="85"/>
      <c r="W463" s="85"/>
      <c r="X463" s="85"/>
    </row>
    <row r="464" spans="2:24" s="58" customFormat="1" ht="12" x14ac:dyDescent="0.2">
      <c r="B464" s="91"/>
      <c r="E464" s="92"/>
      <c r="F464" s="93"/>
      <c r="G464" s="94"/>
      <c r="H464" s="94"/>
      <c r="I464" s="94"/>
      <c r="J464" s="94"/>
      <c r="K464" s="93"/>
      <c r="L464" s="86"/>
      <c r="M464" s="86"/>
      <c r="N464" s="86"/>
      <c r="O464" s="86"/>
      <c r="P464" s="86"/>
      <c r="Q464" s="85"/>
      <c r="S464" s="85"/>
      <c r="T464" s="85"/>
      <c r="U464" s="85"/>
      <c r="V464" s="85"/>
      <c r="W464" s="85"/>
      <c r="X464" s="85"/>
    </row>
    <row r="465" spans="2:24" s="58" customFormat="1" ht="12" x14ac:dyDescent="0.2">
      <c r="B465" s="91"/>
      <c r="E465" s="92"/>
      <c r="F465" s="93"/>
      <c r="G465" s="94"/>
      <c r="H465" s="94"/>
      <c r="I465" s="94"/>
      <c r="J465" s="94"/>
      <c r="K465" s="93"/>
      <c r="L465" s="86"/>
      <c r="M465" s="86"/>
      <c r="N465" s="86"/>
      <c r="O465" s="86"/>
      <c r="P465" s="86"/>
      <c r="Q465" s="85"/>
      <c r="S465" s="85"/>
      <c r="T465" s="85"/>
      <c r="U465" s="85"/>
      <c r="V465" s="85"/>
      <c r="W465" s="85"/>
      <c r="X465" s="85"/>
    </row>
    <row r="466" spans="2:24" s="58" customFormat="1" ht="12" x14ac:dyDescent="0.2">
      <c r="B466" s="91"/>
      <c r="E466" s="92"/>
      <c r="F466" s="93"/>
      <c r="G466" s="94"/>
      <c r="H466" s="94"/>
      <c r="I466" s="94"/>
      <c r="J466" s="94"/>
      <c r="K466" s="93"/>
      <c r="L466" s="86"/>
      <c r="M466" s="86"/>
      <c r="N466" s="86"/>
      <c r="O466" s="86"/>
      <c r="P466" s="86"/>
      <c r="Q466" s="85"/>
      <c r="S466" s="85"/>
      <c r="T466" s="85"/>
      <c r="U466" s="85"/>
      <c r="V466" s="85"/>
      <c r="W466" s="85"/>
      <c r="X466" s="85"/>
    </row>
    <row r="467" spans="2:24" s="58" customFormat="1" ht="12" x14ac:dyDescent="0.2">
      <c r="B467" s="91"/>
      <c r="E467" s="92"/>
      <c r="F467" s="93"/>
      <c r="G467" s="94"/>
      <c r="H467" s="94"/>
      <c r="I467" s="94"/>
      <c r="J467" s="94"/>
      <c r="K467" s="93"/>
      <c r="L467" s="86"/>
      <c r="M467" s="86"/>
      <c r="N467" s="86"/>
      <c r="O467" s="86"/>
      <c r="P467" s="86"/>
      <c r="Q467" s="85"/>
      <c r="S467" s="85"/>
      <c r="T467" s="85"/>
      <c r="U467" s="85"/>
      <c r="V467" s="85"/>
      <c r="W467" s="85"/>
      <c r="X467" s="85"/>
    </row>
    <row r="468" spans="2:24" s="58" customFormat="1" ht="12" x14ac:dyDescent="0.2">
      <c r="B468" s="91"/>
      <c r="E468" s="92"/>
      <c r="F468" s="93"/>
      <c r="G468" s="94"/>
      <c r="H468" s="94"/>
      <c r="I468" s="94"/>
      <c r="J468" s="94"/>
      <c r="K468" s="93"/>
      <c r="L468" s="86"/>
      <c r="M468" s="86"/>
      <c r="N468" s="86"/>
      <c r="O468" s="86"/>
      <c r="P468" s="86"/>
      <c r="Q468" s="85"/>
      <c r="S468" s="85"/>
      <c r="T468" s="85"/>
      <c r="U468" s="85"/>
      <c r="V468" s="85"/>
      <c r="W468" s="85"/>
      <c r="X468" s="85"/>
    </row>
    <row r="469" spans="2:24" s="58" customFormat="1" ht="12" x14ac:dyDescent="0.2">
      <c r="B469" s="91"/>
      <c r="E469" s="92"/>
      <c r="F469" s="93"/>
      <c r="G469" s="94"/>
      <c r="H469" s="94"/>
      <c r="I469" s="94"/>
      <c r="J469" s="94"/>
      <c r="K469" s="93"/>
      <c r="L469" s="86"/>
      <c r="M469" s="86"/>
      <c r="N469" s="86"/>
      <c r="O469" s="86"/>
      <c r="P469" s="86"/>
      <c r="Q469" s="85"/>
      <c r="S469" s="85"/>
      <c r="T469" s="85"/>
      <c r="U469" s="85"/>
      <c r="V469" s="85"/>
      <c r="W469" s="85"/>
      <c r="X469" s="85"/>
    </row>
    <row r="470" spans="2:24" s="58" customFormat="1" ht="12" x14ac:dyDescent="0.2">
      <c r="B470" s="91"/>
      <c r="E470" s="92"/>
      <c r="F470" s="93"/>
      <c r="G470" s="94"/>
      <c r="H470" s="94"/>
      <c r="I470" s="94"/>
      <c r="J470" s="94"/>
      <c r="K470" s="93"/>
      <c r="L470" s="86"/>
      <c r="M470" s="86"/>
      <c r="N470" s="86"/>
      <c r="O470" s="86"/>
      <c r="P470" s="86"/>
      <c r="Q470" s="85"/>
      <c r="S470" s="85"/>
      <c r="T470" s="85"/>
      <c r="U470" s="85"/>
      <c r="V470" s="85"/>
      <c r="W470" s="85"/>
      <c r="X470" s="85"/>
    </row>
    <row r="471" spans="2:24" s="58" customFormat="1" ht="12" x14ac:dyDescent="0.2">
      <c r="B471" s="91"/>
      <c r="E471" s="92"/>
      <c r="F471" s="93"/>
      <c r="G471" s="94"/>
      <c r="H471" s="94"/>
      <c r="I471" s="94"/>
      <c r="J471" s="94"/>
      <c r="K471" s="93"/>
      <c r="L471" s="86"/>
      <c r="M471" s="86"/>
      <c r="N471" s="86"/>
      <c r="O471" s="86"/>
      <c r="P471" s="86"/>
      <c r="Q471" s="85"/>
      <c r="S471" s="85"/>
      <c r="T471" s="85"/>
      <c r="U471" s="85"/>
      <c r="V471" s="85"/>
      <c r="W471" s="85"/>
      <c r="X471" s="85"/>
    </row>
    <row r="472" spans="2:24" s="58" customFormat="1" ht="12" x14ac:dyDescent="0.2">
      <c r="B472" s="91"/>
      <c r="E472" s="92"/>
      <c r="F472" s="93"/>
      <c r="G472" s="94"/>
      <c r="H472" s="94"/>
      <c r="I472" s="94"/>
      <c r="J472" s="94"/>
      <c r="K472" s="93"/>
      <c r="L472" s="86"/>
      <c r="M472" s="86"/>
      <c r="N472" s="86"/>
      <c r="O472" s="86"/>
      <c r="P472" s="86"/>
      <c r="Q472" s="85"/>
      <c r="S472" s="85"/>
      <c r="T472" s="85"/>
      <c r="U472" s="85"/>
      <c r="V472" s="85"/>
      <c r="W472" s="85"/>
      <c r="X472" s="85"/>
    </row>
    <row r="473" spans="2:24" s="58" customFormat="1" ht="12" x14ac:dyDescent="0.2">
      <c r="B473" s="91"/>
      <c r="E473" s="92"/>
      <c r="F473" s="93"/>
      <c r="G473" s="94"/>
      <c r="H473" s="94"/>
      <c r="I473" s="94"/>
      <c r="J473" s="94"/>
      <c r="K473" s="93"/>
      <c r="L473" s="86"/>
      <c r="M473" s="86"/>
      <c r="N473" s="86"/>
      <c r="O473" s="86"/>
      <c r="P473" s="86"/>
      <c r="Q473" s="85"/>
      <c r="S473" s="85"/>
      <c r="T473" s="85"/>
      <c r="U473" s="85"/>
      <c r="V473" s="85"/>
      <c r="W473" s="85"/>
      <c r="X473" s="85"/>
    </row>
    <row r="474" spans="2:24" s="58" customFormat="1" ht="12" x14ac:dyDescent="0.2">
      <c r="B474" s="91"/>
      <c r="E474" s="92"/>
      <c r="F474" s="93"/>
      <c r="G474" s="94"/>
      <c r="H474" s="94"/>
      <c r="I474" s="94"/>
      <c r="J474" s="94"/>
      <c r="K474" s="93"/>
      <c r="L474" s="86"/>
      <c r="M474" s="86"/>
      <c r="N474" s="86"/>
      <c r="O474" s="86"/>
      <c r="P474" s="86"/>
      <c r="Q474" s="85"/>
      <c r="S474" s="85"/>
      <c r="T474" s="85"/>
      <c r="U474" s="85"/>
      <c r="V474" s="85"/>
      <c r="W474" s="85"/>
      <c r="X474" s="85"/>
    </row>
    <row r="475" spans="2:24" s="58" customFormat="1" ht="12" x14ac:dyDescent="0.2">
      <c r="B475" s="91"/>
      <c r="E475" s="92"/>
      <c r="F475" s="93"/>
      <c r="G475" s="94"/>
      <c r="H475" s="94"/>
      <c r="I475" s="94"/>
      <c r="J475" s="94"/>
      <c r="K475" s="93"/>
      <c r="L475" s="86"/>
      <c r="M475" s="86"/>
      <c r="N475" s="86"/>
      <c r="O475" s="86"/>
      <c r="P475" s="86"/>
      <c r="Q475" s="85"/>
      <c r="S475" s="85"/>
      <c r="T475" s="85"/>
      <c r="U475" s="85"/>
      <c r="V475" s="85"/>
      <c r="W475" s="85"/>
      <c r="X475" s="85"/>
    </row>
    <row r="476" spans="2:24" s="58" customFormat="1" ht="12" x14ac:dyDescent="0.2">
      <c r="B476" s="91"/>
      <c r="E476" s="92"/>
      <c r="F476" s="93"/>
      <c r="G476" s="94"/>
      <c r="H476" s="94"/>
      <c r="I476" s="94"/>
      <c r="J476" s="94"/>
      <c r="K476" s="93"/>
      <c r="L476" s="86"/>
      <c r="M476" s="86"/>
      <c r="N476" s="86"/>
      <c r="O476" s="86"/>
      <c r="P476" s="86"/>
      <c r="Q476" s="85"/>
      <c r="S476" s="85"/>
      <c r="T476" s="85"/>
      <c r="U476" s="85"/>
      <c r="V476" s="85"/>
      <c r="W476" s="85"/>
      <c r="X476" s="85"/>
    </row>
    <row r="477" spans="2:24" s="58" customFormat="1" ht="12" x14ac:dyDescent="0.2">
      <c r="B477" s="91"/>
      <c r="E477" s="92"/>
      <c r="F477" s="93"/>
      <c r="G477" s="94"/>
      <c r="H477" s="94"/>
      <c r="I477" s="94"/>
      <c r="J477" s="94"/>
      <c r="K477" s="93"/>
      <c r="L477" s="86"/>
      <c r="M477" s="86"/>
      <c r="N477" s="86"/>
      <c r="O477" s="86"/>
      <c r="P477" s="86"/>
      <c r="Q477" s="85"/>
      <c r="S477" s="85"/>
      <c r="T477" s="85"/>
      <c r="U477" s="85"/>
      <c r="V477" s="85"/>
      <c r="W477" s="85"/>
      <c r="X477" s="85"/>
    </row>
    <row r="478" spans="2:24" s="58" customFormat="1" ht="12" x14ac:dyDescent="0.2">
      <c r="B478" s="91"/>
      <c r="E478" s="92"/>
      <c r="F478" s="93"/>
      <c r="G478" s="94"/>
      <c r="H478" s="94"/>
      <c r="I478" s="94"/>
      <c r="J478" s="94"/>
      <c r="K478" s="93"/>
      <c r="L478" s="86"/>
      <c r="M478" s="86"/>
      <c r="N478" s="86"/>
      <c r="O478" s="86"/>
      <c r="P478" s="86"/>
      <c r="Q478" s="85"/>
      <c r="S478" s="85"/>
      <c r="T478" s="85"/>
      <c r="U478" s="85"/>
      <c r="V478" s="85"/>
      <c r="W478" s="85"/>
      <c r="X478" s="85"/>
    </row>
    <row r="479" spans="2:24" s="58" customFormat="1" ht="12" x14ac:dyDescent="0.2">
      <c r="B479" s="91"/>
      <c r="E479" s="92"/>
      <c r="F479" s="93"/>
      <c r="G479" s="94"/>
      <c r="H479" s="94"/>
      <c r="I479" s="94"/>
      <c r="J479" s="94"/>
      <c r="K479" s="93"/>
      <c r="L479" s="86"/>
      <c r="M479" s="86"/>
      <c r="N479" s="86"/>
      <c r="O479" s="86"/>
      <c r="P479" s="86"/>
      <c r="Q479" s="85"/>
      <c r="S479" s="85"/>
      <c r="T479" s="85"/>
      <c r="U479" s="85"/>
      <c r="V479" s="85"/>
      <c r="W479" s="85"/>
      <c r="X479" s="85"/>
    </row>
    <row r="480" spans="2:24" s="58" customFormat="1" ht="12" x14ac:dyDescent="0.2">
      <c r="B480" s="91"/>
      <c r="E480" s="92"/>
      <c r="F480" s="93"/>
      <c r="G480" s="94"/>
      <c r="H480" s="94"/>
      <c r="I480" s="94"/>
      <c r="J480" s="94"/>
      <c r="K480" s="93"/>
      <c r="L480" s="86"/>
      <c r="M480" s="86"/>
      <c r="N480" s="86"/>
      <c r="O480" s="86"/>
      <c r="P480" s="86"/>
      <c r="Q480" s="85"/>
      <c r="S480" s="85"/>
      <c r="T480" s="85"/>
      <c r="U480" s="85"/>
      <c r="V480" s="85"/>
      <c r="W480" s="85"/>
      <c r="X480" s="85"/>
    </row>
    <row r="481" spans="2:24" s="58" customFormat="1" ht="12" x14ac:dyDescent="0.2">
      <c r="B481" s="91"/>
      <c r="E481" s="92"/>
      <c r="F481" s="93"/>
      <c r="G481" s="94"/>
      <c r="H481" s="94"/>
      <c r="I481" s="94"/>
      <c r="J481" s="94"/>
      <c r="K481" s="93"/>
      <c r="L481" s="86"/>
      <c r="M481" s="86"/>
      <c r="N481" s="86"/>
      <c r="O481" s="86"/>
      <c r="P481" s="86"/>
      <c r="Q481" s="85"/>
      <c r="S481" s="85"/>
      <c r="T481" s="85"/>
      <c r="U481" s="85"/>
      <c r="V481" s="85"/>
      <c r="W481" s="85"/>
      <c r="X481" s="85"/>
    </row>
    <row r="482" spans="2:24" s="58" customFormat="1" ht="12" x14ac:dyDescent="0.2">
      <c r="B482" s="91"/>
      <c r="E482" s="92"/>
      <c r="F482" s="93"/>
      <c r="G482" s="94"/>
      <c r="H482" s="94"/>
      <c r="I482" s="94"/>
      <c r="J482" s="94"/>
      <c r="K482" s="93"/>
      <c r="L482" s="86"/>
      <c r="M482" s="86"/>
      <c r="N482" s="86"/>
      <c r="O482" s="86"/>
      <c r="P482" s="86"/>
      <c r="Q482" s="85"/>
      <c r="S482" s="85"/>
      <c r="T482" s="85"/>
      <c r="U482" s="85"/>
      <c r="V482" s="85"/>
      <c r="W482" s="85"/>
      <c r="X482" s="85"/>
    </row>
    <row r="483" spans="2:24" s="58" customFormat="1" ht="12" x14ac:dyDescent="0.2">
      <c r="B483" s="91"/>
      <c r="E483" s="92"/>
      <c r="F483" s="93"/>
      <c r="G483" s="94"/>
      <c r="H483" s="94"/>
      <c r="I483" s="94"/>
      <c r="J483" s="94"/>
      <c r="K483" s="93"/>
      <c r="L483" s="86"/>
      <c r="M483" s="86"/>
      <c r="N483" s="86"/>
      <c r="O483" s="86"/>
      <c r="P483" s="86"/>
      <c r="Q483" s="85"/>
      <c r="S483" s="85"/>
      <c r="T483" s="85"/>
      <c r="U483" s="85"/>
      <c r="V483" s="85"/>
      <c r="W483" s="85"/>
      <c r="X483" s="85"/>
    </row>
    <row r="484" spans="2:24" s="58" customFormat="1" ht="12" x14ac:dyDescent="0.2">
      <c r="B484" s="91"/>
      <c r="E484" s="92"/>
      <c r="F484" s="93"/>
      <c r="G484" s="94"/>
      <c r="H484" s="94"/>
      <c r="I484" s="94"/>
      <c r="J484" s="94"/>
      <c r="K484" s="93"/>
      <c r="L484" s="86"/>
      <c r="M484" s="86"/>
      <c r="N484" s="86"/>
      <c r="O484" s="86"/>
      <c r="P484" s="86"/>
      <c r="Q484" s="85"/>
      <c r="S484" s="85"/>
      <c r="T484" s="85"/>
      <c r="U484" s="85"/>
      <c r="V484" s="85"/>
      <c r="W484" s="85"/>
      <c r="X484" s="85"/>
    </row>
    <row r="485" spans="2:24" s="58" customFormat="1" ht="12" x14ac:dyDescent="0.2">
      <c r="B485" s="91"/>
      <c r="E485" s="92"/>
      <c r="F485" s="93"/>
      <c r="G485" s="94"/>
      <c r="H485" s="94"/>
      <c r="I485" s="94"/>
      <c r="J485" s="94"/>
      <c r="K485" s="93"/>
      <c r="L485" s="86"/>
      <c r="M485" s="86"/>
      <c r="N485" s="86"/>
      <c r="O485" s="86"/>
      <c r="P485" s="86"/>
      <c r="Q485" s="85"/>
      <c r="S485" s="85"/>
      <c r="T485" s="85"/>
      <c r="U485" s="85"/>
      <c r="V485" s="85"/>
      <c r="W485" s="85"/>
      <c r="X485" s="85"/>
    </row>
    <row r="486" spans="2:24" s="58" customFormat="1" ht="12" x14ac:dyDescent="0.2">
      <c r="B486" s="91"/>
      <c r="E486" s="92"/>
      <c r="F486" s="93"/>
      <c r="G486" s="94"/>
      <c r="H486" s="94"/>
      <c r="I486" s="94"/>
      <c r="J486" s="94"/>
      <c r="K486" s="93"/>
      <c r="L486" s="86"/>
      <c r="M486" s="86"/>
      <c r="N486" s="86"/>
      <c r="O486" s="86"/>
      <c r="P486" s="86"/>
      <c r="Q486" s="85"/>
      <c r="S486" s="85"/>
      <c r="T486" s="85"/>
      <c r="U486" s="85"/>
      <c r="V486" s="85"/>
      <c r="W486" s="85"/>
      <c r="X486" s="85"/>
    </row>
    <row r="487" spans="2:24" s="58" customFormat="1" ht="12" x14ac:dyDescent="0.2">
      <c r="B487" s="91"/>
      <c r="E487" s="92"/>
      <c r="F487" s="93"/>
      <c r="G487" s="94"/>
      <c r="H487" s="94"/>
      <c r="I487" s="94"/>
      <c r="J487" s="94"/>
      <c r="K487" s="93"/>
      <c r="L487" s="86"/>
      <c r="M487" s="86"/>
      <c r="N487" s="86"/>
      <c r="O487" s="86"/>
      <c r="P487" s="86"/>
      <c r="Q487" s="85"/>
      <c r="S487" s="85"/>
      <c r="T487" s="85"/>
      <c r="U487" s="85"/>
      <c r="V487" s="85"/>
      <c r="W487" s="85"/>
      <c r="X487" s="85"/>
    </row>
    <row r="488" spans="2:24" s="58" customFormat="1" ht="12" x14ac:dyDescent="0.2">
      <c r="B488" s="91"/>
      <c r="E488" s="92"/>
      <c r="F488" s="93"/>
      <c r="G488" s="94"/>
      <c r="H488" s="94"/>
      <c r="I488" s="94"/>
      <c r="J488" s="94"/>
      <c r="K488" s="93"/>
      <c r="L488" s="86"/>
      <c r="M488" s="86"/>
      <c r="N488" s="86"/>
      <c r="O488" s="86"/>
      <c r="P488" s="86"/>
      <c r="Q488" s="85"/>
      <c r="S488" s="85"/>
      <c r="T488" s="85"/>
      <c r="U488" s="85"/>
      <c r="V488" s="85"/>
      <c r="W488" s="85"/>
      <c r="X488" s="85"/>
    </row>
    <row r="489" spans="2:24" s="58" customFormat="1" ht="12" x14ac:dyDescent="0.2">
      <c r="B489" s="91"/>
      <c r="E489" s="92"/>
      <c r="F489" s="93"/>
      <c r="G489" s="94"/>
      <c r="H489" s="94"/>
      <c r="I489" s="94"/>
      <c r="J489" s="94"/>
      <c r="K489" s="93"/>
      <c r="L489" s="86"/>
      <c r="M489" s="86"/>
      <c r="N489" s="86"/>
      <c r="O489" s="86"/>
      <c r="P489" s="86"/>
      <c r="Q489" s="85"/>
      <c r="S489" s="85"/>
      <c r="T489" s="85"/>
      <c r="U489" s="85"/>
      <c r="V489" s="85"/>
      <c r="W489" s="85"/>
      <c r="X489" s="85"/>
    </row>
    <row r="490" spans="2:24" s="58" customFormat="1" ht="12" x14ac:dyDescent="0.2">
      <c r="B490" s="91"/>
      <c r="E490" s="92"/>
      <c r="F490" s="93"/>
      <c r="G490" s="94"/>
      <c r="H490" s="94"/>
      <c r="I490" s="94"/>
      <c r="J490" s="94"/>
      <c r="K490" s="93"/>
      <c r="L490" s="86"/>
      <c r="M490" s="86"/>
      <c r="N490" s="86"/>
      <c r="O490" s="86"/>
      <c r="P490" s="86"/>
      <c r="Q490" s="85"/>
      <c r="S490" s="85"/>
      <c r="T490" s="85"/>
      <c r="U490" s="85"/>
      <c r="V490" s="85"/>
      <c r="W490" s="85"/>
      <c r="X490" s="85"/>
    </row>
    <row r="491" spans="2:24" s="58" customFormat="1" ht="12" x14ac:dyDescent="0.2">
      <c r="B491" s="91"/>
      <c r="E491" s="92"/>
      <c r="F491" s="93"/>
      <c r="G491" s="94"/>
      <c r="H491" s="94"/>
      <c r="I491" s="94"/>
      <c r="J491" s="94"/>
      <c r="K491" s="93"/>
      <c r="L491" s="86"/>
      <c r="M491" s="86"/>
      <c r="N491" s="86"/>
      <c r="O491" s="86"/>
      <c r="P491" s="86"/>
      <c r="Q491" s="85"/>
      <c r="S491" s="85"/>
      <c r="T491" s="85"/>
      <c r="U491" s="85"/>
      <c r="V491" s="85"/>
      <c r="W491" s="85"/>
      <c r="X491" s="85"/>
    </row>
    <row r="492" spans="2:24" s="58" customFormat="1" ht="12" x14ac:dyDescent="0.2">
      <c r="B492" s="91"/>
      <c r="E492" s="92"/>
      <c r="F492" s="93"/>
      <c r="G492" s="94"/>
      <c r="H492" s="94"/>
      <c r="I492" s="94"/>
      <c r="J492" s="94"/>
      <c r="K492" s="93"/>
      <c r="L492" s="86"/>
      <c r="M492" s="86"/>
      <c r="N492" s="86"/>
      <c r="O492" s="86"/>
      <c r="P492" s="86"/>
      <c r="Q492" s="85"/>
      <c r="S492" s="85"/>
      <c r="T492" s="85"/>
      <c r="U492" s="85"/>
      <c r="V492" s="85"/>
      <c r="W492" s="85"/>
      <c r="X492" s="85"/>
    </row>
    <row r="493" spans="2:24" s="58" customFormat="1" ht="12" x14ac:dyDescent="0.2">
      <c r="B493" s="91"/>
      <c r="E493" s="92"/>
      <c r="F493" s="93"/>
      <c r="G493" s="94"/>
      <c r="H493" s="94"/>
      <c r="I493" s="94"/>
      <c r="J493" s="94"/>
      <c r="K493" s="93"/>
      <c r="L493" s="86"/>
      <c r="M493" s="86"/>
      <c r="N493" s="86"/>
      <c r="O493" s="86"/>
      <c r="P493" s="86"/>
      <c r="Q493" s="85"/>
      <c r="S493" s="85"/>
      <c r="T493" s="85"/>
      <c r="U493" s="85"/>
      <c r="V493" s="85"/>
      <c r="W493" s="85"/>
      <c r="X493" s="85"/>
    </row>
    <row r="494" spans="2:24" s="58" customFormat="1" ht="12" x14ac:dyDescent="0.2">
      <c r="B494" s="91"/>
      <c r="E494" s="92"/>
      <c r="F494" s="93"/>
      <c r="G494" s="94"/>
      <c r="H494" s="94"/>
      <c r="I494" s="94"/>
      <c r="J494" s="94"/>
      <c r="K494" s="93"/>
      <c r="L494" s="86"/>
      <c r="M494" s="86"/>
      <c r="N494" s="86"/>
      <c r="O494" s="86"/>
      <c r="P494" s="86"/>
      <c r="Q494" s="85"/>
      <c r="S494" s="85"/>
      <c r="T494" s="85"/>
      <c r="U494" s="85"/>
      <c r="V494" s="85"/>
      <c r="W494" s="85"/>
      <c r="X494" s="85"/>
    </row>
    <row r="495" spans="2:24" s="58" customFormat="1" ht="12" x14ac:dyDescent="0.2">
      <c r="B495" s="91"/>
      <c r="E495" s="92"/>
      <c r="F495" s="93"/>
      <c r="G495" s="94"/>
      <c r="H495" s="94"/>
      <c r="I495" s="94"/>
      <c r="J495" s="94"/>
      <c r="K495" s="93"/>
      <c r="L495" s="86"/>
      <c r="M495" s="86"/>
      <c r="N495" s="86"/>
      <c r="O495" s="86"/>
      <c r="P495" s="86"/>
      <c r="Q495" s="85"/>
      <c r="S495" s="85"/>
      <c r="T495" s="85"/>
      <c r="U495" s="85"/>
      <c r="V495" s="85"/>
      <c r="W495" s="85"/>
      <c r="X495" s="85"/>
    </row>
    <row r="496" spans="2:24" s="58" customFormat="1" ht="12" x14ac:dyDescent="0.2">
      <c r="B496" s="91"/>
      <c r="E496" s="92"/>
      <c r="F496" s="93"/>
      <c r="G496" s="94"/>
      <c r="H496" s="94"/>
      <c r="I496" s="94"/>
      <c r="J496" s="94"/>
      <c r="K496" s="93"/>
      <c r="L496" s="86"/>
      <c r="M496" s="86"/>
      <c r="N496" s="86"/>
      <c r="O496" s="86"/>
      <c r="P496" s="86"/>
      <c r="Q496" s="85"/>
      <c r="S496" s="85"/>
      <c r="T496" s="85"/>
      <c r="U496" s="85"/>
      <c r="V496" s="85"/>
      <c r="W496" s="85"/>
      <c r="X496" s="85"/>
    </row>
    <row r="497" spans="2:24" s="58" customFormat="1" ht="12" x14ac:dyDescent="0.2">
      <c r="B497" s="91"/>
      <c r="E497" s="92"/>
      <c r="F497" s="93"/>
      <c r="G497" s="94"/>
      <c r="H497" s="94"/>
      <c r="I497" s="94"/>
      <c r="J497" s="94"/>
      <c r="K497" s="93"/>
      <c r="L497" s="86"/>
      <c r="M497" s="86"/>
      <c r="N497" s="86"/>
      <c r="O497" s="86"/>
      <c r="P497" s="86"/>
      <c r="Q497" s="85"/>
      <c r="S497" s="85"/>
      <c r="T497" s="85"/>
      <c r="U497" s="85"/>
      <c r="V497" s="85"/>
      <c r="W497" s="85"/>
      <c r="X497" s="85"/>
    </row>
    <row r="498" spans="2:24" s="58" customFormat="1" ht="12" x14ac:dyDescent="0.2">
      <c r="B498" s="91"/>
      <c r="E498" s="92"/>
      <c r="F498" s="93"/>
      <c r="G498" s="94"/>
      <c r="H498" s="94"/>
      <c r="I498" s="94"/>
      <c r="J498" s="94"/>
      <c r="K498" s="93"/>
      <c r="L498" s="86"/>
      <c r="M498" s="86"/>
      <c r="N498" s="86"/>
      <c r="O498" s="86"/>
      <c r="P498" s="86"/>
      <c r="Q498" s="85"/>
      <c r="S498" s="85"/>
      <c r="T498" s="85"/>
      <c r="U498" s="85"/>
      <c r="V498" s="85"/>
      <c r="W498" s="85"/>
      <c r="X498" s="85"/>
    </row>
    <row r="499" spans="2:24" s="58" customFormat="1" ht="12" x14ac:dyDescent="0.2">
      <c r="B499" s="91"/>
      <c r="E499" s="92"/>
      <c r="F499" s="93"/>
      <c r="G499" s="94"/>
      <c r="H499" s="94"/>
      <c r="I499" s="94"/>
      <c r="J499" s="94"/>
      <c r="K499" s="93"/>
      <c r="L499" s="86"/>
      <c r="M499" s="86"/>
      <c r="N499" s="86"/>
      <c r="O499" s="86"/>
      <c r="P499" s="86"/>
      <c r="Q499" s="85"/>
      <c r="S499" s="85"/>
      <c r="T499" s="85"/>
      <c r="U499" s="85"/>
      <c r="V499" s="85"/>
      <c r="W499" s="85"/>
      <c r="X499" s="85"/>
    </row>
    <row r="500" spans="2:24" s="58" customFormat="1" ht="12" x14ac:dyDescent="0.2">
      <c r="B500" s="91"/>
      <c r="E500" s="92"/>
      <c r="F500" s="93"/>
      <c r="G500" s="94"/>
      <c r="H500" s="94"/>
      <c r="I500" s="94"/>
      <c r="J500" s="94"/>
      <c r="K500" s="93"/>
      <c r="L500" s="86"/>
      <c r="M500" s="86"/>
      <c r="N500" s="86"/>
      <c r="O500" s="86"/>
      <c r="P500" s="86"/>
      <c r="Q500" s="85"/>
      <c r="S500" s="85"/>
      <c r="T500" s="85"/>
      <c r="U500" s="85"/>
      <c r="V500" s="85"/>
      <c r="W500" s="85"/>
      <c r="X500" s="85"/>
    </row>
    <row r="501" spans="2:24" s="58" customFormat="1" ht="12" x14ac:dyDescent="0.2">
      <c r="B501" s="91"/>
      <c r="E501" s="92"/>
      <c r="F501" s="93"/>
      <c r="G501" s="94"/>
      <c r="H501" s="94"/>
      <c r="I501" s="94"/>
      <c r="J501" s="94"/>
      <c r="K501" s="93"/>
      <c r="L501" s="86"/>
      <c r="M501" s="86"/>
      <c r="N501" s="86"/>
      <c r="O501" s="86"/>
      <c r="P501" s="86"/>
      <c r="Q501" s="85"/>
      <c r="S501" s="85"/>
      <c r="T501" s="85"/>
      <c r="U501" s="85"/>
      <c r="V501" s="85"/>
      <c r="W501" s="85"/>
      <c r="X501" s="85"/>
    </row>
    <row r="502" spans="2:24" s="58" customFormat="1" ht="12" x14ac:dyDescent="0.2">
      <c r="B502" s="91"/>
      <c r="E502" s="92"/>
      <c r="F502" s="93"/>
      <c r="G502" s="94"/>
      <c r="H502" s="94"/>
      <c r="I502" s="94"/>
      <c r="J502" s="94"/>
      <c r="K502" s="93"/>
      <c r="L502" s="86"/>
      <c r="M502" s="86"/>
      <c r="N502" s="86"/>
      <c r="O502" s="86"/>
      <c r="P502" s="86"/>
      <c r="Q502" s="85"/>
      <c r="S502" s="85"/>
      <c r="T502" s="85"/>
      <c r="U502" s="85"/>
      <c r="V502" s="85"/>
      <c r="W502" s="85"/>
      <c r="X502" s="85"/>
    </row>
    <row r="503" spans="2:24" s="58" customFormat="1" ht="12" x14ac:dyDescent="0.2">
      <c r="B503" s="91"/>
      <c r="E503" s="92"/>
      <c r="F503" s="93"/>
      <c r="G503" s="94"/>
      <c r="H503" s="94"/>
      <c r="I503" s="94"/>
      <c r="J503" s="94"/>
      <c r="K503" s="93"/>
      <c r="L503" s="86"/>
      <c r="M503" s="86"/>
      <c r="N503" s="86"/>
      <c r="O503" s="86"/>
      <c r="P503" s="86"/>
      <c r="Q503" s="85"/>
      <c r="S503" s="85"/>
      <c r="T503" s="85"/>
      <c r="U503" s="85"/>
      <c r="V503" s="85"/>
      <c r="W503" s="85"/>
      <c r="X503" s="85"/>
    </row>
    <row r="504" spans="2:24" s="58" customFormat="1" ht="12" x14ac:dyDescent="0.2">
      <c r="B504" s="91"/>
      <c r="E504" s="92"/>
      <c r="F504" s="93"/>
      <c r="G504" s="94"/>
      <c r="H504" s="94"/>
      <c r="I504" s="94"/>
      <c r="J504" s="94"/>
      <c r="K504" s="93"/>
      <c r="L504" s="86"/>
      <c r="M504" s="86"/>
      <c r="N504" s="86"/>
      <c r="O504" s="86"/>
      <c r="P504" s="86"/>
      <c r="Q504" s="85"/>
      <c r="S504" s="85"/>
      <c r="T504" s="85"/>
      <c r="U504" s="85"/>
      <c r="V504" s="85"/>
      <c r="W504" s="85"/>
      <c r="X504" s="85"/>
    </row>
    <row r="505" spans="2:24" s="58" customFormat="1" ht="12" x14ac:dyDescent="0.2">
      <c r="B505" s="91"/>
      <c r="E505" s="92"/>
      <c r="F505" s="93"/>
      <c r="G505" s="94"/>
      <c r="H505" s="94"/>
      <c r="I505" s="94"/>
      <c r="J505" s="94"/>
      <c r="K505" s="93"/>
      <c r="L505" s="86"/>
      <c r="M505" s="86"/>
      <c r="N505" s="86"/>
      <c r="O505" s="86"/>
      <c r="P505" s="86"/>
      <c r="Q505" s="85"/>
      <c r="S505" s="85"/>
      <c r="T505" s="85"/>
      <c r="U505" s="85"/>
      <c r="V505" s="85"/>
      <c r="W505" s="85"/>
      <c r="X505" s="85"/>
    </row>
    <row r="506" spans="2:24" s="58" customFormat="1" ht="12" x14ac:dyDescent="0.2">
      <c r="B506" s="91"/>
      <c r="E506" s="92"/>
      <c r="F506" s="93"/>
      <c r="G506" s="94"/>
      <c r="H506" s="94"/>
      <c r="I506" s="94"/>
      <c r="J506" s="94"/>
      <c r="K506" s="93"/>
      <c r="L506" s="86"/>
      <c r="M506" s="86"/>
      <c r="N506" s="86"/>
      <c r="O506" s="86"/>
      <c r="P506" s="86"/>
      <c r="Q506" s="85"/>
      <c r="S506" s="85"/>
      <c r="T506" s="85"/>
      <c r="U506" s="85"/>
      <c r="V506" s="85"/>
      <c r="W506" s="85"/>
      <c r="X506" s="85"/>
    </row>
    <row r="507" spans="2:24" s="58" customFormat="1" ht="12" x14ac:dyDescent="0.2">
      <c r="B507" s="91"/>
      <c r="E507" s="92"/>
      <c r="F507" s="93"/>
      <c r="G507" s="94"/>
      <c r="H507" s="94"/>
      <c r="I507" s="94"/>
      <c r="J507" s="94"/>
      <c r="K507" s="93"/>
      <c r="L507" s="86"/>
      <c r="M507" s="86"/>
      <c r="N507" s="86"/>
      <c r="O507" s="86"/>
      <c r="P507" s="86"/>
      <c r="Q507" s="85"/>
      <c r="S507" s="85"/>
      <c r="T507" s="85"/>
      <c r="U507" s="85"/>
      <c r="V507" s="85"/>
      <c r="W507" s="85"/>
      <c r="X507" s="85"/>
    </row>
    <row r="508" spans="2:24" s="58" customFormat="1" ht="12" x14ac:dyDescent="0.2">
      <c r="B508" s="91"/>
      <c r="E508" s="92"/>
      <c r="F508" s="93"/>
      <c r="G508" s="94"/>
      <c r="H508" s="94"/>
      <c r="I508" s="94"/>
      <c r="J508" s="94"/>
      <c r="K508" s="93"/>
      <c r="L508" s="86"/>
      <c r="M508" s="86"/>
      <c r="N508" s="86"/>
      <c r="O508" s="86"/>
      <c r="P508" s="86"/>
      <c r="Q508" s="85"/>
      <c r="S508" s="85"/>
      <c r="T508" s="85"/>
      <c r="U508" s="85"/>
      <c r="V508" s="85"/>
      <c r="W508" s="85"/>
      <c r="X508" s="85"/>
    </row>
    <row r="509" spans="2:24" s="58" customFormat="1" ht="12" x14ac:dyDescent="0.2">
      <c r="B509" s="91"/>
      <c r="E509" s="92"/>
      <c r="F509" s="93"/>
      <c r="G509" s="94"/>
      <c r="H509" s="94"/>
      <c r="I509" s="94"/>
      <c r="J509" s="94"/>
      <c r="K509" s="93"/>
      <c r="L509" s="86"/>
      <c r="M509" s="86"/>
      <c r="N509" s="86"/>
      <c r="O509" s="86"/>
      <c r="P509" s="86"/>
      <c r="Q509" s="85"/>
      <c r="S509" s="85"/>
      <c r="T509" s="85"/>
      <c r="U509" s="85"/>
      <c r="V509" s="85"/>
      <c r="W509" s="85"/>
      <c r="X509" s="85"/>
    </row>
    <row r="510" spans="2:24" s="58" customFormat="1" ht="12" x14ac:dyDescent="0.2">
      <c r="B510" s="91"/>
      <c r="E510" s="92"/>
      <c r="F510" s="93"/>
      <c r="G510" s="94"/>
      <c r="H510" s="94"/>
      <c r="I510" s="94"/>
      <c r="J510" s="94"/>
      <c r="K510" s="93"/>
      <c r="L510" s="86"/>
      <c r="M510" s="86"/>
      <c r="N510" s="86"/>
      <c r="O510" s="86"/>
      <c r="P510" s="86"/>
      <c r="Q510" s="85"/>
      <c r="S510" s="85"/>
      <c r="T510" s="85"/>
      <c r="U510" s="85"/>
      <c r="V510" s="85"/>
      <c r="W510" s="85"/>
      <c r="X510" s="85"/>
    </row>
    <row r="511" spans="2:24" s="58" customFormat="1" ht="12" x14ac:dyDescent="0.2">
      <c r="B511" s="91"/>
      <c r="E511" s="92"/>
      <c r="F511" s="93"/>
      <c r="G511" s="94"/>
      <c r="H511" s="94"/>
      <c r="I511" s="94"/>
      <c r="J511" s="94"/>
      <c r="K511" s="93"/>
      <c r="L511" s="86"/>
      <c r="M511" s="86"/>
      <c r="N511" s="86"/>
      <c r="O511" s="86"/>
      <c r="P511" s="86"/>
      <c r="Q511" s="85"/>
      <c r="S511" s="85"/>
      <c r="T511" s="85"/>
      <c r="U511" s="85"/>
      <c r="V511" s="85"/>
      <c r="W511" s="85"/>
      <c r="X511" s="85"/>
    </row>
    <row r="512" spans="2:24" s="58" customFormat="1" ht="12" x14ac:dyDescent="0.2">
      <c r="B512" s="91"/>
      <c r="E512" s="92"/>
      <c r="F512" s="93"/>
      <c r="G512" s="94"/>
      <c r="H512" s="94"/>
      <c r="I512" s="94"/>
      <c r="J512" s="94"/>
      <c r="K512" s="93"/>
      <c r="L512" s="86"/>
      <c r="M512" s="86"/>
      <c r="N512" s="86"/>
      <c r="O512" s="86"/>
      <c r="P512" s="86"/>
      <c r="Q512" s="85"/>
      <c r="S512" s="85"/>
      <c r="T512" s="85"/>
      <c r="U512" s="85"/>
      <c r="V512" s="85"/>
      <c r="W512" s="85"/>
      <c r="X512" s="85"/>
    </row>
    <row r="513" spans="2:24" s="58" customFormat="1" ht="12" x14ac:dyDescent="0.2">
      <c r="B513" s="91"/>
      <c r="E513" s="92"/>
      <c r="F513" s="93"/>
      <c r="G513" s="94"/>
      <c r="H513" s="94"/>
      <c r="I513" s="94"/>
      <c r="J513" s="94"/>
      <c r="K513" s="93"/>
      <c r="L513" s="86"/>
      <c r="M513" s="86"/>
      <c r="N513" s="86"/>
      <c r="O513" s="86"/>
      <c r="P513" s="86"/>
      <c r="Q513" s="85"/>
      <c r="S513" s="85"/>
      <c r="T513" s="85"/>
      <c r="U513" s="85"/>
      <c r="V513" s="85"/>
      <c r="W513" s="85"/>
      <c r="X513" s="85"/>
    </row>
    <row r="514" spans="2:24" s="58" customFormat="1" ht="12" x14ac:dyDescent="0.2">
      <c r="B514" s="91"/>
      <c r="E514" s="92"/>
      <c r="F514" s="93"/>
      <c r="G514" s="94"/>
      <c r="H514" s="94"/>
      <c r="I514" s="94"/>
      <c r="J514" s="94"/>
      <c r="K514" s="93"/>
      <c r="L514" s="86"/>
      <c r="M514" s="86"/>
      <c r="N514" s="86"/>
      <c r="O514" s="86"/>
      <c r="P514" s="86"/>
      <c r="Q514" s="85"/>
      <c r="S514" s="85"/>
      <c r="T514" s="85"/>
      <c r="U514" s="85"/>
      <c r="V514" s="85"/>
      <c r="W514" s="85"/>
      <c r="X514" s="85"/>
    </row>
    <row r="515" spans="2:24" s="58" customFormat="1" ht="12" x14ac:dyDescent="0.2">
      <c r="B515" s="91"/>
      <c r="E515" s="92"/>
      <c r="F515" s="93"/>
      <c r="G515" s="94"/>
      <c r="H515" s="94"/>
      <c r="I515" s="94"/>
      <c r="J515" s="94"/>
      <c r="K515" s="93"/>
      <c r="L515" s="86"/>
      <c r="M515" s="86"/>
      <c r="N515" s="86"/>
      <c r="O515" s="86"/>
      <c r="P515" s="86"/>
      <c r="Q515" s="85"/>
      <c r="S515" s="85"/>
      <c r="T515" s="85"/>
      <c r="U515" s="85"/>
      <c r="V515" s="85"/>
      <c r="W515" s="85"/>
      <c r="X515" s="85"/>
    </row>
    <row r="516" spans="2:24" s="58" customFormat="1" ht="12" x14ac:dyDescent="0.2">
      <c r="B516" s="91"/>
      <c r="E516" s="92"/>
      <c r="F516" s="93"/>
      <c r="G516" s="94"/>
      <c r="H516" s="94"/>
      <c r="I516" s="94"/>
      <c r="J516" s="94"/>
      <c r="K516" s="93"/>
      <c r="L516" s="86"/>
      <c r="M516" s="86"/>
      <c r="N516" s="86"/>
      <c r="O516" s="86"/>
      <c r="P516" s="86"/>
      <c r="Q516" s="85"/>
      <c r="S516" s="85"/>
      <c r="T516" s="85"/>
      <c r="U516" s="85"/>
      <c r="V516" s="85"/>
      <c r="W516" s="85"/>
      <c r="X516" s="85"/>
    </row>
    <row r="517" spans="2:24" s="58" customFormat="1" ht="12" x14ac:dyDescent="0.2">
      <c r="B517" s="91"/>
      <c r="E517" s="92"/>
      <c r="F517" s="93"/>
      <c r="G517" s="94"/>
      <c r="H517" s="94"/>
      <c r="I517" s="94"/>
      <c r="J517" s="94"/>
      <c r="K517" s="93"/>
      <c r="L517" s="86"/>
      <c r="M517" s="86"/>
      <c r="N517" s="86"/>
      <c r="O517" s="86"/>
      <c r="P517" s="86"/>
      <c r="Q517" s="85"/>
      <c r="S517" s="85"/>
      <c r="T517" s="85"/>
      <c r="U517" s="85"/>
      <c r="V517" s="85"/>
      <c r="W517" s="85"/>
      <c r="X517" s="85"/>
    </row>
    <row r="518" spans="2:24" s="58" customFormat="1" ht="12" x14ac:dyDescent="0.2">
      <c r="B518" s="91"/>
      <c r="E518" s="92"/>
      <c r="F518" s="93"/>
      <c r="G518" s="94"/>
      <c r="H518" s="94"/>
      <c r="I518" s="94"/>
      <c r="J518" s="94"/>
      <c r="K518" s="93"/>
      <c r="L518" s="86"/>
      <c r="M518" s="86"/>
      <c r="N518" s="86"/>
      <c r="O518" s="86"/>
      <c r="P518" s="86"/>
      <c r="Q518" s="85"/>
      <c r="S518" s="85"/>
      <c r="T518" s="85"/>
      <c r="U518" s="85"/>
      <c r="V518" s="85"/>
      <c r="W518" s="85"/>
      <c r="X518" s="85"/>
    </row>
    <row r="519" spans="2:24" s="58" customFormat="1" ht="12" x14ac:dyDescent="0.2">
      <c r="B519" s="91"/>
      <c r="E519" s="92"/>
      <c r="F519" s="93"/>
      <c r="G519" s="94"/>
      <c r="H519" s="94"/>
      <c r="I519" s="94"/>
      <c r="J519" s="94"/>
      <c r="K519" s="93"/>
      <c r="L519" s="86"/>
      <c r="M519" s="86"/>
      <c r="N519" s="86"/>
      <c r="O519" s="86"/>
      <c r="P519" s="86"/>
      <c r="Q519" s="85"/>
      <c r="S519" s="85"/>
      <c r="T519" s="85"/>
      <c r="U519" s="85"/>
      <c r="V519" s="85"/>
      <c r="W519" s="85"/>
      <c r="X519" s="85"/>
    </row>
    <row r="520" spans="2:24" s="58" customFormat="1" ht="12" x14ac:dyDescent="0.2">
      <c r="B520" s="91"/>
      <c r="E520" s="92"/>
      <c r="F520" s="93"/>
      <c r="G520" s="94"/>
      <c r="H520" s="94"/>
      <c r="I520" s="94"/>
      <c r="J520" s="94"/>
      <c r="K520" s="93"/>
      <c r="L520" s="86"/>
      <c r="M520" s="86"/>
      <c r="N520" s="86"/>
      <c r="O520" s="86"/>
      <c r="P520" s="86"/>
      <c r="Q520" s="85"/>
      <c r="S520" s="85"/>
      <c r="T520" s="85"/>
      <c r="U520" s="85"/>
      <c r="V520" s="85"/>
      <c r="W520" s="85"/>
      <c r="X520" s="85"/>
    </row>
    <row r="521" spans="2:24" s="58" customFormat="1" ht="12" x14ac:dyDescent="0.2">
      <c r="B521" s="91"/>
      <c r="E521" s="92"/>
      <c r="F521" s="93"/>
      <c r="G521" s="94"/>
      <c r="H521" s="94"/>
      <c r="I521" s="94"/>
      <c r="J521" s="94"/>
      <c r="K521" s="93"/>
      <c r="L521" s="86"/>
      <c r="M521" s="86"/>
      <c r="N521" s="86"/>
      <c r="O521" s="86"/>
      <c r="P521" s="86"/>
      <c r="Q521" s="85"/>
      <c r="S521" s="85"/>
      <c r="T521" s="85"/>
      <c r="U521" s="85"/>
      <c r="V521" s="85"/>
      <c r="W521" s="85"/>
      <c r="X521" s="85"/>
    </row>
    <row r="522" spans="2:24" s="58" customFormat="1" ht="12" x14ac:dyDescent="0.2">
      <c r="B522" s="91"/>
      <c r="E522" s="92"/>
      <c r="F522" s="93"/>
      <c r="G522" s="94"/>
      <c r="H522" s="94"/>
      <c r="I522" s="94"/>
      <c r="J522" s="94"/>
      <c r="K522" s="93"/>
      <c r="L522" s="86"/>
      <c r="M522" s="86"/>
      <c r="N522" s="86"/>
      <c r="O522" s="86"/>
      <c r="P522" s="86"/>
      <c r="Q522" s="85"/>
      <c r="S522" s="85"/>
      <c r="T522" s="85"/>
      <c r="U522" s="85"/>
      <c r="V522" s="85"/>
      <c r="W522" s="85"/>
      <c r="X522" s="85"/>
    </row>
    <row r="523" spans="2:24" s="58" customFormat="1" ht="12" x14ac:dyDescent="0.2">
      <c r="B523" s="91"/>
      <c r="E523" s="92"/>
      <c r="F523" s="93"/>
      <c r="G523" s="94"/>
      <c r="H523" s="94"/>
      <c r="I523" s="94"/>
      <c r="J523" s="94"/>
      <c r="K523" s="93"/>
      <c r="L523" s="86"/>
      <c r="M523" s="86"/>
      <c r="N523" s="86"/>
      <c r="O523" s="86"/>
      <c r="P523" s="86"/>
      <c r="Q523" s="85"/>
      <c r="S523" s="85"/>
      <c r="T523" s="85"/>
      <c r="U523" s="85"/>
      <c r="V523" s="85"/>
      <c r="W523" s="85"/>
      <c r="X523" s="85"/>
    </row>
    <row r="524" spans="2:24" s="58" customFormat="1" ht="12" x14ac:dyDescent="0.2">
      <c r="B524" s="91"/>
      <c r="E524" s="92"/>
      <c r="F524" s="93"/>
      <c r="G524" s="94"/>
      <c r="H524" s="94"/>
      <c r="I524" s="94"/>
      <c r="J524" s="94"/>
      <c r="K524" s="93"/>
      <c r="L524" s="86"/>
      <c r="M524" s="86"/>
      <c r="N524" s="86"/>
      <c r="O524" s="86"/>
      <c r="P524" s="86"/>
      <c r="Q524" s="85"/>
      <c r="S524" s="85"/>
      <c r="T524" s="85"/>
      <c r="U524" s="85"/>
      <c r="V524" s="85"/>
      <c r="W524" s="85"/>
      <c r="X524" s="85"/>
    </row>
    <row r="525" spans="2:24" s="58" customFormat="1" ht="12" x14ac:dyDescent="0.2">
      <c r="B525" s="91"/>
      <c r="E525" s="92"/>
      <c r="F525" s="93"/>
      <c r="G525" s="94"/>
      <c r="H525" s="94"/>
      <c r="I525" s="94"/>
      <c r="J525" s="94"/>
      <c r="K525" s="93"/>
      <c r="L525" s="86"/>
      <c r="M525" s="86"/>
      <c r="N525" s="86"/>
      <c r="O525" s="86"/>
      <c r="P525" s="86"/>
      <c r="Q525" s="85"/>
      <c r="S525" s="85"/>
      <c r="T525" s="85"/>
      <c r="U525" s="85"/>
      <c r="V525" s="85"/>
      <c r="W525" s="85"/>
      <c r="X525" s="85"/>
    </row>
    <row r="526" spans="2:24" s="58" customFormat="1" ht="12" x14ac:dyDescent="0.2">
      <c r="B526" s="91"/>
      <c r="E526" s="92"/>
      <c r="F526" s="93"/>
      <c r="G526" s="94"/>
      <c r="H526" s="94"/>
      <c r="I526" s="94"/>
      <c r="J526" s="94"/>
      <c r="K526" s="93"/>
      <c r="L526" s="86"/>
      <c r="M526" s="86"/>
      <c r="N526" s="86"/>
      <c r="O526" s="86"/>
      <c r="P526" s="86"/>
      <c r="Q526" s="85"/>
      <c r="S526" s="85"/>
      <c r="T526" s="85"/>
      <c r="U526" s="85"/>
      <c r="V526" s="85"/>
      <c r="W526" s="85"/>
      <c r="X526" s="85"/>
    </row>
    <row r="527" spans="2:24" s="58" customFormat="1" ht="12" x14ac:dyDescent="0.2">
      <c r="B527" s="91"/>
      <c r="E527" s="92"/>
      <c r="F527" s="93"/>
      <c r="G527" s="94"/>
      <c r="H527" s="94"/>
      <c r="I527" s="94"/>
      <c r="J527" s="94"/>
      <c r="K527" s="93"/>
      <c r="L527" s="86"/>
      <c r="M527" s="86"/>
      <c r="N527" s="86"/>
      <c r="O527" s="86"/>
      <c r="P527" s="86"/>
      <c r="Q527" s="85"/>
      <c r="S527" s="85"/>
      <c r="T527" s="85"/>
      <c r="U527" s="85"/>
      <c r="V527" s="85"/>
      <c r="W527" s="85"/>
      <c r="X527" s="85"/>
    </row>
    <row r="528" spans="2:24" s="58" customFormat="1" ht="12" x14ac:dyDescent="0.2">
      <c r="B528" s="91"/>
      <c r="E528" s="92"/>
      <c r="F528" s="93"/>
      <c r="G528" s="94"/>
      <c r="H528" s="94"/>
      <c r="I528" s="94"/>
      <c r="J528" s="94"/>
      <c r="K528" s="93"/>
      <c r="L528" s="86"/>
      <c r="M528" s="86"/>
      <c r="N528" s="86"/>
      <c r="O528" s="86"/>
      <c r="P528" s="86"/>
      <c r="Q528" s="85"/>
      <c r="S528" s="85"/>
      <c r="T528" s="85"/>
      <c r="U528" s="85"/>
      <c r="V528" s="85"/>
      <c r="W528" s="85"/>
      <c r="X528" s="85"/>
    </row>
    <row r="529" spans="2:24" s="58" customFormat="1" ht="12" x14ac:dyDescent="0.2">
      <c r="B529" s="91"/>
      <c r="E529" s="92"/>
      <c r="F529" s="93"/>
      <c r="G529" s="94"/>
      <c r="H529" s="94"/>
      <c r="I529" s="94"/>
      <c r="J529" s="94"/>
      <c r="K529" s="93"/>
      <c r="L529" s="86"/>
      <c r="M529" s="86"/>
      <c r="N529" s="86"/>
      <c r="O529" s="86"/>
      <c r="P529" s="86"/>
      <c r="Q529" s="85"/>
      <c r="S529" s="85"/>
      <c r="T529" s="85"/>
      <c r="U529" s="85"/>
      <c r="V529" s="85"/>
      <c r="W529" s="85"/>
      <c r="X529" s="85"/>
    </row>
    <row r="530" spans="2:24" s="58" customFormat="1" ht="12" x14ac:dyDescent="0.2">
      <c r="B530" s="91"/>
      <c r="E530" s="92"/>
      <c r="F530" s="93"/>
      <c r="G530" s="94"/>
      <c r="H530" s="94"/>
      <c r="I530" s="94"/>
      <c r="J530" s="94"/>
      <c r="K530" s="93"/>
      <c r="L530" s="86"/>
      <c r="M530" s="86"/>
      <c r="N530" s="86"/>
      <c r="O530" s="86"/>
      <c r="P530" s="86"/>
      <c r="Q530" s="85"/>
      <c r="S530" s="85"/>
      <c r="T530" s="85"/>
      <c r="U530" s="85"/>
      <c r="V530" s="85"/>
      <c r="W530" s="85"/>
      <c r="X530" s="85"/>
    </row>
    <row r="531" spans="2:24" s="58" customFormat="1" ht="12" x14ac:dyDescent="0.2">
      <c r="B531" s="91"/>
      <c r="E531" s="92"/>
      <c r="F531" s="93"/>
      <c r="G531" s="94"/>
      <c r="H531" s="94"/>
      <c r="I531" s="94"/>
      <c r="J531" s="94"/>
      <c r="K531" s="93"/>
      <c r="L531" s="86"/>
      <c r="M531" s="86"/>
      <c r="N531" s="86"/>
      <c r="O531" s="86"/>
      <c r="P531" s="86"/>
      <c r="Q531" s="85"/>
      <c r="S531" s="85"/>
      <c r="T531" s="85"/>
      <c r="U531" s="85"/>
      <c r="V531" s="85"/>
      <c r="W531" s="85"/>
      <c r="X531" s="85"/>
    </row>
    <row r="532" spans="2:24" s="58" customFormat="1" ht="12" x14ac:dyDescent="0.2">
      <c r="B532" s="91"/>
      <c r="E532" s="92"/>
      <c r="F532" s="93"/>
      <c r="G532" s="94"/>
      <c r="H532" s="94"/>
      <c r="I532" s="94"/>
      <c r="J532" s="94"/>
      <c r="K532" s="93"/>
      <c r="L532" s="86"/>
      <c r="M532" s="86"/>
      <c r="N532" s="86"/>
      <c r="O532" s="86"/>
      <c r="P532" s="86"/>
      <c r="Q532" s="85"/>
      <c r="S532" s="85"/>
      <c r="T532" s="85"/>
      <c r="U532" s="85"/>
      <c r="V532" s="85"/>
      <c r="W532" s="85"/>
      <c r="X532" s="85"/>
    </row>
    <row r="533" spans="2:24" s="58" customFormat="1" ht="12" x14ac:dyDescent="0.2">
      <c r="B533" s="91"/>
      <c r="E533" s="92"/>
      <c r="F533" s="93"/>
      <c r="G533" s="94"/>
      <c r="H533" s="94"/>
      <c r="I533" s="94"/>
      <c r="J533" s="94"/>
      <c r="K533" s="93"/>
      <c r="L533" s="86"/>
      <c r="M533" s="86"/>
      <c r="N533" s="86"/>
      <c r="O533" s="86"/>
      <c r="P533" s="86"/>
      <c r="Q533" s="85"/>
      <c r="S533" s="85"/>
      <c r="T533" s="85"/>
      <c r="U533" s="85"/>
      <c r="V533" s="85"/>
      <c r="W533" s="85"/>
      <c r="X533" s="85"/>
    </row>
    <row r="534" spans="2:24" s="58" customFormat="1" ht="12" x14ac:dyDescent="0.2">
      <c r="B534" s="91"/>
      <c r="E534" s="92"/>
      <c r="F534" s="93"/>
      <c r="G534" s="94"/>
      <c r="H534" s="94"/>
      <c r="I534" s="94"/>
      <c r="J534" s="94"/>
      <c r="K534" s="93"/>
      <c r="L534" s="86"/>
      <c r="M534" s="86"/>
      <c r="N534" s="86"/>
      <c r="O534" s="86"/>
      <c r="P534" s="86"/>
      <c r="Q534" s="85"/>
      <c r="S534" s="85"/>
      <c r="T534" s="85"/>
      <c r="U534" s="85"/>
      <c r="V534" s="85"/>
      <c r="W534" s="85"/>
      <c r="X534" s="85"/>
    </row>
    <row r="535" spans="2:24" s="58" customFormat="1" ht="12" x14ac:dyDescent="0.2">
      <c r="B535" s="91"/>
      <c r="E535" s="92"/>
      <c r="F535" s="93"/>
      <c r="G535" s="94"/>
      <c r="H535" s="94"/>
      <c r="I535" s="94"/>
      <c r="J535" s="94"/>
      <c r="K535" s="93"/>
      <c r="L535" s="86"/>
      <c r="M535" s="86"/>
      <c r="N535" s="86"/>
      <c r="O535" s="86"/>
      <c r="P535" s="86"/>
      <c r="Q535" s="85"/>
      <c r="S535" s="85"/>
      <c r="T535" s="85"/>
      <c r="U535" s="85"/>
      <c r="V535" s="85"/>
      <c r="W535" s="85"/>
      <c r="X535" s="85"/>
    </row>
    <row r="536" spans="2:24" s="58" customFormat="1" ht="12" x14ac:dyDescent="0.2">
      <c r="B536" s="91"/>
      <c r="E536" s="92"/>
      <c r="F536" s="93"/>
      <c r="G536" s="94"/>
      <c r="H536" s="94"/>
      <c r="I536" s="94"/>
      <c r="J536" s="94"/>
      <c r="K536" s="93"/>
      <c r="L536" s="86"/>
      <c r="M536" s="86"/>
      <c r="N536" s="86"/>
      <c r="O536" s="86"/>
      <c r="P536" s="86"/>
      <c r="Q536" s="85"/>
      <c r="S536" s="85"/>
      <c r="T536" s="85"/>
      <c r="U536" s="85"/>
      <c r="V536" s="85"/>
      <c r="W536" s="85"/>
      <c r="X536" s="85"/>
    </row>
    <row r="537" spans="2:24" s="58" customFormat="1" ht="12" x14ac:dyDescent="0.2">
      <c r="B537" s="91"/>
      <c r="E537" s="92"/>
      <c r="F537" s="93"/>
      <c r="G537" s="94"/>
      <c r="H537" s="94"/>
      <c r="I537" s="94"/>
      <c r="J537" s="94"/>
      <c r="K537" s="93"/>
      <c r="L537" s="86"/>
      <c r="M537" s="86"/>
      <c r="N537" s="86"/>
      <c r="O537" s="86"/>
      <c r="P537" s="86"/>
      <c r="Q537" s="85"/>
      <c r="S537" s="85"/>
      <c r="T537" s="85"/>
      <c r="U537" s="85"/>
      <c r="V537" s="85"/>
      <c r="W537" s="85"/>
      <c r="X537" s="85"/>
    </row>
    <row r="538" spans="2:24" s="58" customFormat="1" ht="12" x14ac:dyDescent="0.2">
      <c r="B538" s="91"/>
      <c r="E538" s="92"/>
      <c r="F538" s="93"/>
      <c r="G538" s="94"/>
      <c r="H538" s="94"/>
      <c r="I538" s="94"/>
      <c r="J538" s="94"/>
      <c r="K538" s="93"/>
      <c r="L538" s="86"/>
      <c r="M538" s="86"/>
      <c r="N538" s="86"/>
      <c r="O538" s="86"/>
      <c r="P538" s="86"/>
      <c r="Q538" s="85"/>
      <c r="S538" s="85"/>
      <c r="T538" s="85"/>
      <c r="U538" s="85"/>
      <c r="V538" s="85"/>
      <c r="W538" s="85"/>
      <c r="X538" s="85"/>
    </row>
    <row r="539" spans="2:24" s="58" customFormat="1" ht="12" x14ac:dyDescent="0.2">
      <c r="B539" s="91"/>
      <c r="E539" s="92"/>
      <c r="F539" s="93"/>
      <c r="G539" s="94"/>
      <c r="H539" s="94"/>
      <c r="I539" s="94"/>
      <c r="J539" s="94"/>
      <c r="K539" s="93"/>
      <c r="L539" s="86"/>
      <c r="M539" s="86"/>
      <c r="N539" s="86"/>
      <c r="O539" s="86"/>
      <c r="P539" s="86"/>
      <c r="Q539" s="85"/>
      <c r="S539" s="85"/>
      <c r="T539" s="85"/>
      <c r="U539" s="85"/>
      <c r="V539" s="85"/>
      <c r="W539" s="85"/>
      <c r="X539" s="85"/>
    </row>
    <row r="540" spans="2:24" s="58" customFormat="1" ht="12" x14ac:dyDescent="0.2">
      <c r="B540" s="91"/>
      <c r="E540" s="92"/>
      <c r="F540" s="93"/>
      <c r="G540" s="94"/>
      <c r="H540" s="94"/>
      <c r="I540" s="94"/>
      <c r="J540" s="94"/>
      <c r="K540" s="93"/>
      <c r="L540" s="86"/>
      <c r="M540" s="86"/>
      <c r="N540" s="86"/>
      <c r="O540" s="86"/>
      <c r="P540" s="86"/>
      <c r="Q540" s="85"/>
      <c r="S540" s="85"/>
      <c r="T540" s="85"/>
      <c r="U540" s="85"/>
      <c r="V540" s="85"/>
      <c r="W540" s="85"/>
      <c r="X540" s="85"/>
    </row>
    <row r="541" spans="2:24" s="58" customFormat="1" ht="12" x14ac:dyDescent="0.2">
      <c r="B541" s="91"/>
      <c r="E541" s="92"/>
      <c r="F541" s="93"/>
      <c r="G541" s="94"/>
      <c r="H541" s="94"/>
      <c r="I541" s="94"/>
      <c r="J541" s="94"/>
      <c r="K541" s="93"/>
      <c r="L541" s="86"/>
      <c r="M541" s="86"/>
      <c r="N541" s="86"/>
      <c r="O541" s="86"/>
      <c r="P541" s="86"/>
      <c r="Q541" s="85"/>
      <c r="S541" s="85"/>
      <c r="T541" s="85"/>
      <c r="U541" s="85"/>
      <c r="V541" s="85"/>
      <c r="W541" s="85"/>
      <c r="X541" s="85"/>
    </row>
    <row r="542" spans="2:24" s="58" customFormat="1" ht="12" x14ac:dyDescent="0.2">
      <c r="B542" s="91"/>
      <c r="E542" s="92"/>
      <c r="F542" s="93"/>
      <c r="G542" s="94"/>
      <c r="H542" s="94"/>
      <c r="I542" s="94"/>
      <c r="J542" s="94"/>
      <c r="K542" s="93"/>
      <c r="L542" s="86"/>
      <c r="M542" s="86"/>
      <c r="N542" s="86"/>
      <c r="O542" s="86"/>
      <c r="P542" s="86"/>
      <c r="Q542" s="85"/>
      <c r="S542" s="85"/>
      <c r="T542" s="85"/>
      <c r="U542" s="85"/>
      <c r="V542" s="85"/>
      <c r="W542" s="85"/>
      <c r="X542" s="85"/>
    </row>
    <row r="543" spans="2:24" s="58" customFormat="1" ht="12" x14ac:dyDescent="0.2">
      <c r="B543" s="91"/>
      <c r="E543" s="92"/>
      <c r="F543" s="93"/>
      <c r="G543" s="94"/>
      <c r="H543" s="94"/>
      <c r="I543" s="94"/>
      <c r="J543" s="94"/>
      <c r="K543" s="93"/>
      <c r="L543" s="86"/>
      <c r="M543" s="86"/>
      <c r="N543" s="86"/>
      <c r="O543" s="86"/>
      <c r="P543" s="86"/>
      <c r="Q543" s="85"/>
      <c r="S543" s="85"/>
      <c r="T543" s="85"/>
      <c r="U543" s="85"/>
      <c r="V543" s="85"/>
      <c r="W543" s="85"/>
      <c r="X543" s="85"/>
    </row>
    <row r="544" spans="2:24" s="58" customFormat="1" ht="12" x14ac:dyDescent="0.2">
      <c r="B544" s="91"/>
      <c r="E544" s="92"/>
      <c r="F544" s="93"/>
      <c r="G544" s="94"/>
      <c r="H544" s="94"/>
      <c r="I544" s="94"/>
      <c r="J544" s="94"/>
      <c r="K544" s="93"/>
      <c r="L544" s="86"/>
      <c r="M544" s="86"/>
      <c r="N544" s="86"/>
      <c r="O544" s="86"/>
      <c r="P544" s="86"/>
      <c r="Q544" s="85"/>
      <c r="S544" s="85"/>
      <c r="T544" s="85"/>
      <c r="U544" s="85"/>
      <c r="V544" s="85"/>
      <c r="W544" s="85"/>
      <c r="X544" s="85"/>
    </row>
    <row r="545" spans="2:24" s="58" customFormat="1" ht="12" x14ac:dyDescent="0.2">
      <c r="B545" s="91"/>
      <c r="E545" s="92"/>
      <c r="F545" s="93"/>
      <c r="G545" s="94"/>
      <c r="H545" s="94"/>
      <c r="I545" s="94"/>
      <c r="J545" s="94"/>
      <c r="K545" s="93"/>
      <c r="L545" s="86"/>
      <c r="M545" s="86"/>
      <c r="N545" s="86"/>
      <c r="O545" s="86"/>
      <c r="P545" s="86"/>
      <c r="Q545" s="85"/>
      <c r="S545" s="85"/>
      <c r="T545" s="85"/>
      <c r="U545" s="85"/>
      <c r="V545" s="85"/>
      <c r="W545" s="85"/>
      <c r="X545" s="85"/>
    </row>
    <row r="546" spans="2:24" s="58" customFormat="1" ht="12" x14ac:dyDescent="0.2">
      <c r="B546" s="91"/>
      <c r="E546" s="92"/>
      <c r="F546" s="93"/>
      <c r="G546" s="94"/>
      <c r="H546" s="94"/>
      <c r="I546" s="94"/>
      <c r="J546" s="94"/>
      <c r="K546" s="93"/>
      <c r="L546" s="86"/>
      <c r="M546" s="86"/>
      <c r="N546" s="86"/>
      <c r="O546" s="86"/>
      <c r="P546" s="86"/>
      <c r="Q546" s="85"/>
      <c r="S546" s="85"/>
      <c r="T546" s="85"/>
      <c r="U546" s="85"/>
      <c r="V546" s="85"/>
      <c r="W546" s="85"/>
      <c r="X546" s="85"/>
    </row>
    <row r="547" spans="2:24" s="58" customFormat="1" ht="12" x14ac:dyDescent="0.2">
      <c r="B547" s="91"/>
      <c r="E547" s="92"/>
      <c r="F547" s="93"/>
      <c r="G547" s="94"/>
      <c r="H547" s="94"/>
      <c r="I547" s="94"/>
      <c r="J547" s="94"/>
      <c r="K547" s="93"/>
      <c r="L547" s="86"/>
      <c r="M547" s="86"/>
      <c r="N547" s="86"/>
      <c r="O547" s="86"/>
      <c r="P547" s="86"/>
      <c r="Q547" s="85"/>
      <c r="S547" s="85"/>
      <c r="T547" s="85"/>
      <c r="U547" s="85"/>
      <c r="V547" s="85"/>
      <c r="W547" s="85"/>
      <c r="X547" s="85"/>
    </row>
    <row r="548" spans="2:24" s="58" customFormat="1" ht="12" x14ac:dyDescent="0.2">
      <c r="B548" s="91"/>
      <c r="E548" s="92"/>
      <c r="F548" s="93"/>
      <c r="G548" s="94"/>
      <c r="H548" s="94"/>
      <c r="I548" s="94"/>
      <c r="J548" s="94"/>
      <c r="K548" s="93"/>
      <c r="L548" s="86"/>
      <c r="M548" s="86"/>
      <c r="N548" s="86"/>
      <c r="O548" s="86"/>
      <c r="P548" s="86"/>
      <c r="Q548" s="85"/>
      <c r="S548" s="85"/>
      <c r="T548" s="85"/>
      <c r="U548" s="85"/>
      <c r="V548" s="85"/>
      <c r="W548" s="85"/>
      <c r="X548" s="85"/>
    </row>
    <row r="549" spans="2:24" s="58" customFormat="1" ht="12" x14ac:dyDescent="0.2">
      <c r="B549" s="91"/>
      <c r="E549" s="92"/>
      <c r="F549" s="93"/>
      <c r="G549" s="94"/>
      <c r="H549" s="94"/>
      <c r="I549" s="94"/>
      <c r="J549" s="94"/>
      <c r="K549" s="93"/>
      <c r="L549" s="86"/>
      <c r="M549" s="86"/>
      <c r="N549" s="86"/>
      <c r="O549" s="86"/>
      <c r="P549" s="86"/>
      <c r="Q549" s="85"/>
      <c r="S549" s="85"/>
      <c r="T549" s="85"/>
      <c r="U549" s="85"/>
      <c r="V549" s="85"/>
      <c r="W549" s="85"/>
      <c r="X549" s="85"/>
    </row>
    <row r="550" spans="2:24" s="58" customFormat="1" ht="12" x14ac:dyDescent="0.2">
      <c r="B550" s="91"/>
      <c r="E550" s="92"/>
      <c r="F550" s="93"/>
      <c r="G550" s="94"/>
      <c r="H550" s="94"/>
      <c r="I550" s="94"/>
      <c r="J550" s="94"/>
      <c r="K550" s="93"/>
      <c r="L550" s="86"/>
      <c r="M550" s="86"/>
      <c r="N550" s="86"/>
      <c r="O550" s="86"/>
      <c r="P550" s="86"/>
      <c r="Q550" s="85"/>
      <c r="S550" s="85"/>
      <c r="T550" s="85"/>
      <c r="U550" s="85"/>
      <c r="V550" s="85"/>
      <c r="W550" s="85"/>
      <c r="X550" s="85"/>
    </row>
    <row r="551" spans="2:24" s="58" customFormat="1" ht="12" x14ac:dyDescent="0.2">
      <c r="B551" s="91"/>
      <c r="E551" s="92"/>
      <c r="F551" s="93"/>
      <c r="G551" s="94"/>
      <c r="H551" s="94"/>
      <c r="I551" s="94"/>
      <c r="J551" s="94"/>
      <c r="K551" s="93"/>
      <c r="L551" s="86"/>
      <c r="M551" s="86"/>
      <c r="N551" s="86"/>
      <c r="O551" s="86"/>
      <c r="P551" s="86"/>
      <c r="Q551" s="85"/>
      <c r="S551" s="85"/>
      <c r="T551" s="85"/>
      <c r="U551" s="85"/>
      <c r="V551" s="85"/>
      <c r="W551" s="85"/>
      <c r="X551" s="85"/>
    </row>
    <row r="552" spans="2:24" s="58" customFormat="1" ht="12" x14ac:dyDescent="0.2">
      <c r="B552" s="91"/>
      <c r="E552" s="92"/>
      <c r="F552" s="93"/>
      <c r="G552" s="94"/>
      <c r="H552" s="94"/>
      <c r="I552" s="94"/>
      <c r="J552" s="94"/>
      <c r="K552" s="93"/>
      <c r="L552" s="86"/>
      <c r="M552" s="86"/>
      <c r="N552" s="86"/>
      <c r="O552" s="86"/>
      <c r="P552" s="86"/>
      <c r="Q552" s="85"/>
      <c r="S552" s="85"/>
      <c r="T552" s="85"/>
      <c r="U552" s="85"/>
      <c r="V552" s="85"/>
      <c r="W552" s="85"/>
      <c r="X552" s="85"/>
    </row>
    <row r="553" spans="2:24" s="58" customFormat="1" ht="12" x14ac:dyDescent="0.2">
      <c r="B553" s="91"/>
      <c r="E553" s="92"/>
      <c r="F553" s="93"/>
      <c r="G553" s="94"/>
      <c r="H553" s="94"/>
      <c r="I553" s="94"/>
      <c r="J553" s="94"/>
      <c r="K553" s="93"/>
      <c r="L553" s="86"/>
      <c r="M553" s="86"/>
      <c r="N553" s="86"/>
      <c r="O553" s="86"/>
      <c r="P553" s="86"/>
      <c r="Q553" s="85"/>
      <c r="S553" s="85"/>
      <c r="T553" s="85"/>
      <c r="U553" s="85"/>
      <c r="V553" s="85"/>
      <c r="W553" s="85"/>
      <c r="X553" s="85"/>
    </row>
    <row r="554" spans="2:24" s="58" customFormat="1" ht="12" x14ac:dyDescent="0.2">
      <c r="B554" s="91"/>
      <c r="E554" s="92"/>
      <c r="F554" s="93"/>
      <c r="G554" s="94"/>
      <c r="H554" s="94"/>
      <c r="I554" s="94"/>
      <c r="J554" s="94"/>
      <c r="K554" s="93"/>
      <c r="L554" s="86"/>
      <c r="M554" s="86"/>
      <c r="N554" s="86"/>
      <c r="O554" s="86"/>
      <c r="P554" s="86"/>
      <c r="Q554" s="85"/>
      <c r="S554" s="85"/>
      <c r="T554" s="85"/>
      <c r="U554" s="85"/>
      <c r="V554" s="85"/>
      <c r="W554" s="85"/>
      <c r="X554" s="85"/>
    </row>
    <row r="555" spans="2:24" s="58" customFormat="1" ht="12" x14ac:dyDescent="0.2">
      <c r="B555" s="91"/>
      <c r="E555" s="92"/>
      <c r="F555" s="93"/>
      <c r="G555" s="94"/>
      <c r="H555" s="94"/>
      <c r="I555" s="94"/>
      <c r="J555" s="94"/>
      <c r="K555" s="93"/>
      <c r="L555" s="86"/>
      <c r="M555" s="86"/>
      <c r="N555" s="86"/>
      <c r="O555" s="86"/>
      <c r="P555" s="86"/>
      <c r="Q555" s="85"/>
      <c r="S555" s="85"/>
      <c r="T555" s="85"/>
      <c r="U555" s="85"/>
      <c r="V555" s="85"/>
      <c r="W555" s="85"/>
      <c r="X555" s="85"/>
    </row>
    <row r="556" spans="2:24" s="58" customFormat="1" ht="12" x14ac:dyDescent="0.2">
      <c r="B556" s="91"/>
      <c r="E556" s="92"/>
      <c r="F556" s="93"/>
      <c r="G556" s="94"/>
      <c r="H556" s="94"/>
      <c r="I556" s="94"/>
      <c r="J556" s="94"/>
      <c r="K556" s="93"/>
      <c r="L556" s="86"/>
      <c r="M556" s="86"/>
      <c r="N556" s="86"/>
      <c r="O556" s="86"/>
      <c r="P556" s="86"/>
      <c r="Q556" s="85"/>
      <c r="S556" s="85"/>
      <c r="T556" s="85"/>
      <c r="U556" s="85"/>
      <c r="V556" s="85"/>
      <c r="W556" s="85"/>
      <c r="X556" s="85"/>
    </row>
    <row r="557" spans="2:24" s="58" customFormat="1" ht="12" x14ac:dyDescent="0.2">
      <c r="B557" s="91"/>
      <c r="E557" s="92"/>
      <c r="F557" s="93"/>
      <c r="G557" s="94"/>
      <c r="H557" s="94"/>
      <c r="I557" s="94"/>
      <c r="J557" s="94"/>
      <c r="K557" s="93"/>
      <c r="L557" s="86"/>
      <c r="M557" s="86"/>
      <c r="N557" s="86"/>
      <c r="O557" s="86"/>
      <c r="P557" s="86"/>
      <c r="Q557" s="85"/>
      <c r="S557" s="85"/>
      <c r="T557" s="85"/>
      <c r="U557" s="85"/>
      <c r="V557" s="85"/>
      <c r="W557" s="85"/>
      <c r="X557" s="85"/>
    </row>
    <row r="558" spans="2:24" s="58" customFormat="1" ht="12" x14ac:dyDescent="0.2">
      <c r="B558" s="91"/>
      <c r="E558" s="92"/>
      <c r="F558" s="93"/>
      <c r="G558" s="94"/>
      <c r="H558" s="94"/>
      <c r="I558" s="94"/>
      <c r="J558" s="94"/>
      <c r="K558" s="93"/>
      <c r="L558" s="86"/>
      <c r="M558" s="86"/>
      <c r="N558" s="86"/>
      <c r="O558" s="86"/>
      <c r="P558" s="86"/>
      <c r="Q558" s="85"/>
      <c r="S558" s="85"/>
      <c r="T558" s="85"/>
      <c r="U558" s="85"/>
      <c r="V558" s="85"/>
      <c r="W558" s="85"/>
      <c r="X558" s="85"/>
    </row>
    <row r="559" spans="2:24" s="58" customFormat="1" ht="12" x14ac:dyDescent="0.2">
      <c r="B559" s="91"/>
      <c r="E559" s="92"/>
      <c r="F559" s="93"/>
      <c r="G559" s="94"/>
      <c r="H559" s="94"/>
      <c r="I559" s="94"/>
      <c r="J559" s="94"/>
      <c r="K559" s="93"/>
      <c r="L559" s="86"/>
      <c r="M559" s="86"/>
      <c r="N559" s="86"/>
      <c r="O559" s="86"/>
      <c r="P559" s="86"/>
      <c r="Q559" s="85"/>
      <c r="S559" s="85"/>
      <c r="T559" s="85"/>
      <c r="U559" s="85"/>
      <c r="V559" s="85"/>
      <c r="W559" s="85"/>
      <c r="X559" s="85"/>
    </row>
    <row r="560" spans="2:24" s="58" customFormat="1" ht="12" x14ac:dyDescent="0.2">
      <c r="B560" s="91"/>
      <c r="E560" s="92"/>
      <c r="F560" s="93"/>
      <c r="G560" s="94"/>
      <c r="H560" s="94"/>
      <c r="I560" s="94"/>
      <c r="J560" s="94"/>
      <c r="K560" s="93"/>
      <c r="L560" s="86"/>
      <c r="M560" s="86"/>
      <c r="N560" s="86"/>
      <c r="O560" s="86"/>
      <c r="P560" s="86"/>
      <c r="Q560" s="85"/>
      <c r="S560" s="85"/>
      <c r="T560" s="85"/>
      <c r="U560" s="85"/>
      <c r="V560" s="85"/>
      <c r="W560" s="85"/>
      <c r="X560" s="85"/>
    </row>
    <row r="561" spans="2:24" s="58" customFormat="1" ht="12" x14ac:dyDescent="0.2">
      <c r="B561" s="91"/>
      <c r="E561" s="92"/>
      <c r="F561" s="93"/>
      <c r="G561" s="94"/>
      <c r="H561" s="94"/>
      <c r="I561" s="94"/>
      <c r="J561" s="94"/>
      <c r="K561" s="93"/>
      <c r="L561" s="86"/>
      <c r="M561" s="86"/>
      <c r="N561" s="86"/>
      <c r="O561" s="86"/>
      <c r="P561" s="86"/>
      <c r="Q561" s="85"/>
      <c r="S561" s="85"/>
      <c r="T561" s="85"/>
      <c r="U561" s="85"/>
      <c r="V561" s="85"/>
      <c r="W561" s="85"/>
      <c r="X561" s="85"/>
    </row>
    <row r="562" spans="2:24" s="58" customFormat="1" ht="12" x14ac:dyDescent="0.2">
      <c r="B562" s="91"/>
      <c r="E562" s="92"/>
      <c r="F562" s="93"/>
      <c r="G562" s="94"/>
      <c r="H562" s="94"/>
      <c r="I562" s="94"/>
      <c r="J562" s="94"/>
      <c r="K562" s="93"/>
      <c r="L562" s="86"/>
      <c r="M562" s="86"/>
      <c r="N562" s="86"/>
      <c r="O562" s="86"/>
      <c r="P562" s="86"/>
      <c r="Q562" s="85"/>
      <c r="S562" s="85"/>
      <c r="T562" s="85"/>
      <c r="U562" s="85"/>
      <c r="V562" s="85"/>
      <c r="W562" s="85"/>
      <c r="X562" s="85"/>
    </row>
    <row r="563" spans="2:24" s="58" customFormat="1" ht="12" x14ac:dyDescent="0.2">
      <c r="B563" s="91"/>
      <c r="E563" s="92"/>
      <c r="F563" s="93"/>
      <c r="G563" s="94"/>
      <c r="H563" s="94"/>
      <c r="I563" s="94"/>
      <c r="J563" s="94"/>
      <c r="K563" s="93"/>
      <c r="L563" s="86"/>
      <c r="M563" s="86"/>
      <c r="N563" s="86"/>
      <c r="O563" s="86"/>
      <c r="P563" s="86"/>
      <c r="Q563" s="85"/>
      <c r="S563" s="85"/>
      <c r="T563" s="85"/>
      <c r="U563" s="85"/>
      <c r="V563" s="85"/>
      <c r="W563" s="85"/>
      <c r="X563" s="85"/>
    </row>
    <row r="564" spans="2:24" s="58" customFormat="1" ht="12" x14ac:dyDescent="0.2">
      <c r="B564" s="91"/>
      <c r="E564" s="92"/>
      <c r="F564" s="93"/>
      <c r="G564" s="94"/>
      <c r="H564" s="94"/>
      <c r="I564" s="94"/>
      <c r="J564" s="94"/>
      <c r="K564" s="93"/>
      <c r="L564" s="86"/>
      <c r="M564" s="86"/>
      <c r="N564" s="86"/>
      <c r="O564" s="86"/>
      <c r="P564" s="86"/>
      <c r="Q564" s="85"/>
      <c r="S564" s="85"/>
      <c r="T564" s="85"/>
      <c r="U564" s="85"/>
      <c r="V564" s="85"/>
      <c r="W564" s="85"/>
      <c r="X564" s="85"/>
    </row>
    <row r="565" spans="2:24" s="58" customFormat="1" ht="12" x14ac:dyDescent="0.2">
      <c r="B565" s="91"/>
      <c r="E565" s="92"/>
      <c r="F565" s="93"/>
      <c r="G565" s="94"/>
      <c r="H565" s="94"/>
      <c r="I565" s="94"/>
      <c r="J565" s="94"/>
      <c r="K565" s="93"/>
      <c r="L565" s="86"/>
      <c r="M565" s="86"/>
      <c r="N565" s="86"/>
      <c r="O565" s="86"/>
      <c r="P565" s="86"/>
      <c r="Q565" s="85"/>
      <c r="S565" s="85"/>
      <c r="T565" s="85"/>
      <c r="U565" s="85"/>
      <c r="V565" s="85"/>
      <c r="W565" s="85"/>
      <c r="X565" s="85"/>
    </row>
    <row r="566" spans="2:24" s="58" customFormat="1" ht="12" x14ac:dyDescent="0.2">
      <c r="B566" s="91"/>
      <c r="E566" s="92"/>
      <c r="F566" s="93"/>
      <c r="G566" s="94"/>
      <c r="H566" s="94"/>
      <c r="I566" s="94"/>
      <c r="J566" s="94"/>
      <c r="K566" s="93"/>
      <c r="L566" s="86"/>
      <c r="M566" s="86"/>
      <c r="N566" s="86"/>
      <c r="O566" s="86"/>
      <c r="P566" s="86"/>
      <c r="Q566" s="85"/>
      <c r="S566" s="85"/>
      <c r="T566" s="85"/>
      <c r="U566" s="85"/>
      <c r="V566" s="85"/>
      <c r="W566" s="85"/>
      <c r="X566" s="85"/>
    </row>
    <row r="567" spans="2:24" s="58" customFormat="1" ht="12" x14ac:dyDescent="0.2">
      <c r="B567" s="91"/>
      <c r="E567" s="92"/>
      <c r="F567" s="93"/>
      <c r="G567" s="94"/>
      <c r="H567" s="94"/>
      <c r="I567" s="94"/>
      <c r="J567" s="94"/>
      <c r="K567" s="93"/>
      <c r="L567" s="86"/>
      <c r="M567" s="86"/>
      <c r="N567" s="86"/>
      <c r="O567" s="86"/>
      <c r="P567" s="86"/>
      <c r="Q567" s="85"/>
      <c r="S567" s="85"/>
      <c r="T567" s="85"/>
      <c r="U567" s="85"/>
      <c r="V567" s="85"/>
      <c r="W567" s="85"/>
      <c r="X567" s="85"/>
    </row>
    <row r="568" spans="2:24" s="58" customFormat="1" ht="12" x14ac:dyDescent="0.2">
      <c r="B568" s="91"/>
      <c r="E568" s="92"/>
      <c r="F568" s="93"/>
      <c r="G568" s="94"/>
      <c r="H568" s="94"/>
      <c r="I568" s="94"/>
      <c r="J568" s="94"/>
      <c r="K568" s="93"/>
      <c r="L568" s="86"/>
      <c r="M568" s="86"/>
      <c r="N568" s="86"/>
      <c r="O568" s="86"/>
      <c r="P568" s="86"/>
      <c r="Q568" s="85"/>
      <c r="S568" s="85"/>
      <c r="T568" s="85"/>
      <c r="U568" s="85"/>
      <c r="V568" s="85"/>
      <c r="W568" s="85"/>
      <c r="X568" s="85"/>
    </row>
    <row r="569" spans="2:24" s="58" customFormat="1" ht="12" x14ac:dyDescent="0.2">
      <c r="B569" s="91"/>
      <c r="E569" s="92"/>
      <c r="F569" s="93"/>
      <c r="G569" s="94"/>
      <c r="H569" s="94"/>
      <c r="I569" s="94"/>
      <c r="J569" s="94"/>
      <c r="K569" s="93"/>
      <c r="L569" s="86"/>
      <c r="M569" s="86"/>
      <c r="N569" s="86"/>
      <c r="O569" s="86"/>
      <c r="P569" s="86"/>
      <c r="Q569" s="85"/>
      <c r="S569" s="85"/>
      <c r="T569" s="85"/>
      <c r="U569" s="85"/>
      <c r="V569" s="85"/>
      <c r="W569" s="85"/>
      <c r="X569" s="85"/>
    </row>
    <row r="570" spans="2:24" s="58" customFormat="1" ht="12" x14ac:dyDescent="0.2">
      <c r="B570" s="91"/>
      <c r="E570" s="92"/>
      <c r="F570" s="93"/>
      <c r="G570" s="94"/>
      <c r="H570" s="94"/>
      <c r="I570" s="94"/>
      <c r="J570" s="94"/>
      <c r="K570" s="93"/>
      <c r="L570" s="86"/>
      <c r="M570" s="86"/>
      <c r="N570" s="86"/>
      <c r="O570" s="86"/>
      <c r="P570" s="86"/>
      <c r="Q570" s="85"/>
      <c r="S570" s="85"/>
      <c r="T570" s="85"/>
      <c r="U570" s="85"/>
      <c r="V570" s="85"/>
      <c r="W570" s="85"/>
      <c r="X570" s="85"/>
    </row>
    <row r="571" spans="2:24" s="58" customFormat="1" ht="12" x14ac:dyDescent="0.2">
      <c r="B571" s="91"/>
      <c r="E571" s="92"/>
      <c r="F571" s="93"/>
      <c r="G571" s="94"/>
      <c r="H571" s="94"/>
      <c r="I571" s="94"/>
      <c r="J571" s="94"/>
      <c r="K571" s="93"/>
      <c r="L571" s="86"/>
      <c r="M571" s="86"/>
      <c r="N571" s="86"/>
      <c r="O571" s="86"/>
      <c r="P571" s="86"/>
      <c r="Q571" s="85"/>
      <c r="S571" s="85"/>
      <c r="T571" s="85"/>
      <c r="U571" s="85"/>
      <c r="V571" s="85"/>
      <c r="W571" s="85"/>
      <c r="X571" s="85"/>
    </row>
    <row r="572" spans="2:24" s="58" customFormat="1" ht="12" x14ac:dyDescent="0.2">
      <c r="B572" s="91"/>
      <c r="E572" s="92"/>
      <c r="F572" s="93"/>
      <c r="G572" s="94"/>
      <c r="H572" s="94"/>
      <c r="I572" s="94"/>
      <c r="J572" s="94"/>
      <c r="K572" s="93"/>
      <c r="L572" s="86"/>
      <c r="M572" s="86"/>
      <c r="N572" s="86"/>
      <c r="O572" s="86"/>
      <c r="P572" s="86"/>
      <c r="Q572" s="85"/>
      <c r="S572" s="85"/>
      <c r="T572" s="85"/>
      <c r="U572" s="85"/>
      <c r="V572" s="85"/>
      <c r="W572" s="85"/>
      <c r="X572" s="85"/>
    </row>
    <row r="573" spans="2:24" s="58" customFormat="1" ht="12" x14ac:dyDescent="0.2">
      <c r="B573" s="91"/>
      <c r="E573" s="92"/>
      <c r="F573" s="93"/>
      <c r="G573" s="94"/>
      <c r="H573" s="94"/>
      <c r="I573" s="94"/>
      <c r="J573" s="94"/>
      <c r="K573" s="93"/>
      <c r="L573" s="86"/>
      <c r="M573" s="86"/>
      <c r="N573" s="86"/>
      <c r="O573" s="86"/>
      <c r="P573" s="86"/>
      <c r="Q573" s="85"/>
      <c r="S573" s="85"/>
      <c r="T573" s="85"/>
      <c r="U573" s="85"/>
      <c r="V573" s="85"/>
      <c r="W573" s="85"/>
      <c r="X573" s="85"/>
    </row>
    <row r="574" spans="2:24" s="58" customFormat="1" ht="12" x14ac:dyDescent="0.2">
      <c r="B574" s="91"/>
      <c r="E574" s="92"/>
      <c r="F574" s="93"/>
      <c r="G574" s="94"/>
      <c r="H574" s="94"/>
      <c r="I574" s="94"/>
      <c r="J574" s="94"/>
      <c r="K574" s="93"/>
      <c r="L574" s="86"/>
      <c r="M574" s="86"/>
      <c r="N574" s="86"/>
      <c r="O574" s="86"/>
      <c r="P574" s="86"/>
      <c r="Q574" s="85"/>
      <c r="S574" s="85"/>
      <c r="T574" s="85"/>
      <c r="U574" s="85"/>
      <c r="V574" s="85"/>
      <c r="W574" s="85"/>
      <c r="X574" s="85"/>
    </row>
    <row r="575" spans="2:24" s="58" customFormat="1" ht="12" x14ac:dyDescent="0.2">
      <c r="B575" s="91"/>
      <c r="E575" s="92"/>
      <c r="F575" s="93"/>
      <c r="G575" s="94"/>
      <c r="H575" s="94"/>
      <c r="I575" s="94"/>
      <c r="J575" s="94"/>
      <c r="K575" s="93"/>
      <c r="L575" s="86"/>
      <c r="M575" s="86"/>
      <c r="N575" s="86"/>
      <c r="O575" s="86"/>
      <c r="P575" s="86"/>
      <c r="Q575" s="85"/>
      <c r="S575" s="85"/>
      <c r="T575" s="85"/>
      <c r="U575" s="85"/>
      <c r="V575" s="85"/>
      <c r="W575" s="85"/>
      <c r="X575" s="85"/>
    </row>
    <row r="576" spans="2:24" s="58" customFormat="1" ht="12" x14ac:dyDescent="0.2">
      <c r="B576" s="91"/>
      <c r="E576" s="92"/>
      <c r="F576" s="93"/>
      <c r="G576" s="94"/>
      <c r="H576" s="94"/>
      <c r="I576" s="94"/>
      <c r="J576" s="94"/>
      <c r="K576" s="93"/>
      <c r="L576" s="86"/>
      <c r="M576" s="86"/>
      <c r="N576" s="86"/>
      <c r="O576" s="86"/>
      <c r="P576" s="86"/>
      <c r="Q576" s="85"/>
      <c r="S576" s="85"/>
      <c r="T576" s="85"/>
      <c r="U576" s="85"/>
      <c r="V576" s="85"/>
      <c r="W576" s="85"/>
      <c r="X576" s="85"/>
    </row>
    <row r="577" spans="2:24" s="58" customFormat="1" ht="12" x14ac:dyDescent="0.2">
      <c r="B577" s="91"/>
      <c r="E577" s="92"/>
      <c r="F577" s="93"/>
      <c r="G577" s="94"/>
      <c r="H577" s="94"/>
      <c r="I577" s="94"/>
      <c r="J577" s="94"/>
      <c r="K577" s="93"/>
      <c r="L577" s="86"/>
      <c r="M577" s="86"/>
      <c r="N577" s="86"/>
      <c r="O577" s="86"/>
      <c r="P577" s="86"/>
      <c r="Q577" s="85"/>
      <c r="S577" s="85"/>
      <c r="T577" s="85"/>
      <c r="U577" s="85"/>
      <c r="V577" s="85"/>
      <c r="W577" s="85"/>
      <c r="X577" s="85"/>
    </row>
    <row r="578" spans="2:24" s="58" customFormat="1" ht="12" x14ac:dyDescent="0.2">
      <c r="B578" s="91"/>
      <c r="E578" s="92"/>
      <c r="F578" s="93"/>
      <c r="G578" s="94"/>
      <c r="H578" s="94"/>
      <c r="I578" s="94"/>
      <c r="J578" s="94"/>
      <c r="K578" s="93"/>
      <c r="L578" s="86"/>
      <c r="M578" s="86"/>
      <c r="N578" s="86"/>
      <c r="O578" s="86"/>
      <c r="P578" s="86"/>
      <c r="Q578" s="85"/>
      <c r="S578" s="85"/>
      <c r="T578" s="85"/>
      <c r="U578" s="85"/>
      <c r="V578" s="85"/>
      <c r="W578" s="85"/>
      <c r="X578" s="85"/>
    </row>
    <row r="579" spans="2:24" s="58" customFormat="1" ht="12" x14ac:dyDescent="0.2">
      <c r="B579" s="91"/>
      <c r="E579" s="92"/>
      <c r="F579" s="93"/>
      <c r="G579" s="94"/>
      <c r="H579" s="94"/>
      <c r="I579" s="94"/>
      <c r="J579" s="94"/>
      <c r="K579" s="93"/>
      <c r="L579" s="86"/>
      <c r="M579" s="86"/>
      <c r="N579" s="86"/>
      <c r="O579" s="86"/>
      <c r="P579" s="86"/>
      <c r="Q579" s="85"/>
      <c r="S579" s="85"/>
      <c r="T579" s="85"/>
      <c r="U579" s="85"/>
      <c r="V579" s="85"/>
      <c r="W579" s="85"/>
      <c r="X579" s="85"/>
    </row>
    <row r="580" spans="2:24" s="58" customFormat="1" ht="12" x14ac:dyDescent="0.2">
      <c r="B580" s="91"/>
      <c r="E580" s="92"/>
      <c r="F580" s="93"/>
      <c r="G580" s="94"/>
      <c r="H580" s="94"/>
      <c r="I580" s="94"/>
      <c r="J580" s="94"/>
      <c r="K580" s="93"/>
      <c r="L580" s="86"/>
      <c r="M580" s="86"/>
      <c r="N580" s="86"/>
      <c r="O580" s="86"/>
      <c r="P580" s="86"/>
      <c r="Q580" s="85"/>
      <c r="S580" s="85"/>
      <c r="T580" s="85"/>
      <c r="U580" s="85"/>
      <c r="V580" s="85"/>
      <c r="W580" s="85"/>
      <c r="X580" s="85"/>
    </row>
    <row r="581" spans="2:24" s="58" customFormat="1" ht="12" x14ac:dyDescent="0.2">
      <c r="B581" s="91"/>
      <c r="E581" s="92"/>
      <c r="F581" s="93"/>
      <c r="G581" s="94"/>
      <c r="H581" s="94"/>
      <c r="I581" s="94"/>
      <c r="J581" s="94"/>
      <c r="K581" s="93"/>
      <c r="L581" s="86"/>
      <c r="M581" s="86"/>
      <c r="N581" s="86"/>
      <c r="O581" s="86"/>
      <c r="P581" s="86"/>
      <c r="Q581" s="85"/>
      <c r="S581" s="85"/>
      <c r="T581" s="85"/>
      <c r="U581" s="85"/>
      <c r="V581" s="85"/>
      <c r="W581" s="85"/>
      <c r="X581" s="85"/>
    </row>
    <row r="582" spans="2:24" s="58" customFormat="1" ht="12" x14ac:dyDescent="0.2">
      <c r="B582" s="91"/>
      <c r="E582" s="92"/>
      <c r="F582" s="93"/>
      <c r="G582" s="94"/>
      <c r="H582" s="94"/>
      <c r="I582" s="94"/>
      <c r="J582" s="94"/>
      <c r="K582" s="93"/>
      <c r="L582" s="86"/>
      <c r="M582" s="86"/>
      <c r="N582" s="86"/>
      <c r="O582" s="86"/>
      <c r="P582" s="86"/>
      <c r="Q582" s="85"/>
      <c r="S582" s="85"/>
      <c r="T582" s="85"/>
      <c r="U582" s="85"/>
      <c r="V582" s="85"/>
      <c r="W582" s="85"/>
      <c r="X582" s="85"/>
    </row>
    <row r="583" spans="2:24" s="58" customFormat="1" ht="12" x14ac:dyDescent="0.2">
      <c r="B583" s="91"/>
      <c r="E583" s="92"/>
      <c r="F583" s="93"/>
      <c r="G583" s="94"/>
      <c r="H583" s="94"/>
      <c r="I583" s="94"/>
      <c r="J583" s="94"/>
      <c r="K583" s="93"/>
      <c r="L583" s="86"/>
      <c r="M583" s="86"/>
      <c r="N583" s="86"/>
      <c r="O583" s="86"/>
      <c r="P583" s="86"/>
      <c r="Q583" s="85"/>
      <c r="S583" s="85"/>
      <c r="T583" s="85"/>
      <c r="U583" s="85"/>
      <c r="V583" s="85"/>
      <c r="W583" s="85"/>
      <c r="X583" s="85"/>
    </row>
    <row r="584" spans="2:24" s="58" customFormat="1" ht="12" x14ac:dyDescent="0.2">
      <c r="B584" s="91"/>
      <c r="E584" s="92"/>
      <c r="F584" s="93"/>
      <c r="G584" s="94"/>
      <c r="H584" s="94"/>
      <c r="I584" s="94"/>
      <c r="J584" s="94"/>
      <c r="K584" s="93"/>
      <c r="L584" s="86"/>
      <c r="M584" s="86"/>
      <c r="N584" s="86"/>
      <c r="O584" s="86"/>
      <c r="P584" s="86"/>
      <c r="Q584" s="85"/>
      <c r="S584" s="85"/>
      <c r="T584" s="85"/>
      <c r="U584" s="85"/>
      <c r="V584" s="85"/>
      <c r="W584" s="85"/>
      <c r="X584" s="85"/>
    </row>
    <row r="585" spans="2:24" s="58" customFormat="1" ht="12" x14ac:dyDescent="0.2">
      <c r="B585" s="91"/>
      <c r="E585" s="92"/>
      <c r="F585" s="93"/>
      <c r="G585" s="94"/>
      <c r="H585" s="94"/>
      <c r="I585" s="94"/>
      <c r="J585" s="94"/>
      <c r="K585" s="93"/>
      <c r="L585" s="86"/>
      <c r="M585" s="86"/>
      <c r="N585" s="86"/>
      <c r="O585" s="86"/>
      <c r="P585" s="86"/>
      <c r="Q585" s="85"/>
      <c r="S585" s="85"/>
      <c r="T585" s="85"/>
      <c r="U585" s="85"/>
      <c r="V585" s="85"/>
      <c r="W585" s="85"/>
      <c r="X585" s="85"/>
    </row>
    <row r="586" spans="2:24" s="58" customFormat="1" ht="12" x14ac:dyDescent="0.2">
      <c r="B586" s="91"/>
      <c r="E586" s="92"/>
      <c r="F586" s="93"/>
      <c r="G586" s="94"/>
      <c r="H586" s="94"/>
      <c r="I586" s="94"/>
      <c r="J586" s="94"/>
      <c r="K586" s="93"/>
      <c r="L586" s="86"/>
      <c r="M586" s="86"/>
      <c r="N586" s="86"/>
      <c r="O586" s="86"/>
      <c r="P586" s="86"/>
      <c r="Q586" s="85"/>
      <c r="S586" s="85"/>
      <c r="T586" s="85"/>
      <c r="U586" s="85"/>
      <c r="V586" s="85"/>
      <c r="W586" s="85"/>
      <c r="X586" s="85"/>
    </row>
    <row r="587" spans="2:24" s="58" customFormat="1" ht="12" x14ac:dyDescent="0.2">
      <c r="B587" s="91"/>
      <c r="E587" s="92"/>
      <c r="F587" s="93"/>
      <c r="G587" s="94"/>
      <c r="H587" s="94"/>
      <c r="I587" s="94"/>
      <c r="J587" s="94"/>
      <c r="K587" s="93"/>
      <c r="L587" s="86"/>
      <c r="M587" s="86"/>
      <c r="N587" s="86"/>
      <c r="O587" s="86"/>
      <c r="P587" s="86"/>
      <c r="Q587" s="85"/>
      <c r="S587" s="85"/>
      <c r="T587" s="85"/>
      <c r="U587" s="85"/>
      <c r="V587" s="85"/>
      <c r="W587" s="85"/>
      <c r="X587" s="85"/>
    </row>
    <row r="588" spans="2:24" s="58" customFormat="1" ht="12" x14ac:dyDescent="0.2">
      <c r="B588" s="91"/>
      <c r="E588" s="92"/>
      <c r="F588" s="93"/>
      <c r="G588" s="94"/>
      <c r="H588" s="94"/>
      <c r="I588" s="94"/>
      <c r="J588" s="94"/>
      <c r="K588" s="93"/>
      <c r="L588" s="86"/>
      <c r="M588" s="86"/>
      <c r="N588" s="86"/>
      <c r="O588" s="86"/>
      <c r="P588" s="86"/>
      <c r="Q588" s="85"/>
      <c r="S588" s="85"/>
      <c r="T588" s="85"/>
      <c r="U588" s="85"/>
      <c r="V588" s="85"/>
      <c r="W588" s="85"/>
      <c r="X588" s="85"/>
    </row>
    <row r="589" spans="2:24" s="58" customFormat="1" ht="12" x14ac:dyDescent="0.2">
      <c r="B589" s="91"/>
      <c r="E589" s="92"/>
      <c r="F589" s="93"/>
      <c r="G589" s="94"/>
      <c r="H589" s="94"/>
      <c r="I589" s="94"/>
      <c r="J589" s="94"/>
      <c r="K589" s="93"/>
      <c r="L589" s="86"/>
      <c r="M589" s="86"/>
      <c r="N589" s="86"/>
      <c r="O589" s="86"/>
      <c r="P589" s="86"/>
      <c r="Q589" s="85"/>
      <c r="S589" s="85"/>
      <c r="T589" s="85"/>
      <c r="U589" s="85"/>
      <c r="V589" s="85"/>
      <c r="W589" s="85"/>
      <c r="X589" s="85"/>
    </row>
    <row r="590" spans="2:24" s="58" customFormat="1" ht="12" x14ac:dyDescent="0.2">
      <c r="B590" s="91"/>
      <c r="E590" s="92"/>
      <c r="F590" s="93"/>
      <c r="G590" s="94"/>
      <c r="H590" s="94"/>
      <c r="I590" s="94"/>
      <c r="J590" s="94"/>
      <c r="K590" s="93"/>
      <c r="L590" s="86"/>
      <c r="M590" s="86"/>
      <c r="N590" s="86"/>
      <c r="O590" s="86"/>
      <c r="P590" s="86"/>
      <c r="Q590" s="85"/>
      <c r="S590" s="85"/>
      <c r="T590" s="85"/>
      <c r="U590" s="85"/>
      <c r="V590" s="85"/>
      <c r="W590" s="85"/>
      <c r="X590" s="85"/>
    </row>
    <row r="591" spans="2:24" s="58" customFormat="1" ht="12" x14ac:dyDescent="0.2">
      <c r="B591" s="91"/>
      <c r="E591" s="92"/>
      <c r="F591" s="93"/>
      <c r="G591" s="94"/>
      <c r="H591" s="94"/>
      <c r="I591" s="94"/>
      <c r="J591" s="94"/>
      <c r="K591" s="93"/>
      <c r="L591" s="86"/>
      <c r="M591" s="86"/>
      <c r="N591" s="86"/>
      <c r="O591" s="86"/>
      <c r="P591" s="86"/>
      <c r="Q591" s="85"/>
      <c r="S591" s="85"/>
      <c r="T591" s="85"/>
      <c r="U591" s="85"/>
      <c r="V591" s="85"/>
      <c r="W591" s="85"/>
      <c r="X591" s="85"/>
    </row>
    <row r="592" spans="2:24" s="58" customFormat="1" ht="12" x14ac:dyDescent="0.2">
      <c r="B592" s="91"/>
      <c r="E592" s="92"/>
      <c r="F592" s="93"/>
      <c r="G592" s="94"/>
      <c r="H592" s="94"/>
      <c r="I592" s="94"/>
      <c r="J592" s="94"/>
      <c r="K592" s="93"/>
      <c r="L592" s="86"/>
      <c r="M592" s="86"/>
      <c r="N592" s="86"/>
      <c r="O592" s="86"/>
      <c r="P592" s="86"/>
      <c r="Q592" s="85"/>
      <c r="S592" s="85"/>
      <c r="T592" s="85"/>
      <c r="U592" s="85"/>
      <c r="V592" s="85"/>
      <c r="W592" s="85"/>
      <c r="X592" s="85"/>
    </row>
    <row r="593" spans="2:24" s="58" customFormat="1" ht="12" x14ac:dyDescent="0.2">
      <c r="B593" s="91"/>
      <c r="E593" s="92"/>
      <c r="F593" s="93"/>
      <c r="G593" s="94"/>
      <c r="H593" s="94"/>
      <c r="I593" s="94"/>
      <c r="J593" s="94"/>
      <c r="K593" s="93"/>
      <c r="L593" s="86"/>
      <c r="M593" s="86"/>
      <c r="N593" s="86"/>
      <c r="O593" s="86"/>
      <c r="P593" s="86"/>
      <c r="Q593" s="85"/>
      <c r="S593" s="85"/>
      <c r="T593" s="85"/>
      <c r="U593" s="85"/>
      <c r="V593" s="85"/>
      <c r="W593" s="85"/>
      <c r="X593" s="85"/>
    </row>
    <row r="594" spans="2:24" s="58" customFormat="1" ht="12" x14ac:dyDescent="0.2">
      <c r="B594" s="91"/>
      <c r="E594" s="92"/>
      <c r="F594" s="93"/>
      <c r="G594" s="94"/>
      <c r="H594" s="94"/>
      <c r="I594" s="94"/>
      <c r="J594" s="94"/>
      <c r="K594" s="93"/>
      <c r="L594" s="86"/>
      <c r="M594" s="86"/>
      <c r="N594" s="86"/>
      <c r="O594" s="86"/>
      <c r="P594" s="86"/>
      <c r="Q594" s="85"/>
      <c r="S594" s="85"/>
      <c r="T594" s="85"/>
      <c r="U594" s="85"/>
      <c r="V594" s="85"/>
      <c r="W594" s="85"/>
      <c r="X594" s="85"/>
    </row>
    <row r="595" spans="2:24" s="58" customFormat="1" ht="12" x14ac:dyDescent="0.2">
      <c r="B595" s="91"/>
      <c r="E595" s="92"/>
      <c r="F595" s="93"/>
      <c r="G595" s="94"/>
      <c r="H595" s="94"/>
      <c r="I595" s="94"/>
      <c r="J595" s="94"/>
      <c r="K595" s="93"/>
      <c r="L595" s="86"/>
      <c r="M595" s="86"/>
      <c r="N595" s="86"/>
      <c r="O595" s="86"/>
      <c r="P595" s="86"/>
      <c r="Q595" s="85"/>
      <c r="S595" s="85"/>
      <c r="T595" s="85"/>
      <c r="U595" s="85"/>
      <c r="V595" s="85"/>
      <c r="W595" s="85"/>
      <c r="X595" s="85"/>
    </row>
    <row r="596" spans="2:24" s="58" customFormat="1" ht="12" x14ac:dyDescent="0.2">
      <c r="B596" s="91"/>
      <c r="E596" s="92"/>
      <c r="F596" s="93"/>
      <c r="G596" s="94"/>
      <c r="H596" s="94"/>
      <c r="I596" s="94"/>
      <c r="J596" s="94"/>
      <c r="K596" s="93"/>
      <c r="L596" s="86"/>
      <c r="M596" s="86"/>
      <c r="N596" s="86"/>
      <c r="O596" s="86"/>
      <c r="P596" s="86"/>
      <c r="Q596" s="85"/>
      <c r="S596" s="85"/>
      <c r="T596" s="85"/>
      <c r="U596" s="85"/>
      <c r="V596" s="85"/>
      <c r="W596" s="85"/>
      <c r="X596" s="85"/>
    </row>
    <row r="597" spans="2:24" s="58" customFormat="1" ht="12" x14ac:dyDescent="0.2">
      <c r="B597" s="91"/>
      <c r="E597" s="92"/>
      <c r="F597" s="93"/>
      <c r="G597" s="94"/>
      <c r="H597" s="94"/>
      <c r="I597" s="94"/>
      <c r="J597" s="94"/>
      <c r="K597" s="93"/>
      <c r="L597" s="86"/>
      <c r="M597" s="86"/>
      <c r="N597" s="86"/>
      <c r="O597" s="86"/>
      <c r="P597" s="86"/>
      <c r="Q597" s="85"/>
      <c r="S597" s="85"/>
      <c r="T597" s="85"/>
      <c r="U597" s="85"/>
      <c r="V597" s="85"/>
      <c r="W597" s="85"/>
      <c r="X597" s="85"/>
    </row>
    <row r="598" spans="2:24" s="58" customFormat="1" ht="12" x14ac:dyDescent="0.2">
      <c r="B598" s="91"/>
      <c r="E598" s="92"/>
      <c r="F598" s="93"/>
      <c r="G598" s="94"/>
      <c r="H598" s="94"/>
      <c r="I598" s="94"/>
      <c r="J598" s="94"/>
      <c r="K598" s="93"/>
      <c r="L598" s="86"/>
      <c r="M598" s="86"/>
      <c r="N598" s="86"/>
      <c r="O598" s="86"/>
      <c r="P598" s="86"/>
      <c r="Q598" s="85"/>
      <c r="S598" s="85"/>
      <c r="T598" s="85"/>
      <c r="U598" s="85"/>
      <c r="V598" s="85"/>
      <c r="W598" s="85"/>
      <c r="X598" s="85"/>
    </row>
    <row r="599" spans="2:24" s="58" customFormat="1" ht="12" x14ac:dyDescent="0.2">
      <c r="B599" s="91"/>
      <c r="E599" s="92"/>
      <c r="F599" s="93"/>
      <c r="G599" s="94"/>
      <c r="H599" s="94"/>
      <c r="I599" s="94"/>
      <c r="J599" s="94"/>
      <c r="K599" s="93"/>
      <c r="L599" s="86"/>
      <c r="M599" s="86"/>
      <c r="N599" s="86"/>
      <c r="O599" s="86"/>
      <c r="P599" s="86"/>
      <c r="Q599" s="85"/>
      <c r="S599" s="85"/>
      <c r="T599" s="85"/>
      <c r="U599" s="85"/>
      <c r="V599" s="85"/>
      <c r="W599" s="85"/>
      <c r="X599" s="85"/>
    </row>
    <row r="600" spans="2:24" s="58" customFormat="1" ht="12" x14ac:dyDescent="0.2">
      <c r="B600" s="91"/>
      <c r="E600" s="92"/>
      <c r="F600" s="93"/>
      <c r="G600" s="94"/>
      <c r="H600" s="94"/>
      <c r="I600" s="94"/>
      <c r="J600" s="94"/>
      <c r="K600" s="93"/>
      <c r="L600" s="86"/>
      <c r="M600" s="86"/>
      <c r="N600" s="86"/>
      <c r="O600" s="86"/>
      <c r="P600" s="86"/>
      <c r="Q600" s="85"/>
      <c r="S600" s="85"/>
      <c r="T600" s="85"/>
      <c r="U600" s="85"/>
      <c r="V600" s="85"/>
      <c r="W600" s="85"/>
      <c r="X600" s="85"/>
    </row>
    <row r="601" spans="2:24" s="58" customFormat="1" ht="12" x14ac:dyDescent="0.2">
      <c r="B601" s="91"/>
      <c r="E601" s="92"/>
      <c r="F601" s="93"/>
      <c r="G601" s="94"/>
      <c r="H601" s="94"/>
      <c r="I601" s="94"/>
      <c r="J601" s="94"/>
      <c r="K601" s="93"/>
      <c r="L601" s="86"/>
      <c r="M601" s="86"/>
      <c r="N601" s="86"/>
      <c r="O601" s="86"/>
      <c r="P601" s="86"/>
      <c r="Q601" s="85"/>
      <c r="S601" s="85"/>
      <c r="T601" s="85"/>
      <c r="U601" s="85"/>
      <c r="V601" s="85"/>
      <c r="W601" s="85"/>
      <c r="X601" s="85"/>
    </row>
    <row r="602" spans="2:24" s="58" customFormat="1" ht="12" x14ac:dyDescent="0.2">
      <c r="B602" s="91"/>
      <c r="E602" s="92"/>
      <c r="F602" s="93"/>
      <c r="G602" s="94"/>
      <c r="H602" s="94"/>
      <c r="I602" s="94"/>
      <c r="J602" s="94"/>
      <c r="K602" s="93"/>
      <c r="L602" s="86"/>
      <c r="M602" s="86"/>
      <c r="N602" s="86"/>
      <c r="O602" s="86"/>
      <c r="P602" s="86"/>
      <c r="Q602" s="85"/>
      <c r="S602" s="85"/>
      <c r="T602" s="85"/>
      <c r="U602" s="85"/>
      <c r="V602" s="85"/>
      <c r="W602" s="85"/>
      <c r="X602" s="85"/>
    </row>
    <row r="603" spans="2:24" s="58" customFormat="1" ht="12" x14ac:dyDescent="0.2">
      <c r="B603" s="91"/>
      <c r="E603" s="92"/>
      <c r="F603" s="93"/>
      <c r="G603" s="94"/>
      <c r="H603" s="94"/>
      <c r="I603" s="94"/>
      <c r="J603" s="94"/>
      <c r="K603" s="93"/>
      <c r="L603" s="86"/>
      <c r="M603" s="86"/>
      <c r="N603" s="86"/>
      <c r="O603" s="86"/>
      <c r="P603" s="86"/>
      <c r="Q603" s="85"/>
      <c r="S603" s="85"/>
      <c r="T603" s="85"/>
      <c r="U603" s="85"/>
      <c r="V603" s="85"/>
      <c r="W603" s="85"/>
      <c r="X603" s="85"/>
    </row>
    <row r="604" spans="2:24" s="58" customFormat="1" ht="12" x14ac:dyDescent="0.2">
      <c r="B604" s="91"/>
      <c r="E604" s="92"/>
      <c r="F604" s="93"/>
      <c r="G604" s="94"/>
      <c r="H604" s="94"/>
      <c r="I604" s="94"/>
      <c r="J604" s="94"/>
      <c r="K604" s="93"/>
      <c r="L604" s="86"/>
      <c r="M604" s="86"/>
      <c r="N604" s="86"/>
      <c r="O604" s="86"/>
      <c r="P604" s="86"/>
      <c r="Q604" s="85"/>
      <c r="S604" s="85"/>
      <c r="T604" s="85"/>
      <c r="U604" s="85"/>
      <c r="V604" s="85"/>
      <c r="W604" s="85"/>
      <c r="X604" s="85"/>
    </row>
    <row r="605" spans="2:24" s="58" customFormat="1" ht="12" x14ac:dyDescent="0.2">
      <c r="B605" s="91"/>
      <c r="E605" s="92"/>
      <c r="F605" s="93"/>
      <c r="G605" s="94"/>
      <c r="H605" s="94"/>
      <c r="I605" s="94"/>
      <c r="J605" s="94"/>
      <c r="K605" s="93"/>
      <c r="L605" s="86"/>
      <c r="M605" s="86"/>
      <c r="N605" s="86"/>
      <c r="O605" s="86"/>
      <c r="P605" s="86"/>
      <c r="Q605" s="85"/>
      <c r="S605" s="85"/>
      <c r="T605" s="85"/>
      <c r="U605" s="85"/>
      <c r="V605" s="85"/>
      <c r="W605" s="85"/>
      <c r="X605" s="85"/>
    </row>
    <row r="606" spans="2:24" s="58" customFormat="1" ht="12" x14ac:dyDescent="0.2">
      <c r="B606" s="91"/>
      <c r="E606" s="92"/>
      <c r="F606" s="93"/>
      <c r="G606" s="94"/>
      <c r="H606" s="94"/>
      <c r="I606" s="94"/>
      <c r="J606" s="94"/>
      <c r="K606" s="93"/>
      <c r="L606" s="86"/>
      <c r="M606" s="86"/>
      <c r="N606" s="86"/>
      <c r="O606" s="86"/>
      <c r="P606" s="86"/>
      <c r="Q606" s="85"/>
      <c r="S606" s="85"/>
      <c r="T606" s="85"/>
      <c r="U606" s="85"/>
      <c r="V606" s="85"/>
      <c r="W606" s="85"/>
      <c r="X606" s="85"/>
    </row>
    <row r="607" spans="2:24" s="58" customFormat="1" ht="12" x14ac:dyDescent="0.2">
      <c r="B607" s="91"/>
      <c r="E607" s="92"/>
      <c r="F607" s="93"/>
      <c r="G607" s="94"/>
      <c r="H607" s="94"/>
      <c r="I607" s="94"/>
      <c r="J607" s="94"/>
      <c r="K607" s="93"/>
      <c r="L607" s="86"/>
      <c r="M607" s="86"/>
      <c r="N607" s="86"/>
      <c r="O607" s="86"/>
      <c r="P607" s="86"/>
      <c r="Q607" s="85"/>
      <c r="S607" s="85"/>
      <c r="T607" s="85"/>
      <c r="U607" s="85"/>
      <c r="V607" s="85"/>
      <c r="W607" s="85"/>
      <c r="X607" s="85"/>
    </row>
    <row r="608" spans="2:24" s="58" customFormat="1" ht="12" x14ac:dyDescent="0.2">
      <c r="B608" s="91"/>
      <c r="E608" s="92"/>
      <c r="F608" s="93"/>
      <c r="G608" s="94"/>
      <c r="H608" s="94"/>
      <c r="I608" s="94"/>
      <c r="J608" s="94"/>
      <c r="K608" s="93"/>
      <c r="L608" s="86"/>
      <c r="M608" s="86"/>
      <c r="N608" s="86"/>
      <c r="O608" s="86"/>
      <c r="P608" s="86"/>
      <c r="Q608" s="85"/>
      <c r="S608" s="85"/>
      <c r="T608" s="85"/>
      <c r="U608" s="85"/>
      <c r="V608" s="85"/>
      <c r="W608" s="85"/>
      <c r="X608" s="85"/>
    </row>
    <row r="609" spans="2:24" s="58" customFormat="1" ht="12" x14ac:dyDescent="0.2">
      <c r="B609" s="91"/>
      <c r="E609" s="92"/>
      <c r="F609" s="93"/>
      <c r="G609" s="94"/>
      <c r="H609" s="94"/>
      <c r="I609" s="94"/>
      <c r="J609" s="94"/>
      <c r="K609" s="93"/>
      <c r="L609" s="86"/>
      <c r="M609" s="86"/>
      <c r="N609" s="86"/>
      <c r="O609" s="86"/>
      <c r="P609" s="86"/>
      <c r="Q609" s="85"/>
      <c r="S609" s="85"/>
      <c r="T609" s="85"/>
      <c r="U609" s="85"/>
      <c r="V609" s="85"/>
      <c r="W609" s="85"/>
      <c r="X609" s="85"/>
    </row>
    <row r="610" spans="2:24" s="58" customFormat="1" ht="12" x14ac:dyDescent="0.2">
      <c r="B610" s="91"/>
      <c r="E610" s="92"/>
      <c r="F610" s="93"/>
      <c r="G610" s="94"/>
      <c r="H610" s="94"/>
      <c r="I610" s="94"/>
      <c r="J610" s="94"/>
      <c r="K610" s="93"/>
      <c r="L610" s="86"/>
      <c r="M610" s="86"/>
      <c r="N610" s="86"/>
      <c r="O610" s="86"/>
      <c r="P610" s="86"/>
      <c r="Q610" s="85"/>
      <c r="S610" s="85"/>
      <c r="T610" s="85"/>
      <c r="U610" s="85"/>
      <c r="V610" s="85"/>
      <c r="W610" s="85"/>
      <c r="X610" s="85"/>
    </row>
    <row r="611" spans="2:24" s="58" customFormat="1" ht="12" x14ac:dyDescent="0.2">
      <c r="B611" s="91"/>
      <c r="E611" s="92"/>
      <c r="F611" s="93"/>
      <c r="G611" s="94"/>
      <c r="H611" s="94"/>
      <c r="I611" s="94"/>
      <c r="J611" s="94"/>
      <c r="K611" s="93"/>
      <c r="L611" s="86"/>
      <c r="M611" s="86"/>
      <c r="N611" s="86"/>
      <c r="O611" s="86"/>
      <c r="P611" s="86"/>
      <c r="Q611" s="85"/>
      <c r="S611" s="85"/>
      <c r="T611" s="85"/>
      <c r="U611" s="85"/>
      <c r="V611" s="85"/>
      <c r="W611" s="85"/>
      <c r="X611" s="85"/>
    </row>
    <row r="612" spans="2:24" s="58" customFormat="1" ht="12" x14ac:dyDescent="0.2">
      <c r="B612" s="91"/>
      <c r="E612" s="92"/>
      <c r="F612" s="93"/>
      <c r="G612" s="94"/>
      <c r="H612" s="94"/>
      <c r="I612" s="94"/>
      <c r="J612" s="94"/>
      <c r="K612" s="93"/>
      <c r="L612" s="86"/>
      <c r="M612" s="86"/>
      <c r="N612" s="86"/>
      <c r="O612" s="86"/>
      <c r="P612" s="86"/>
      <c r="Q612" s="85"/>
      <c r="S612" s="85"/>
      <c r="T612" s="85"/>
      <c r="U612" s="85"/>
      <c r="V612" s="85"/>
      <c r="W612" s="85"/>
      <c r="X612" s="85"/>
    </row>
    <row r="613" spans="2:24" s="58" customFormat="1" ht="12" x14ac:dyDescent="0.2">
      <c r="B613" s="91"/>
      <c r="E613" s="92"/>
      <c r="F613" s="93"/>
      <c r="G613" s="94"/>
      <c r="H613" s="94"/>
      <c r="I613" s="94"/>
      <c r="J613" s="94"/>
      <c r="K613" s="93"/>
      <c r="L613" s="86"/>
      <c r="M613" s="86"/>
      <c r="N613" s="86"/>
      <c r="O613" s="86"/>
      <c r="P613" s="86"/>
      <c r="Q613" s="85"/>
      <c r="S613" s="85"/>
      <c r="T613" s="85"/>
      <c r="U613" s="85"/>
      <c r="V613" s="85"/>
      <c r="W613" s="85"/>
      <c r="X613" s="85"/>
    </row>
    <row r="614" spans="2:24" s="58" customFormat="1" ht="12" x14ac:dyDescent="0.2">
      <c r="B614" s="91"/>
      <c r="E614" s="92"/>
      <c r="F614" s="93"/>
      <c r="G614" s="94"/>
      <c r="H614" s="94"/>
      <c r="I614" s="94"/>
      <c r="J614" s="94"/>
      <c r="K614" s="93"/>
      <c r="L614" s="86"/>
      <c r="M614" s="86"/>
      <c r="N614" s="86"/>
      <c r="O614" s="86"/>
      <c r="P614" s="86"/>
      <c r="Q614" s="85"/>
      <c r="S614" s="85"/>
      <c r="T614" s="85"/>
      <c r="U614" s="85"/>
      <c r="V614" s="85"/>
      <c r="W614" s="85"/>
      <c r="X614" s="85"/>
    </row>
    <row r="615" spans="2:24" s="58" customFormat="1" ht="12" x14ac:dyDescent="0.2">
      <c r="B615" s="91"/>
      <c r="E615" s="92"/>
      <c r="F615" s="93"/>
      <c r="G615" s="94"/>
      <c r="H615" s="94"/>
      <c r="I615" s="94"/>
      <c r="J615" s="94"/>
      <c r="K615" s="93"/>
      <c r="L615" s="86"/>
      <c r="M615" s="86"/>
      <c r="N615" s="86"/>
      <c r="O615" s="86"/>
      <c r="P615" s="86"/>
      <c r="Q615" s="85"/>
      <c r="S615" s="85"/>
      <c r="T615" s="85"/>
      <c r="U615" s="85"/>
      <c r="V615" s="85"/>
      <c r="W615" s="85"/>
      <c r="X615" s="85"/>
    </row>
    <row r="616" spans="2:24" s="58" customFormat="1" ht="12" x14ac:dyDescent="0.2">
      <c r="B616" s="91"/>
      <c r="E616" s="92"/>
      <c r="F616" s="93"/>
      <c r="G616" s="94"/>
      <c r="H616" s="94"/>
      <c r="I616" s="94"/>
      <c r="J616" s="94"/>
      <c r="K616" s="93"/>
      <c r="L616" s="86"/>
      <c r="M616" s="86"/>
      <c r="N616" s="86"/>
      <c r="O616" s="86"/>
      <c r="P616" s="86"/>
      <c r="Q616" s="85"/>
      <c r="S616" s="85"/>
      <c r="T616" s="85"/>
      <c r="U616" s="85"/>
      <c r="V616" s="85"/>
      <c r="W616" s="85"/>
      <c r="X616" s="85"/>
    </row>
    <row r="617" spans="2:24" s="58" customFormat="1" ht="12" x14ac:dyDescent="0.2">
      <c r="B617" s="91"/>
      <c r="E617" s="92"/>
      <c r="F617" s="93"/>
      <c r="G617" s="94"/>
      <c r="H617" s="94"/>
      <c r="I617" s="94"/>
      <c r="J617" s="94"/>
      <c r="K617" s="93"/>
      <c r="L617" s="86"/>
      <c r="M617" s="86"/>
      <c r="N617" s="86"/>
      <c r="O617" s="86"/>
      <c r="P617" s="86"/>
      <c r="Q617" s="85"/>
      <c r="S617" s="85"/>
      <c r="T617" s="85"/>
      <c r="U617" s="85"/>
      <c r="V617" s="85"/>
      <c r="W617" s="85"/>
      <c r="X617" s="85"/>
    </row>
    <row r="618" spans="2:24" s="58" customFormat="1" ht="12" x14ac:dyDescent="0.2">
      <c r="B618" s="91"/>
      <c r="E618" s="92"/>
      <c r="F618" s="93"/>
      <c r="G618" s="94"/>
      <c r="H618" s="94"/>
      <c r="I618" s="94"/>
      <c r="J618" s="94"/>
      <c r="K618" s="93"/>
      <c r="L618" s="86"/>
      <c r="M618" s="86"/>
      <c r="N618" s="86"/>
      <c r="O618" s="86"/>
      <c r="P618" s="86"/>
      <c r="Q618" s="85"/>
      <c r="S618" s="85"/>
      <c r="T618" s="85"/>
      <c r="U618" s="85"/>
      <c r="V618" s="85"/>
      <c r="W618" s="85"/>
      <c r="X618" s="85"/>
    </row>
    <row r="619" spans="2:24" s="58" customFormat="1" ht="12" x14ac:dyDescent="0.2">
      <c r="B619" s="91"/>
      <c r="E619" s="92"/>
      <c r="F619" s="93"/>
      <c r="G619" s="94"/>
      <c r="H619" s="94"/>
      <c r="I619" s="94"/>
      <c r="J619" s="94"/>
      <c r="K619" s="93"/>
      <c r="L619" s="86"/>
      <c r="M619" s="86"/>
      <c r="N619" s="86"/>
      <c r="O619" s="86"/>
      <c r="P619" s="86"/>
      <c r="Q619" s="85"/>
      <c r="S619" s="85"/>
      <c r="T619" s="85"/>
      <c r="U619" s="85"/>
      <c r="V619" s="85"/>
      <c r="W619" s="85"/>
      <c r="X619" s="85"/>
    </row>
    <row r="620" spans="2:24" s="58" customFormat="1" ht="12" x14ac:dyDescent="0.2">
      <c r="B620" s="91"/>
      <c r="E620" s="92"/>
      <c r="F620" s="93"/>
      <c r="G620" s="94"/>
      <c r="H620" s="94"/>
      <c r="I620" s="94"/>
      <c r="J620" s="94"/>
      <c r="K620" s="93"/>
      <c r="L620" s="86"/>
      <c r="M620" s="86"/>
      <c r="N620" s="86"/>
      <c r="O620" s="86"/>
      <c r="P620" s="86"/>
      <c r="Q620" s="85"/>
      <c r="S620" s="85"/>
      <c r="T620" s="85"/>
      <c r="U620" s="85"/>
      <c r="V620" s="85"/>
      <c r="W620" s="85"/>
      <c r="X620" s="85"/>
    </row>
    <row r="621" spans="2:24" s="58" customFormat="1" ht="12" x14ac:dyDescent="0.2">
      <c r="B621" s="91"/>
      <c r="E621" s="92"/>
      <c r="F621" s="93"/>
      <c r="G621" s="94"/>
      <c r="H621" s="94"/>
      <c r="I621" s="94"/>
      <c r="J621" s="94"/>
      <c r="K621" s="93"/>
      <c r="L621" s="86"/>
      <c r="M621" s="86"/>
      <c r="N621" s="86"/>
      <c r="O621" s="86"/>
      <c r="P621" s="86"/>
      <c r="Q621" s="85"/>
      <c r="S621" s="85"/>
      <c r="T621" s="85"/>
      <c r="U621" s="85"/>
      <c r="V621" s="85"/>
      <c r="W621" s="85"/>
      <c r="X621" s="85"/>
    </row>
    <row r="622" spans="2:24" s="58" customFormat="1" ht="12" x14ac:dyDescent="0.2">
      <c r="B622" s="91"/>
      <c r="E622" s="92"/>
      <c r="F622" s="93"/>
      <c r="G622" s="94"/>
      <c r="H622" s="94"/>
      <c r="I622" s="94"/>
      <c r="J622" s="94"/>
      <c r="K622" s="93"/>
      <c r="L622" s="86"/>
      <c r="M622" s="86"/>
      <c r="N622" s="86"/>
      <c r="O622" s="86"/>
      <c r="P622" s="86"/>
      <c r="Q622" s="85"/>
      <c r="S622" s="85"/>
      <c r="T622" s="85"/>
      <c r="U622" s="85"/>
      <c r="V622" s="85"/>
      <c r="W622" s="85"/>
      <c r="X622" s="85"/>
    </row>
    <row r="623" spans="2:24" s="58" customFormat="1" ht="12" x14ac:dyDescent="0.2">
      <c r="B623" s="91"/>
      <c r="E623" s="92"/>
      <c r="F623" s="93"/>
      <c r="G623" s="94"/>
      <c r="H623" s="94"/>
      <c r="I623" s="94"/>
      <c r="J623" s="94"/>
      <c r="K623" s="93"/>
      <c r="L623" s="86"/>
      <c r="M623" s="86"/>
      <c r="N623" s="86"/>
      <c r="O623" s="86"/>
      <c r="P623" s="86"/>
      <c r="Q623" s="85"/>
      <c r="S623" s="85"/>
      <c r="T623" s="85"/>
      <c r="U623" s="85"/>
      <c r="V623" s="85"/>
      <c r="W623" s="85"/>
      <c r="X623" s="85"/>
    </row>
    <row r="624" spans="2:24" s="58" customFormat="1" ht="12" x14ac:dyDescent="0.2">
      <c r="B624" s="91"/>
      <c r="E624" s="92"/>
      <c r="F624" s="93"/>
      <c r="G624" s="94"/>
      <c r="H624" s="94"/>
      <c r="I624" s="94"/>
      <c r="J624" s="94"/>
      <c r="K624" s="93"/>
      <c r="L624" s="86"/>
      <c r="M624" s="86"/>
      <c r="N624" s="86"/>
      <c r="O624" s="86"/>
      <c r="P624" s="86"/>
      <c r="Q624" s="85"/>
      <c r="S624" s="85"/>
      <c r="T624" s="85"/>
      <c r="U624" s="85"/>
      <c r="V624" s="85"/>
      <c r="W624" s="85"/>
      <c r="X624" s="85"/>
    </row>
    <row r="625" spans="2:24" s="58" customFormat="1" ht="12" x14ac:dyDescent="0.2">
      <c r="B625" s="91"/>
      <c r="E625" s="92"/>
      <c r="F625" s="93"/>
      <c r="G625" s="94"/>
      <c r="H625" s="94"/>
      <c r="I625" s="94"/>
      <c r="J625" s="94"/>
      <c r="K625" s="93"/>
      <c r="L625" s="86"/>
      <c r="M625" s="86"/>
      <c r="N625" s="86"/>
      <c r="O625" s="86"/>
      <c r="P625" s="86"/>
      <c r="Q625" s="85"/>
      <c r="S625" s="85"/>
      <c r="T625" s="85"/>
      <c r="U625" s="85"/>
      <c r="V625" s="85"/>
      <c r="W625" s="85"/>
      <c r="X625" s="85"/>
    </row>
    <row r="626" spans="2:24" s="58" customFormat="1" ht="12" x14ac:dyDescent="0.2">
      <c r="B626" s="91"/>
      <c r="E626" s="92"/>
      <c r="F626" s="93"/>
      <c r="G626" s="94"/>
      <c r="H626" s="94"/>
      <c r="I626" s="94"/>
      <c r="J626" s="94"/>
      <c r="K626" s="93"/>
      <c r="L626" s="86"/>
      <c r="M626" s="86"/>
      <c r="N626" s="86"/>
      <c r="O626" s="86"/>
      <c r="P626" s="86"/>
      <c r="Q626" s="85"/>
      <c r="S626" s="85"/>
      <c r="T626" s="85"/>
      <c r="U626" s="85"/>
      <c r="V626" s="85"/>
      <c r="W626" s="85"/>
      <c r="X626" s="85"/>
    </row>
    <row r="627" spans="2:24" s="58" customFormat="1" ht="12" x14ac:dyDescent="0.2">
      <c r="B627" s="91"/>
      <c r="E627" s="92"/>
      <c r="F627" s="93"/>
      <c r="G627" s="94"/>
      <c r="H627" s="94"/>
      <c r="I627" s="94"/>
      <c r="J627" s="94"/>
      <c r="K627" s="93"/>
      <c r="L627" s="86"/>
      <c r="M627" s="86"/>
      <c r="N627" s="86"/>
      <c r="O627" s="86"/>
      <c r="P627" s="86"/>
      <c r="Q627" s="85"/>
      <c r="S627" s="85"/>
      <c r="T627" s="85"/>
      <c r="U627" s="85"/>
      <c r="V627" s="85"/>
      <c r="W627" s="85"/>
      <c r="X627" s="85"/>
    </row>
    <row r="628" spans="2:24" s="58" customFormat="1" ht="12" x14ac:dyDescent="0.2">
      <c r="B628" s="91"/>
      <c r="E628" s="92"/>
      <c r="F628" s="93"/>
      <c r="G628" s="94"/>
      <c r="H628" s="94"/>
      <c r="I628" s="94"/>
      <c r="J628" s="94"/>
      <c r="K628" s="93"/>
      <c r="L628" s="86"/>
      <c r="M628" s="86"/>
      <c r="N628" s="86"/>
      <c r="O628" s="86"/>
      <c r="P628" s="86"/>
      <c r="Q628" s="85"/>
      <c r="S628" s="85"/>
      <c r="T628" s="85"/>
      <c r="U628" s="85"/>
      <c r="V628" s="85"/>
      <c r="W628" s="85"/>
      <c r="X628" s="85"/>
    </row>
    <row r="629" spans="2:24" s="58" customFormat="1" ht="12" x14ac:dyDescent="0.2">
      <c r="B629" s="91"/>
      <c r="E629" s="92"/>
      <c r="F629" s="93"/>
      <c r="G629" s="94"/>
      <c r="H629" s="94"/>
      <c r="I629" s="94"/>
      <c r="J629" s="94"/>
      <c r="K629" s="93"/>
      <c r="L629" s="86"/>
      <c r="M629" s="86"/>
      <c r="N629" s="86"/>
      <c r="O629" s="86"/>
      <c r="P629" s="86"/>
      <c r="Q629" s="85"/>
      <c r="S629" s="85"/>
      <c r="T629" s="85"/>
      <c r="U629" s="85"/>
      <c r="V629" s="85"/>
      <c r="W629" s="85"/>
      <c r="X629" s="85"/>
    </row>
    <row r="630" spans="2:24" s="58" customFormat="1" ht="12" x14ac:dyDescent="0.2">
      <c r="B630" s="91"/>
      <c r="E630" s="92"/>
      <c r="F630" s="93"/>
      <c r="G630" s="94"/>
      <c r="H630" s="94"/>
      <c r="I630" s="94"/>
      <c r="J630" s="94"/>
      <c r="K630" s="93"/>
      <c r="L630" s="86"/>
      <c r="M630" s="86"/>
      <c r="N630" s="86"/>
      <c r="O630" s="86"/>
      <c r="P630" s="86"/>
      <c r="Q630" s="85"/>
      <c r="S630" s="85"/>
      <c r="T630" s="85"/>
      <c r="U630" s="85"/>
      <c r="V630" s="85"/>
      <c r="W630" s="85"/>
      <c r="X630" s="85"/>
    </row>
    <row r="631" spans="2:24" s="58" customFormat="1" ht="12" x14ac:dyDescent="0.2">
      <c r="B631" s="91"/>
      <c r="E631" s="92"/>
      <c r="F631" s="93"/>
      <c r="G631" s="94"/>
      <c r="H631" s="94"/>
      <c r="I631" s="94"/>
      <c r="J631" s="94"/>
      <c r="K631" s="93"/>
      <c r="L631" s="86"/>
      <c r="M631" s="86"/>
      <c r="N631" s="86"/>
      <c r="O631" s="86"/>
      <c r="P631" s="86"/>
      <c r="Q631" s="85"/>
      <c r="S631" s="85"/>
      <c r="T631" s="85"/>
      <c r="U631" s="85"/>
      <c r="V631" s="85"/>
      <c r="W631" s="85"/>
      <c r="X631" s="85"/>
    </row>
    <row r="632" spans="2:24" s="58" customFormat="1" ht="12" x14ac:dyDescent="0.2">
      <c r="B632" s="91"/>
      <c r="E632" s="92"/>
      <c r="F632" s="93"/>
      <c r="G632" s="94"/>
      <c r="H632" s="94"/>
      <c r="I632" s="94"/>
      <c r="J632" s="94"/>
      <c r="K632" s="93"/>
      <c r="L632" s="86"/>
      <c r="M632" s="86"/>
      <c r="N632" s="86"/>
      <c r="O632" s="86"/>
      <c r="P632" s="86"/>
      <c r="Q632" s="85"/>
      <c r="S632" s="85"/>
      <c r="T632" s="85"/>
      <c r="U632" s="85"/>
      <c r="V632" s="85"/>
      <c r="W632" s="85"/>
      <c r="X632" s="85"/>
    </row>
    <row r="633" spans="2:24" s="58" customFormat="1" ht="12" x14ac:dyDescent="0.2">
      <c r="B633" s="91"/>
      <c r="E633" s="92"/>
      <c r="F633" s="93"/>
      <c r="G633" s="94"/>
      <c r="H633" s="94"/>
      <c r="I633" s="94"/>
      <c r="J633" s="94"/>
      <c r="K633" s="93"/>
      <c r="L633" s="86"/>
      <c r="M633" s="86"/>
      <c r="N633" s="86"/>
      <c r="O633" s="86"/>
      <c r="P633" s="86"/>
      <c r="Q633" s="85"/>
      <c r="S633" s="85"/>
      <c r="T633" s="85"/>
      <c r="U633" s="85"/>
      <c r="V633" s="85"/>
      <c r="W633" s="85"/>
      <c r="X633" s="85"/>
    </row>
    <row r="634" spans="2:24" s="58" customFormat="1" ht="12" x14ac:dyDescent="0.2">
      <c r="B634" s="91"/>
      <c r="E634" s="92"/>
      <c r="F634" s="93"/>
      <c r="G634" s="94"/>
      <c r="H634" s="94"/>
      <c r="I634" s="94"/>
      <c r="J634" s="94"/>
      <c r="K634" s="93"/>
      <c r="L634" s="86"/>
      <c r="M634" s="86"/>
      <c r="N634" s="86"/>
      <c r="O634" s="86"/>
      <c r="P634" s="86"/>
      <c r="Q634" s="85"/>
      <c r="S634" s="85"/>
      <c r="T634" s="85"/>
      <c r="U634" s="85"/>
      <c r="V634" s="85"/>
      <c r="W634" s="85"/>
      <c r="X634" s="85"/>
    </row>
    <row r="635" spans="2:24" s="58" customFormat="1" ht="12" x14ac:dyDescent="0.2">
      <c r="B635" s="91"/>
      <c r="E635" s="92"/>
      <c r="F635" s="93"/>
      <c r="G635" s="94"/>
      <c r="H635" s="94"/>
      <c r="I635" s="94"/>
      <c r="J635" s="94"/>
      <c r="K635" s="93"/>
      <c r="L635" s="86"/>
      <c r="M635" s="86"/>
      <c r="N635" s="86"/>
      <c r="O635" s="86"/>
      <c r="P635" s="86"/>
      <c r="Q635" s="85"/>
      <c r="S635" s="85"/>
      <c r="T635" s="85"/>
      <c r="U635" s="85"/>
      <c r="V635" s="85"/>
      <c r="W635" s="85"/>
      <c r="X635" s="85"/>
    </row>
    <row r="636" spans="2:24" s="58" customFormat="1" ht="12" x14ac:dyDescent="0.2">
      <c r="B636" s="91"/>
      <c r="E636" s="92"/>
      <c r="F636" s="93"/>
      <c r="G636" s="94"/>
      <c r="H636" s="94"/>
      <c r="I636" s="94"/>
      <c r="J636" s="94"/>
      <c r="K636" s="93"/>
      <c r="L636" s="86"/>
      <c r="M636" s="86"/>
      <c r="N636" s="86"/>
      <c r="O636" s="86"/>
      <c r="P636" s="86"/>
      <c r="Q636" s="85"/>
      <c r="S636" s="85"/>
      <c r="T636" s="85"/>
      <c r="U636" s="85"/>
      <c r="V636" s="85"/>
      <c r="W636" s="85"/>
      <c r="X636" s="85"/>
    </row>
    <row r="637" spans="2:24" s="58" customFormat="1" ht="12" x14ac:dyDescent="0.2">
      <c r="B637" s="91"/>
      <c r="E637" s="92"/>
      <c r="F637" s="93"/>
      <c r="G637" s="94"/>
      <c r="H637" s="94"/>
      <c r="I637" s="94"/>
      <c r="J637" s="94"/>
      <c r="K637" s="93"/>
      <c r="L637" s="86"/>
      <c r="M637" s="86"/>
      <c r="N637" s="86"/>
      <c r="O637" s="86"/>
      <c r="P637" s="86"/>
      <c r="Q637" s="85"/>
      <c r="S637" s="85"/>
      <c r="T637" s="85"/>
      <c r="U637" s="85"/>
      <c r="V637" s="85"/>
      <c r="W637" s="85"/>
      <c r="X637" s="85"/>
    </row>
    <row r="638" spans="2:24" s="58" customFormat="1" ht="12" x14ac:dyDescent="0.2">
      <c r="B638" s="91"/>
      <c r="E638" s="92"/>
      <c r="F638" s="93"/>
      <c r="G638" s="94"/>
      <c r="H638" s="94"/>
      <c r="I638" s="94"/>
      <c r="J638" s="94"/>
      <c r="K638" s="93"/>
      <c r="L638" s="86"/>
      <c r="M638" s="86"/>
      <c r="N638" s="86"/>
      <c r="O638" s="86"/>
      <c r="P638" s="86"/>
      <c r="Q638" s="85"/>
      <c r="S638" s="85"/>
      <c r="T638" s="85"/>
      <c r="U638" s="85"/>
      <c r="V638" s="85"/>
      <c r="W638" s="85"/>
      <c r="X638" s="85"/>
    </row>
    <row r="639" spans="2:24" s="58" customFormat="1" ht="12" x14ac:dyDescent="0.2">
      <c r="B639" s="91"/>
      <c r="E639" s="92"/>
      <c r="F639" s="93"/>
      <c r="G639" s="94"/>
      <c r="H639" s="94"/>
      <c r="I639" s="94"/>
      <c r="J639" s="94"/>
      <c r="K639" s="93"/>
      <c r="L639" s="86"/>
      <c r="M639" s="86"/>
      <c r="N639" s="86"/>
      <c r="O639" s="86"/>
      <c r="P639" s="86"/>
      <c r="Q639" s="85"/>
      <c r="S639" s="85"/>
      <c r="T639" s="85"/>
      <c r="U639" s="85"/>
      <c r="V639" s="85"/>
      <c r="W639" s="85"/>
      <c r="X639" s="85"/>
    </row>
    <row r="640" spans="2:24" s="58" customFormat="1" ht="12" x14ac:dyDescent="0.2">
      <c r="B640" s="91"/>
      <c r="E640" s="92"/>
      <c r="F640" s="93"/>
      <c r="G640" s="94"/>
      <c r="H640" s="94"/>
      <c r="I640" s="94"/>
      <c r="J640" s="94"/>
      <c r="K640" s="93"/>
      <c r="L640" s="86"/>
      <c r="M640" s="86"/>
      <c r="N640" s="86"/>
      <c r="O640" s="86"/>
      <c r="P640" s="86"/>
      <c r="Q640" s="85"/>
      <c r="S640" s="85"/>
      <c r="T640" s="85"/>
      <c r="U640" s="85"/>
      <c r="V640" s="85"/>
      <c r="W640" s="85"/>
      <c r="X640" s="85"/>
    </row>
    <row r="641" spans="2:24" s="58" customFormat="1" ht="12" x14ac:dyDescent="0.2">
      <c r="B641" s="91"/>
      <c r="E641" s="92"/>
      <c r="F641" s="93"/>
      <c r="G641" s="94"/>
      <c r="H641" s="94"/>
      <c r="I641" s="94"/>
      <c r="J641" s="94"/>
      <c r="K641" s="93"/>
      <c r="L641" s="86"/>
      <c r="M641" s="86"/>
      <c r="N641" s="86"/>
      <c r="O641" s="86"/>
      <c r="P641" s="86"/>
      <c r="Q641" s="85"/>
      <c r="S641" s="85"/>
      <c r="T641" s="85"/>
      <c r="U641" s="85"/>
      <c r="V641" s="85"/>
      <c r="W641" s="85"/>
      <c r="X641" s="85"/>
    </row>
    <row r="642" spans="2:24" s="58" customFormat="1" ht="12" x14ac:dyDescent="0.2">
      <c r="B642" s="91"/>
      <c r="E642" s="92"/>
      <c r="F642" s="93"/>
      <c r="G642" s="94"/>
      <c r="H642" s="94"/>
      <c r="I642" s="94"/>
      <c r="J642" s="94"/>
      <c r="K642" s="93"/>
      <c r="L642" s="86"/>
      <c r="M642" s="86"/>
      <c r="N642" s="86"/>
      <c r="O642" s="86"/>
      <c r="P642" s="86"/>
      <c r="Q642" s="85"/>
      <c r="S642" s="85"/>
      <c r="T642" s="85"/>
      <c r="U642" s="85"/>
      <c r="V642" s="85"/>
      <c r="W642" s="85"/>
      <c r="X642" s="85"/>
    </row>
    <row r="643" spans="2:24" s="58" customFormat="1" ht="12" x14ac:dyDescent="0.2">
      <c r="B643" s="91"/>
      <c r="E643" s="92"/>
      <c r="F643" s="93"/>
      <c r="G643" s="94"/>
      <c r="H643" s="94"/>
      <c r="I643" s="94"/>
      <c r="J643" s="94"/>
      <c r="K643" s="93"/>
      <c r="L643" s="86"/>
      <c r="M643" s="86"/>
      <c r="N643" s="86"/>
      <c r="O643" s="86"/>
      <c r="P643" s="86"/>
      <c r="Q643" s="85"/>
      <c r="S643" s="85"/>
      <c r="T643" s="85"/>
      <c r="U643" s="85"/>
      <c r="V643" s="85"/>
      <c r="W643" s="85"/>
      <c r="X643" s="85"/>
    </row>
    <row r="644" spans="2:24" s="58" customFormat="1" ht="12" x14ac:dyDescent="0.2">
      <c r="B644" s="91"/>
      <c r="E644" s="92"/>
      <c r="F644" s="93"/>
      <c r="G644" s="94"/>
      <c r="H644" s="94"/>
      <c r="I644" s="94"/>
      <c r="J644" s="94"/>
      <c r="K644" s="93"/>
      <c r="L644" s="86"/>
      <c r="M644" s="86"/>
      <c r="N644" s="86"/>
      <c r="O644" s="86"/>
      <c r="P644" s="86"/>
      <c r="Q644" s="85"/>
      <c r="S644" s="85"/>
      <c r="T644" s="85"/>
      <c r="U644" s="85"/>
      <c r="V644" s="85"/>
      <c r="W644" s="85"/>
      <c r="X644" s="85"/>
    </row>
    <row r="645" spans="2:24" s="58" customFormat="1" ht="12" x14ac:dyDescent="0.2">
      <c r="B645" s="91"/>
      <c r="E645" s="92"/>
      <c r="F645" s="93"/>
      <c r="G645" s="94"/>
      <c r="H645" s="94"/>
      <c r="I645" s="94"/>
      <c r="J645" s="94"/>
      <c r="K645" s="93"/>
      <c r="L645" s="86"/>
      <c r="M645" s="86"/>
      <c r="N645" s="86"/>
      <c r="O645" s="86"/>
      <c r="P645" s="86"/>
      <c r="Q645" s="85"/>
      <c r="S645" s="85"/>
      <c r="T645" s="85"/>
      <c r="U645" s="85"/>
      <c r="V645" s="85"/>
      <c r="W645" s="85"/>
      <c r="X645" s="85"/>
    </row>
    <row r="646" spans="2:24" s="58" customFormat="1" ht="12" x14ac:dyDescent="0.2">
      <c r="B646" s="91"/>
      <c r="E646" s="92"/>
      <c r="F646" s="93"/>
      <c r="G646" s="94"/>
      <c r="H646" s="94"/>
      <c r="I646" s="94"/>
      <c r="J646" s="94"/>
      <c r="K646" s="93"/>
      <c r="L646" s="86"/>
      <c r="M646" s="86"/>
      <c r="N646" s="86"/>
      <c r="O646" s="86"/>
      <c r="P646" s="86"/>
      <c r="Q646" s="85"/>
      <c r="S646" s="85"/>
      <c r="T646" s="85"/>
      <c r="U646" s="85"/>
      <c r="V646" s="85"/>
      <c r="W646" s="85"/>
      <c r="X646" s="85"/>
    </row>
    <row r="647" spans="2:24" s="58" customFormat="1" ht="12" x14ac:dyDescent="0.2">
      <c r="B647" s="91"/>
      <c r="E647" s="92"/>
      <c r="F647" s="93"/>
      <c r="G647" s="94"/>
      <c r="H647" s="94"/>
      <c r="I647" s="94"/>
      <c r="J647" s="94"/>
      <c r="K647" s="93"/>
      <c r="L647" s="86"/>
      <c r="M647" s="86"/>
      <c r="N647" s="86"/>
      <c r="O647" s="86"/>
      <c r="P647" s="86"/>
      <c r="Q647" s="85"/>
      <c r="S647" s="85"/>
      <c r="T647" s="85"/>
      <c r="U647" s="85"/>
      <c r="V647" s="85"/>
      <c r="W647" s="85"/>
      <c r="X647" s="85"/>
    </row>
    <row r="648" spans="2:24" s="58" customFormat="1" ht="12" x14ac:dyDescent="0.2">
      <c r="B648" s="91"/>
      <c r="E648" s="92"/>
      <c r="F648" s="93"/>
      <c r="G648" s="94"/>
      <c r="H648" s="94"/>
      <c r="I648" s="94"/>
      <c r="J648" s="94"/>
      <c r="K648" s="93"/>
      <c r="L648" s="86"/>
      <c r="M648" s="86"/>
      <c r="N648" s="86"/>
      <c r="O648" s="86"/>
      <c r="P648" s="86"/>
      <c r="Q648" s="85"/>
      <c r="S648" s="85"/>
      <c r="T648" s="85"/>
      <c r="U648" s="85"/>
      <c r="V648" s="85"/>
      <c r="W648" s="85"/>
      <c r="X648" s="85"/>
    </row>
    <row r="649" spans="2:24" s="58" customFormat="1" ht="12" x14ac:dyDescent="0.2">
      <c r="B649" s="91"/>
      <c r="E649" s="92"/>
      <c r="F649" s="93"/>
      <c r="G649" s="94"/>
      <c r="H649" s="94"/>
      <c r="I649" s="94"/>
      <c r="J649" s="94"/>
      <c r="K649" s="93"/>
      <c r="L649" s="86"/>
      <c r="M649" s="86"/>
      <c r="N649" s="86"/>
      <c r="O649" s="86"/>
      <c r="P649" s="86"/>
      <c r="Q649" s="85"/>
      <c r="S649" s="85"/>
      <c r="T649" s="85"/>
      <c r="U649" s="85"/>
      <c r="V649" s="85"/>
      <c r="W649" s="85"/>
      <c r="X649" s="85"/>
    </row>
    <row r="650" spans="2:24" s="58" customFormat="1" ht="12" x14ac:dyDescent="0.2">
      <c r="B650" s="91"/>
      <c r="E650" s="92"/>
      <c r="F650" s="93"/>
      <c r="G650" s="94"/>
      <c r="H650" s="94"/>
      <c r="I650" s="94"/>
      <c r="J650" s="94"/>
      <c r="K650" s="93"/>
      <c r="L650" s="86"/>
      <c r="M650" s="86"/>
      <c r="N650" s="86"/>
      <c r="O650" s="86"/>
      <c r="P650" s="86"/>
      <c r="Q650" s="85"/>
      <c r="S650" s="85"/>
      <c r="T650" s="85"/>
      <c r="U650" s="85"/>
      <c r="V650" s="85"/>
      <c r="W650" s="85"/>
      <c r="X650" s="85"/>
    </row>
    <row r="651" spans="2:24" s="58" customFormat="1" ht="12" x14ac:dyDescent="0.2">
      <c r="B651" s="91"/>
      <c r="E651" s="92"/>
      <c r="F651" s="93"/>
      <c r="G651" s="94"/>
      <c r="H651" s="94"/>
      <c r="I651" s="94"/>
      <c r="J651" s="94"/>
      <c r="K651" s="93"/>
      <c r="L651" s="86"/>
      <c r="M651" s="86"/>
      <c r="N651" s="86"/>
      <c r="O651" s="86"/>
      <c r="P651" s="86"/>
      <c r="Q651" s="85"/>
      <c r="S651" s="85"/>
      <c r="T651" s="85"/>
      <c r="U651" s="85"/>
      <c r="V651" s="85"/>
      <c r="W651" s="85"/>
      <c r="X651" s="85"/>
    </row>
    <row r="652" spans="2:24" s="58" customFormat="1" ht="12" x14ac:dyDescent="0.2">
      <c r="B652" s="91"/>
      <c r="E652" s="92"/>
      <c r="F652" s="93"/>
      <c r="G652" s="94"/>
      <c r="H652" s="94"/>
      <c r="I652" s="94"/>
      <c r="J652" s="94"/>
      <c r="K652" s="93"/>
      <c r="L652" s="86"/>
      <c r="M652" s="86"/>
      <c r="N652" s="86"/>
      <c r="O652" s="86"/>
      <c r="P652" s="86"/>
      <c r="Q652" s="85"/>
      <c r="S652" s="85"/>
      <c r="T652" s="85"/>
      <c r="U652" s="85"/>
      <c r="V652" s="85"/>
      <c r="W652" s="85"/>
      <c r="X652" s="85"/>
    </row>
    <row r="653" spans="2:24" s="58" customFormat="1" ht="12" x14ac:dyDescent="0.2">
      <c r="B653" s="91"/>
      <c r="E653" s="92"/>
      <c r="F653" s="93"/>
      <c r="G653" s="94"/>
      <c r="H653" s="94"/>
      <c r="I653" s="94"/>
      <c r="J653" s="94"/>
      <c r="K653" s="93"/>
      <c r="L653" s="86"/>
      <c r="M653" s="86"/>
      <c r="N653" s="86"/>
      <c r="O653" s="86"/>
      <c r="P653" s="86"/>
      <c r="Q653" s="85"/>
      <c r="S653" s="85"/>
      <c r="T653" s="85"/>
      <c r="U653" s="85"/>
      <c r="V653" s="85"/>
      <c r="W653" s="85"/>
      <c r="X653" s="85"/>
    </row>
    <row r="654" spans="2:24" s="58" customFormat="1" ht="12" x14ac:dyDescent="0.2">
      <c r="B654" s="91"/>
      <c r="E654" s="92"/>
      <c r="F654" s="93"/>
      <c r="G654" s="94"/>
      <c r="H654" s="94"/>
      <c r="I654" s="94"/>
      <c r="J654" s="94"/>
      <c r="K654" s="93"/>
      <c r="L654" s="86"/>
      <c r="M654" s="86"/>
      <c r="N654" s="86"/>
      <c r="O654" s="86"/>
      <c r="P654" s="86"/>
      <c r="Q654" s="85"/>
      <c r="S654" s="85"/>
      <c r="T654" s="85"/>
      <c r="U654" s="85"/>
      <c r="V654" s="85"/>
      <c r="W654" s="85"/>
      <c r="X654" s="85"/>
    </row>
    <row r="655" spans="2:24" s="58" customFormat="1" ht="12" x14ac:dyDescent="0.2">
      <c r="B655" s="91"/>
      <c r="E655" s="92"/>
      <c r="F655" s="93"/>
      <c r="G655" s="94"/>
      <c r="H655" s="94"/>
      <c r="I655" s="94"/>
      <c r="J655" s="94"/>
      <c r="K655" s="93"/>
      <c r="L655" s="86"/>
      <c r="M655" s="86"/>
      <c r="N655" s="86"/>
      <c r="O655" s="86"/>
      <c r="P655" s="86"/>
      <c r="Q655" s="85"/>
      <c r="S655" s="85"/>
      <c r="T655" s="85"/>
      <c r="U655" s="85"/>
      <c r="V655" s="85"/>
      <c r="W655" s="85"/>
      <c r="X655" s="85"/>
    </row>
    <row r="656" spans="2:24" s="58" customFormat="1" ht="12" x14ac:dyDescent="0.2">
      <c r="B656" s="91"/>
      <c r="E656" s="92"/>
      <c r="F656" s="93"/>
      <c r="G656" s="94"/>
      <c r="H656" s="94"/>
      <c r="I656" s="94"/>
      <c r="J656" s="94"/>
      <c r="K656" s="93"/>
      <c r="L656" s="86"/>
      <c r="M656" s="86"/>
      <c r="N656" s="86"/>
      <c r="O656" s="86"/>
      <c r="P656" s="86"/>
      <c r="Q656" s="85"/>
      <c r="S656" s="85"/>
      <c r="T656" s="85"/>
      <c r="U656" s="85"/>
      <c r="V656" s="85"/>
      <c r="W656" s="85"/>
      <c r="X656" s="85"/>
    </row>
    <row r="657" spans="2:24" s="58" customFormat="1" ht="12" x14ac:dyDescent="0.2">
      <c r="B657" s="91"/>
      <c r="E657" s="92"/>
      <c r="F657" s="93"/>
      <c r="G657" s="94"/>
      <c r="H657" s="94"/>
      <c r="I657" s="94"/>
      <c r="J657" s="94"/>
      <c r="K657" s="93"/>
      <c r="L657" s="86"/>
      <c r="M657" s="86"/>
      <c r="N657" s="86"/>
      <c r="O657" s="86"/>
      <c r="P657" s="86"/>
      <c r="Q657" s="85"/>
      <c r="S657" s="85"/>
      <c r="T657" s="85"/>
      <c r="U657" s="85"/>
      <c r="V657" s="85"/>
      <c r="W657" s="85"/>
      <c r="X657" s="85"/>
    </row>
    <row r="658" spans="2:24" s="58" customFormat="1" ht="12" x14ac:dyDescent="0.2">
      <c r="B658" s="91"/>
      <c r="E658" s="92"/>
      <c r="F658" s="93"/>
      <c r="G658" s="94"/>
      <c r="H658" s="94"/>
      <c r="I658" s="94"/>
      <c r="J658" s="94"/>
      <c r="K658" s="93"/>
      <c r="L658" s="86"/>
      <c r="M658" s="86"/>
      <c r="N658" s="86"/>
      <c r="O658" s="86"/>
      <c r="P658" s="86"/>
      <c r="Q658" s="85"/>
      <c r="S658" s="85"/>
      <c r="T658" s="85"/>
      <c r="U658" s="85"/>
      <c r="V658" s="85"/>
      <c r="W658" s="85"/>
      <c r="X658" s="85"/>
    </row>
    <row r="659" spans="2:24" s="58" customFormat="1" ht="12" x14ac:dyDescent="0.2">
      <c r="B659" s="91"/>
      <c r="E659" s="92"/>
      <c r="F659" s="93"/>
      <c r="G659" s="94"/>
      <c r="H659" s="94"/>
      <c r="I659" s="94"/>
      <c r="J659" s="94"/>
      <c r="K659" s="93"/>
      <c r="L659" s="86"/>
      <c r="M659" s="86"/>
      <c r="N659" s="86"/>
      <c r="O659" s="86"/>
      <c r="P659" s="86"/>
      <c r="Q659" s="85"/>
      <c r="S659" s="85"/>
      <c r="T659" s="85"/>
      <c r="U659" s="85"/>
      <c r="V659" s="85"/>
      <c r="W659" s="85"/>
      <c r="X659" s="85"/>
    </row>
    <row r="660" spans="2:24" s="58" customFormat="1" ht="12" x14ac:dyDescent="0.2">
      <c r="B660" s="91"/>
      <c r="E660" s="92"/>
      <c r="F660" s="93"/>
      <c r="G660" s="94"/>
      <c r="H660" s="94"/>
      <c r="I660" s="94"/>
      <c r="J660" s="94"/>
      <c r="K660" s="93"/>
      <c r="L660" s="86"/>
      <c r="M660" s="86"/>
      <c r="N660" s="86"/>
      <c r="O660" s="86"/>
      <c r="P660" s="86"/>
      <c r="Q660" s="85"/>
      <c r="S660" s="85"/>
      <c r="T660" s="85"/>
      <c r="U660" s="85"/>
      <c r="V660" s="85"/>
      <c r="W660" s="85"/>
      <c r="X660" s="85"/>
    </row>
    <row r="661" spans="2:24" s="58" customFormat="1" ht="12" x14ac:dyDescent="0.2">
      <c r="B661" s="91"/>
      <c r="E661" s="92"/>
      <c r="F661" s="93"/>
      <c r="G661" s="94"/>
      <c r="H661" s="94"/>
      <c r="I661" s="94"/>
      <c r="J661" s="94"/>
      <c r="K661" s="93"/>
      <c r="L661" s="86"/>
      <c r="M661" s="86"/>
      <c r="N661" s="86"/>
      <c r="O661" s="86"/>
      <c r="P661" s="86"/>
      <c r="Q661" s="85"/>
      <c r="S661" s="85"/>
      <c r="T661" s="85"/>
      <c r="U661" s="85"/>
      <c r="V661" s="85"/>
      <c r="W661" s="85"/>
      <c r="X661" s="85"/>
    </row>
    <row r="662" spans="2:24" s="58" customFormat="1" ht="12" x14ac:dyDescent="0.2">
      <c r="B662" s="91"/>
      <c r="E662" s="92"/>
      <c r="F662" s="93"/>
      <c r="G662" s="94"/>
      <c r="H662" s="94"/>
      <c r="I662" s="94"/>
      <c r="J662" s="94"/>
      <c r="K662" s="93"/>
      <c r="L662" s="86"/>
      <c r="M662" s="86"/>
      <c r="N662" s="86"/>
      <c r="O662" s="86"/>
      <c r="P662" s="86"/>
      <c r="Q662" s="85"/>
      <c r="S662" s="85"/>
      <c r="T662" s="85"/>
      <c r="U662" s="85"/>
      <c r="V662" s="85"/>
      <c r="W662" s="85"/>
      <c r="X662" s="85"/>
    </row>
    <row r="663" spans="2:24" s="58" customFormat="1" ht="12" x14ac:dyDescent="0.2">
      <c r="B663" s="91"/>
      <c r="E663" s="92"/>
      <c r="F663" s="93"/>
      <c r="G663" s="94"/>
      <c r="H663" s="94"/>
      <c r="I663" s="94"/>
      <c r="J663" s="94"/>
      <c r="K663" s="93"/>
      <c r="L663" s="86"/>
      <c r="M663" s="86"/>
      <c r="N663" s="86"/>
      <c r="O663" s="86"/>
      <c r="P663" s="86"/>
      <c r="Q663" s="85"/>
      <c r="S663" s="85"/>
      <c r="T663" s="85"/>
      <c r="U663" s="85"/>
      <c r="V663" s="85"/>
      <c r="W663" s="85"/>
      <c r="X663" s="85"/>
    </row>
    <row r="664" spans="2:24" s="58" customFormat="1" ht="12" x14ac:dyDescent="0.2">
      <c r="B664" s="91"/>
      <c r="E664" s="92"/>
      <c r="F664" s="93"/>
      <c r="G664" s="94"/>
      <c r="H664" s="94"/>
      <c r="I664" s="94"/>
      <c r="J664" s="94"/>
      <c r="K664" s="93"/>
      <c r="L664" s="86"/>
      <c r="M664" s="86"/>
      <c r="N664" s="86"/>
      <c r="O664" s="86"/>
      <c r="P664" s="86"/>
      <c r="Q664" s="85"/>
      <c r="S664" s="85"/>
      <c r="T664" s="85"/>
      <c r="U664" s="85"/>
      <c r="V664" s="85"/>
      <c r="W664" s="85"/>
      <c r="X664" s="85"/>
    </row>
    <row r="665" spans="2:24" s="58" customFormat="1" ht="12" x14ac:dyDescent="0.2">
      <c r="B665" s="91"/>
      <c r="E665" s="92"/>
      <c r="F665" s="93"/>
      <c r="G665" s="94"/>
      <c r="H665" s="94"/>
      <c r="I665" s="94"/>
      <c r="J665" s="94"/>
      <c r="K665" s="93"/>
      <c r="L665" s="86"/>
      <c r="M665" s="86"/>
      <c r="N665" s="86"/>
      <c r="O665" s="86"/>
      <c r="P665" s="86"/>
      <c r="Q665" s="85"/>
      <c r="S665" s="85"/>
      <c r="T665" s="85"/>
      <c r="U665" s="85"/>
      <c r="V665" s="85"/>
      <c r="W665" s="85"/>
      <c r="X665" s="85"/>
    </row>
    <row r="666" spans="2:24" s="58" customFormat="1" ht="12" x14ac:dyDescent="0.2">
      <c r="B666" s="91"/>
      <c r="C666" s="92"/>
      <c r="D666" s="92"/>
      <c r="E666" s="92"/>
      <c r="F666" s="93"/>
      <c r="G666" s="94"/>
      <c r="H666" s="94"/>
      <c r="I666" s="94"/>
      <c r="J666" s="94"/>
      <c r="K666" s="93"/>
      <c r="L666" s="86"/>
      <c r="M666" s="86"/>
      <c r="N666" s="86"/>
      <c r="O666" s="86"/>
      <c r="P666" s="86"/>
      <c r="Q666" s="85"/>
      <c r="S666" s="85"/>
      <c r="T666" s="85"/>
      <c r="U666" s="85"/>
      <c r="V666" s="85"/>
      <c r="W666" s="85"/>
      <c r="X666" s="85"/>
    </row>
    <row r="667" spans="2:24" s="58" customFormat="1" ht="12" x14ac:dyDescent="0.2">
      <c r="B667" s="91"/>
      <c r="E667" s="92"/>
      <c r="F667" s="93"/>
      <c r="G667" s="94"/>
      <c r="H667" s="94"/>
      <c r="I667" s="94"/>
      <c r="J667" s="94"/>
      <c r="K667" s="93"/>
      <c r="L667" s="86"/>
      <c r="M667" s="86"/>
      <c r="N667" s="86"/>
      <c r="O667" s="86"/>
      <c r="P667" s="86"/>
      <c r="Q667" s="85"/>
      <c r="S667" s="85"/>
      <c r="T667" s="85"/>
      <c r="U667" s="85"/>
      <c r="V667" s="85"/>
      <c r="W667" s="85"/>
      <c r="X667" s="85"/>
    </row>
    <row r="668" spans="2:24" s="58" customFormat="1" ht="12" x14ac:dyDescent="0.2">
      <c r="B668" s="91"/>
      <c r="E668" s="92"/>
      <c r="F668" s="93"/>
      <c r="G668" s="94"/>
      <c r="H668" s="94"/>
      <c r="I668" s="94"/>
      <c r="J668" s="94"/>
      <c r="K668" s="93"/>
      <c r="L668" s="86"/>
      <c r="M668" s="86"/>
      <c r="N668" s="86"/>
      <c r="O668" s="86"/>
      <c r="P668" s="86"/>
      <c r="Q668" s="85"/>
      <c r="S668" s="85"/>
      <c r="T668" s="85"/>
      <c r="U668" s="85"/>
      <c r="V668" s="85"/>
      <c r="W668" s="85"/>
      <c r="X668" s="85"/>
    </row>
    <row r="669" spans="2:24" s="58" customFormat="1" ht="12" x14ac:dyDescent="0.2">
      <c r="B669" s="91"/>
      <c r="E669" s="92"/>
      <c r="F669" s="93"/>
      <c r="G669" s="94"/>
      <c r="H669" s="94"/>
      <c r="I669" s="94"/>
      <c r="J669" s="94"/>
      <c r="K669" s="93"/>
      <c r="L669" s="86"/>
      <c r="M669" s="86"/>
      <c r="N669" s="86"/>
      <c r="O669" s="86"/>
      <c r="P669" s="86"/>
      <c r="Q669" s="85"/>
      <c r="S669" s="85"/>
      <c r="T669" s="85"/>
      <c r="U669" s="85"/>
      <c r="V669" s="85"/>
      <c r="W669" s="85"/>
      <c r="X669" s="85"/>
    </row>
    <row r="670" spans="2:24" s="58" customFormat="1" ht="12" x14ac:dyDescent="0.2">
      <c r="B670" s="91"/>
      <c r="E670" s="92"/>
      <c r="F670" s="93"/>
      <c r="G670" s="94"/>
      <c r="H670" s="94"/>
      <c r="I670" s="94"/>
      <c r="J670" s="94"/>
      <c r="K670" s="93"/>
      <c r="L670" s="86"/>
      <c r="M670" s="86"/>
      <c r="N670" s="86"/>
      <c r="O670" s="86"/>
      <c r="P670" s="86"/>
      <c r="Q670" s="85"/>
      <c r="S670" s="85"/>
      <c r="T670" s="85"/>
      <c r="U670" s="85"/>
      <c r="V670" s="85"/>
      <c r="W670" s="85"/>
      <c r="X670" s="85"/>
    </row>
    <row r="671" spans="2:24" s="58" customFormat="1" ht="12" x14ac:dyDescent="0.2">
      <c r="B671" s="91"/>
      <c r="E671" s="92"/>
      <c r="F671" s="93"/>
      <c r="G671" s="94"/>
      <c r="H671" s="94"/>
      <c r="I671" s="94"/>
      <c r="J671" s="94"/>
      <c r="K671" s="93"/>
      <c r="L671" s="86"/>
      <c r="M671" s="86"/>
      <c r="N671" s="86"/>
      <c r="O671" s="86"/>
      <c r="P671" s="86"/>
      <c r="Q671" s="85"/>
      <c r="S671" s="85"/>
      <c r="T671" s="85"/>
      <c r="U671" s="85"/>
      <c r="V671" s="85"/>
      <c r="W671" s="85"/>
      <c r="X671" s="85"/>
    </row>
    <row r="672" spans="2:24" s="58" customFormat="1" ht="12" x14ac:dyDescent="0.2">
      <c r="B672" s="91"/>
      <c r="E672" s="92"/>
      <c r="F672" s="93"/>
      <c r="G672" s="94"/>
      <c r="H672" s="94"/>
      <c r="I672" s="94"/>
      <c r="J672" s="94"/>
      <c r="K672" s="93"/>
      <c r="L672" s="86"/>
      <c r="M672" s="86"/>
      <c r="N672" s="86"/>
      <c r="O672" s="86"/>
      <c r="P672" s="86"/>
      <c r="Q672" s="85"/>
      <c r="S672" s="85"/>
      <c r="T672" s="85"/>
      <c r="U672" s="85"/>
      <c r="V672" s="85"/>
      <c r="W672" s="85"/>
      <c r="X672" s="85"/>
    </row>
    <row r="673" spans="2:24" s="58" customFormat="1" ht="12" x14ac:dyDescent="0.2">
      <c r="B673" s="91"/>
      <c r="E673" s="92"/>
      <c r="F673" s="93"/>
      <c r="G673" s="94"/>
      <c r="H673" s="94"/>
      <c r="I673" s="94"/>
      <c r="J673" s="94"/>
      <c r="K673" s="93"/>
      <c r="L673" s="86"/>
      <c r="M673" s="86"/>
      <c r="N673" s="86"/>
      <c r="O673" s="86"/>
      <c r="P673" s="86"/>
      <c r="Q673" s="85"/>
      <c r="S673" s="85"/>
      <c r="T673" s="85"/>
      <c r="U673" s="85"/>
      <c r="V673" s="85"/>
      <c r="W673" s="85"/>
      <c r="X673" s="85"/>
    </row>
    <row r="674" spans="2:24" s="58" customFormat="1" ht="12" x14ac:dyDescent="0.2">
      <c r="B674" s="91"/>
      <c r="E674" s="92"/>
      <c r="F674" s="93"/>
      <c r="G674" s="94"/>
      <c r="H674" s="94"/>
      <c r="I674" s="94"/>
      <c r="J674" s="94"/>
      <c r="K674" s="93"/>
      <c r="L674" s="86"/>
      <c r="M674" s="86"/>
      <c r="N674" s="86"/>
      <c r="O674" s="86"/>
      <c r="P674" s="86"/>
      <c r="Q674" s="85"/>
      <c r="S674" s="85"/>
      <c r="T674" s="85"/>
      <c r="U674" s="85"/>
      <c r="V674" s="85"/>
      <c r="W674" s="85"/>
      <c r="X674" s="85"/>
    </row>
    <row r="675" spans="2:24" s="58" customFormat="1" ht="12" x14ac:dyDescent="0.2">
      <c r="B675" s="91"/>
      <c r="E675" s="92"/>
      <c r="F675" s="93"/>
      <c r="G675" s="94"/>
      <c r="H675" s="94"/>
      <c r="I675" s="94"/>
      <c r="J675" s="94"/>
      <c r="K675" s="93"/>
      <c r="L675" s="86"/>
      <c r="M675" s="86"/>
      <c r="N675" s="86"/>
      <c r="O675" s="86"/>
      <c r="P675" s="86"/>
      <c r="Q675" s="85"/>
      <c r="S675" s="85"/>
      <c r="T675" s="85"/>
      <c r="U675" s="85"/>
      <c r="V675" s="85"/>
      <c r="W675" s="85"/>
      <c r="X675" s="85"/>
    </row>
    <row r="676" spans="2:24" s="58" customFormat="1" ht="12" x14ac:dyDescent="0.2">
      <c r="B676" s="91"/>
      <c r="E676" s="92"/>
      <c r="F676" s="93"/>
      <c r="G676" s="94"/>
      <c r="H676" s="94"/>
      <c r="I676" s="94"/>
      <c r="J676" s="94"/>
      <c r="K676" s="93"/>
      <c r="L676" s="86"/>
      <c r="M676" s="86"/>
      <c r="N676" s="86"/>
      <c r="O676" s="86"/>
      <c r="P676" s="86"/>
      <c r="Q676" s="85"/>
      <c r="S676" s="85"/>
      <c r="T676" s="85"/>
      <c r="U676" s="85"/>
      <c r="V676" s="85"/>
      <c r="W676" s="85"/>
      <c r="X676" s="85"/>
    </row>
    <row r="677" spans="2:24" s="58" customFormat="1" ht="12" x14ac:dyDescent="0.2">
      <c r="B677" s="91"/>
      <c r="E677" s="92"/>
      <c r="F677" s="93"/>
      <c r="G677" s="94"/>
      <c r="H677" s="94"/>
      <c r="I677" s="94"/>
      <c r="J677" s="94"/>
      <c r="K677" s="93"/>
      <c r="L677" s="86"/>
      <c r="M677" s="86"/>
      <c r="N677" s="86"/>
      <c r="O677" s="86"/>
      <c r="P677" s="86"/>
      <c r="Q677" s="85"/>
      <c r="S677" s="85"/>
      <c r="T677" s="85"/>
      <c r="U677" s="85"/>
      <c r="V677" s="85"/>
      <c r="W677" s="85"/>
      <c r="X677" s="85"/>
    </row>
    <row r="678" spans="2:24" s="58" customFormat="1" ht="12" x14ac:dyDescent="0.2">
      <c r="B678" s="91"/>
      <c r="E678" s="92"/>
      <c r="F678" s="93"/>
      <c r="G678" s="94"/>
      <c r="H678" s="94"/>
      <c r="I678" s="94"/>
      <c r="J678" s="94"/>
      <c r="K678" s="93"/>
      <c r="L678" s="86"/>
      <c r="M678" s="86"/>
      <c r="N678" s="86"/>
      <c r="O678" s="86"/>
      <c r="P678" s="86"/>
      <c r="Q678" s="85"/>
      <c r="S678" s="85"/>
      <c r="T678" s="85"/>
      <c r="U678" s="85"/>
      <c r="V678" s="85"/>
      <c r="W678" s="85"/>
      <c r="X678" s="85"/>
    </row>
    <row r="679" spans="2:24" s="58" customFormat="1" ht="12" x14ac:dyDescent="0.2">
      <c r="B679" s="91"/>
      <c r="E679" s="92"/>
      <c r="F679" s="93"/>
      <c r="G679" s="94"/>
      <c r="H679" s="94"/>
      <c r="I679" s="94"/>
      <c r="J679" s="94"/>
      <c r="K679" s="93"/>
      <c r="L679" s="86"/>
      <c r="M679" s="86"/>
      <c r="N679" s="86"/>
      <c r="O679" s="86"/>
      <c r="P679" s="86"/>
      <c r="Q679" s="85"/>
      <c r="S679" s="85"/>
      <c r="T679" s="85"/>
      <c r="U679" s="85"/>
      <c r="V679" s="85"/>
      <c r="W679" s="85"/>
      <c r="X679" s="85"/>
    </row>
    <row r="680" spans="2:24" s="58" customFormat="1" ht="12" x14ac:dyDescent="0.2">
      <c r="B680" s="91"/>
      <c r="E680" s="92"/>
      <c r="F680" s="93"/>
      <c r="G680" s="94"/>
      <c r="H680" s="94"/>
      <c r="I680" s="94"/>
      <c r="J680" s="94"/>
      <c r="K680" s="93"/>
      <c r="L680" s="86"/>
      <c r="M680" s="86"/>
      <c r="N680" s="86"/>
      <c r="O680" s="86"/>
      <c r="P680" s="86"/>
      <c r="Q680" s="85"/>
      <c r="S680" s="85"/>
      <c r="T680" s="85"/>
      <c r="U680" s="85"/>
      <c r="V680" s="85"/>
      <c r="W680" s="85"/>
      <c r="X680" s="85"/>
    </row>
    <row r="681" spans="2:24" s="58" customFormat="1" ht="12" x14ac:dyDescent="0.2">
      <c r="B681" s="91"/>
      <c r="E681" s="92"/>
      <c r="F681" s="93"/>
      <c r="G681" s="94"/>
      <c r="H681" s="94"/>
      <c r="I681" s="94"/>
      <c r="J681" s="94"/>
      <c r="K681" s="93"/>
      <c r="L681" s="86"/>
      <c r="M681" s="86"/>
      <c r="N681" s="86"/>
      <c r="O681" s="86"/>
      <c r="P681" s="86"/>
      <c r="Q681" s="85"/>
      <c r="S681" s="85"/>
      <c r="T681" s="85"/>
      <c r="U681" s="85"/>
      <c r="V681" s="85"/>
      <c r="W681" s="85"/>
      <c r="X681" s="85"/>
    </row>
    <row r="682" spans="2:24" s="58" customFormat="1" ht="12" x14ac:dyDescent="0.2">
      <c r="B682" s="91"/>
      <c r="E682" s="92"/>
      <c r="F682" s="93"/>
      <c r="G682" s="94"/>
      <c r="H682" s="94"/>
      <c r="I682" s="94"/>
      <c r="J682" s="94"/>
      <c r="K682" s="93"/>
      <c r="L682" s="86"/>
      <c r="M682" s="86"/>
      <c r="N682" s="86"/>
      <c r="O682" s="86"/>
      <c r="P682" s="86"/>
      <c r="Q682" s="85"/>
      <c r="S682" s="85"/>
      <c r="T682" s="85"/>
      <c r="U682" s="85"/>
      <c r="V682" s="85"/>
      <c r="W682" s="85"/>
      <c r="X682" s="85"/>
    </row>
    <row r="683" spans="2:24" s="58" customFormat="1" ht="12" x14ac:dyDescent="0.2">
      <c r="B683" s="91"/>
      <c r="E683" s="92"/>
      <c r="F683" s="93"/>
      <c r="G683" s="94"/>
      <c r="H683" s="94"/>
      <c r="I683" s="94"/>
      <c r="J683" s="94"/>
      <c r="K683" s="93"/>
      <c r="L683" s="86"/>
      <c r="M683" s="86"/>
      <c r="N683" s="86"/>
      <c r="O683" s="86"/>
      <c r="P683" s="86"/>
      <c r="Q683" s="85"/>
      <c r="S683" s="85"/>
      <c r="T683" s="85"/>
      <c r="U683" s="85"/>
      <c r="V683" s="85"/>
      <c r="W683" s="85"/>
      <c r="X683" s="85"/>
    </row>
    <row r="684" spans="2:24" s="58" customFormat="1" ht="12" x14ac:dyDescent="0.2">
      <c r="B684" s="91"/>
      <c r="E684" s="92"/>
      <c r="F684" s="93"/>
      <c r="G684" s="94"/>
      <c r="H684" s="94"/>
      <c r="I684" s="94"/>
      <c r="J684" s="94"/>
      <c r="K684" s="93"/>
      <c r="L684" s="86"/>
      <c r="M684" s="86"/>
      <c r="N684" s="86"/>
      <c r="O684" s="86"/>
      <c r="P684" s="86"/>
      <c r="Q684" s="85"/>
      <c r="S684" s="85"/>
      <c r="T684" s="85"/>
      <c r="U684" s="85"/>
      <c r="V684" s="85"/>
      <c r="W684" s="85"/>
      <c r="X684" s="85"/>
    </row>
    <row r="685" spans="2:24" s="58" customFormat="1" ht="12" x14ac:dyDescent="0.2">
      <c r="B685" s="91"/>
      <c r="E685" s="92"/>
      <c r="F685" s="93"/>
      <c r="G685" s="94"/>
      <c r="H685" s="94"/>
      <c r="I685" s="94"/>
      <c r="J685" s="94"/>
      <c r="K685" s="93"/>
      <c r="L685" s="86"/>
      <c r="M685" s="86"/>
      <c r="N685" s="86"/>
      <c r="O685" s="86"/>
      <c r="P685" s="86"/>
      <c r="Q685" s="85"/>
      <c r="S685" s="85"/>
      <c r="T685" s="85"/>
      <c r="U685" s="85"/>
      <c r="V685" s="85"/>
      <c r="W685" s="85"/>
      <c r="X685" s="85"/>
    </row>
    <row r="686" spans="2:24" s="58" customFormat="1" ht="12" x14ac:dyDescent="0.2">
      <c r="B686" s="91"/>
      <c r="E686" s="92"/>
      <c r="F686" s="93"/>
      <c r="G686" s="94"/>
      <c r="H686" s="94"/>
      <c r="I686" s="94"/>
      <c r="J686" s="94"/>
      <c r="K686" s="93"/>
      <c r="L686" s="86"/>
      <c r="M686" s="86"/>
      <c r="N686" s="86"/>
      <c r="O686" s="86"/>
      <c r="P686" s="86"/>
      <c r="Q686" s="85"/>
      <c r="S686" s="85"/>
      <c r="T686" s="85"/>
      <c r="U686" s="85"/>
      <c r="V686" s="85"/>
      <c r="W686" s="85"/>
      <c r="X686" s="85"/>
    </row>
    <row r="687" spans="2:24" s="58" customFormat="1" ht="12" x14ac:dyDescent="0.2">
      <c r="B687" s="91"/>
      <c r="E687" s="92"/>
      <c r="F687" s="93"/>
      <c r="G687" s="94"/>
      <c r="H687" s="94"/>
      <c r="I687" s="94"/>
      <c r="J687" s="94"/>
      <c r="K687" s="93"/>
      <c r="L687" s="86"/>
      <c r="M687" s="86"/>
      <c r="N687" s="86"/>
      <c r="O687" s="86"/>
      <c r="P687" s="86"/>
      <c r="Q687" s="85"/>
      <c r="S687" s="85"/>
      <c r="T687" s="85"/>
      <c r="U687" s="85"/>
      <c r="V687" s="85"/>
      <c r="W687" s="85"/>
      <c r="X687" s="85"/>
    </row>
    <row r="688" spans="2:24" s="58" customFormat="1" ht="12" x14ac:dyDescent="0.2">
      <c r="B688" s="91"/>
      <c r="E688" s="92"/>
      <c r="F688" s="93"/>
      <c r="G688" s="94"/>
      <c r="H688" s="94"/>
      <c r="I688" s="94"/>
      <c r="J688" s="94"/>
      <c r="K688" s="93"/>
      <c r="L688" s="86"/>
      <c r="M688" s="86"/>
      <c r="N688" s="86"/>
      <c r="O688" s="86"/>
      <c r="P688" s="86"/>
      <c r="Q688" s="85"/>
      <c r="S688" s="85"/>
      <c r="T688" s="85"/>
      <c r="U688" s="85"/>
      <c r="V688" s="85"/>
      <c r="W688" s="85"/>
      <c r="X688" s="85"/>
    </row>
    <row r="689" spans="2:24" s="58" customFormat="1" ht="12" x14ac:dyDescent="0.2">
      <c r="B689" s="91"/>
      <c r="E689" s="92"/>
      <c r="F689" s="93"/>
      <c r="G689" s="94"/>
      <c r="H689" s="94"/>
      <c r="I689" s="94"/>
      <c r="J689" s="94"/>
      <c r="K689" s="93"/>
      <c r="L689" s="86"/>
      <c r="M689" s="86"/>
      <c r="N689" s="86"/>
      <c r="O689" s="86"/>
      <c r="P689" s="86"/>
      <c r="Q689" s="85"/>
      <c r="S689" s="85"/>
      <c r="T689" s="85"/>
      <c r="U689" s="85"/>
      <c r="V689" s="85"/>
      <c r="W689" s="85"/>
      <c r="X689" s="85"/>
    </row>
    <row r="690" spans="2:24" s="58" customFormat="1" ht="12" x14ac:dyDescent="0.2">
      <c r="B690" s="91"/>
      <c r="E690" s="92"/>
      <c r="F690" s="93"/>
      <c r="G690" s="94"/>
      <c r="H690" s="94"/>
      <c r="I690" s="94"/>
      <c r="J690" s="94"/>
      <c r="K690" s="93"/>
      <c r="L690" s="86"/>
      <c r="M690" s="86"/>
      <c r="N690" s="86"/>
      <c r="O690" s="86"/>
      <c r="P690" s="86"/>
      <c r="Q690" s="85"/>
      <c r="S690" s="85"/>
      <c r="T690" s="85"/>
      <c r="U690" s="85"/>
      <c r="V690" s="85"/>
      <c r="W690" s="85"/>
      <c r="X690" s="85"/>
    </row>
    <row r="691" spans="2:24" s="58" customFormat="1" ht="12" x14ac:dyDescent="0.2">
      <c r="B691" s="91"/>
      <c r="E691" s="92"/>
      <c r="F691" s="93"/>
      <c r="G691" s="94"/>
      <c r="H691" s="94"/>
      <c r="I691" s="94"/>
      <c r="J691" s="94"/>
      <c r="K691" s="93"/>
      <c r="L691" s="86"/>
      <c r="M691" s="86"/>
      <c r="N691" s="86"/>
      <c r="O691" s="86"/>
      <c r="P691" s="86"/>
      <c r="Q691" s="85"/>
      <c r="S691" s="85"/>
      <c r="T691" s="85"/>
      <c r="U691" s="85"/>
      <c r="V691" s="85"/>
      <c r="W691" s="85"/>
      <c r="X691" s="85"/>
    </row>
    <row r="692" spans="2:24" s="58" customFormat="1" ht="12" x14ac:dyDescent="0.2">
      <c r="B692" s="91"/>
      <c r="E692" s="92"/>
      <c r="F692" s="93"/>
      <c r="G692" s="94"/>
      <c r="H692" s="94"/>
      <c r="I692" s="94"/>
      <c r="J692" s="94"/>
      <c r="K692" s="93"/>
      <c r="L692" s="86"/>
      <c r="M692" s="86"/>
      <c r="N692" s="86"/>
      <c r="O692" s="86"/>
      <c r="P692" s="86"/>
      <c r="Q692" s="85"/>
      <c r="S692" s="85"/>
      <c r="T692" s="85"/>
      <c r="U692" s="85"/>
      <c r="V692" s="85"/>
      <c r="W692" s="85"/>
      <c r="X692" s="85"/>
    </row>
    <row r="693" spans="2:24" s="58" customFormat="1" ht="12" x14ac:dyDescent="0.2">
      <c r="B693" s="91"/>
      <c r="E693" s="92"/>
      <c r="F693" s="93"/>
      <c r="G693" s="94"/>
      <c r="H693" s="94"/>
      <c r="I693" s="94"/>
      <c r="J693" s="94"/>
      <c r="K693" s="93"/>
      <c r="L693" s="86"/>
      <c r="M693" s="86"/>
      <c r="N693" s="86"/>
      <c r="O693" s="86"/>
      <c r="P693" s="86"/>
      <c r="Q693" s="85"/>
      <c r="S693" s="85"/>
      <c r="T693" s="85"/>
      <c r="U693" s="85"/>
      <c r="V693" s="85"/>
      <c r="W693" s="85"/>
      <c r="X693" s="85"/>
    </row>
    <row r="694" spans="2:24" s="58" customFormat="1" ht="12" x14ac:dyDescent="0.2">
      <c r="B694" s="91"/>
      <c r="E694" s="92"/>
      <c r="F694" s="93"/>
      <c r="G694" s="94"/>
      <c r="H694" s="94"/>
      <c r="I694" s="94"/>
      <c r="J694" s="94"/>
      <c r="K694" s="93"/>
      <c r="L694" s="86"/>
      <c r="M694" s="86"/>
      <c r="N694" s="86"/>
      <c r="O694" s="86"/>
      <c r="P694" s="86"/>
      <c r="Q694" s="85"/>
      <c r="S694" s="85"/>
      <c r="T694" s="85"/>
      <c r="U694" s="85"/>
      <c r="V694" s="85"/>
      <c r="W694" s="85"/>
      <c r="X694" s="85"/>
    </row>
    <row r="695" spans="2:24" s="58" customFormat="1" ht="12" x14ac:dyDescent="0.2">
      <c r="B695" s="91"/>
      <c r="E695" s="92"/>
      <c r="F695" s="93"/>
      <c r="G695" s="94"/>
      <c r="H695" s="94"/>
      <c r="I695" s="94"/>
      <c r="J695" s="94"/>
      <c r="K695" s="93"/>
      <c r="L695" s="86"/>
      <c r="M695" s="86"/>
      <c r="N695" s="86"/>
      <c r="O695" s="86"/>
      <c r="P695" s="86"/>
      <c r="Q695" s="85"/>
      <c r="S695" s="85"/>
      <c r="T695" s="85"/>
      <c r="U695" s="85"/>
      <c r="V695" s="85"/>
      <c r="W695" s="85"/>
      <c r="X695" s="85"/>
    </row>
    <row r="696" spans="2:24" s="58" customFormat="1" ht="12" x14ac:dyDescent="0.2">
      <c r="B696" s="91"/>
      <c r="E696" s="92"/>
      <c r="F696" s="93"/>
      <c r="G696" s="94"/>
      <c r="H696" s="94"/>
      <c r="I696" s="94"/>
      <c r="J696" s="94"/>
      <c r="K696" s="93"/>
      <c r="L696" s="86"/>
      <c r="M696" s="86"/>
      <c r="N696" s="86"/>
      <c r="O696" s="86"/>
      <c r="P696" s="86"/>
      <c r="Q696" s="85"/>
      <c r="S696" s="85"/>
      <c r="T696" s="85"/>
      <c r="U696" s="85"/>
      <c r="V696" s="85"/>
      <c r="W696" s="85"/>
      <c r="X696" s="85"/>
    </row>
    <row r="697" spans="2:24" s="58" customFormat="1" ht="12" x14ac:dyDescent="0.2">
      <c r="B697" s="91"/>
      <c r="E697" s="92"/>
      <c r="F697" s="93"/>
      <c r="G697" s="94"/>
      <c r="H697" s="94"/>
      <c r="I697" s="94"/>
      <c r="J697" s="94"/>
      <c r="K697" s="93"/>
      <c r="L697" s="86"/>
      <c r="M697" s="86"/>
      <c r="N697" s="86"/>
      <c r="O697" s="86"/>
      <c r="P697" s="86"/>
      <c r="Q697" s="85"/>
      <c r="S697" s="85"/>
      <c r="T697" s="85"/>
      <c r="U697" s="85"/>
      <c r="V697" s="85"/>
      <c r="W697" s="85"/>
      <c r="X697" s="85"/>
    </row>
    <row r="698" spans="2:24" s="58" customFormat="1" ht="12" x14ac:dyDescent="0.2">
      <c r="B698" s="91"/>
      <c r="E698" s="92"/>
      <c r="F698" s="93"/>
      <c r="G698" s="94"/>
      <c r="H698" s="94"/>
      <c r="I698" s="94"/>
      <c r="J698" s="94"/>
      <c r="K698" s="93"/>
      <c r="L698" s="86"/>
      <c r="M698" s="86"/>
      <c r="N698" s="86"/>
      <c r="O698" s="86"/>
      <c r="P698" s="86"/>
      <c r="Q698" s="85"/>
      <c r="S698" s="85"/>
      <c r="T698" s="85"/>
      <c r="U698" s="85"/>
      <c r="V698" s="85"/>
      <c r="W698" s="85"/>
      <c r="X698" s="85"/>
    </row>
    <row r="699" spans="2:24" s="58" customFormat="1" ht="12" x14ac:dyDescent="0.2">
      <c r="B699" s="91"/>
      <c r="E699" s="92"/>
      <c r="F699" s="93"/>
      <c r="G699" s="94"/>
      <c r="H699" s="94"/>
      <c r="I699" s="94"/>
      <c r="J699" s="94"/>
      <c r="K699" s="93"/>
      <c r="L699" s="86"/>
      <c r="M699" s="86"/>
      <c r="N699" s="86"/>
      <c r="O699" s="86"/>
      <c r="P699" s="86"/>
      <c r="Q699" s="85"/>
      <c r="S699" s="85"/>
      <c r="T699" s="85"/>
      <c r="U699" s="85"/>
      <c r="V699" s="85"/>
      <c r="W699" s="85"/>
      <c r="X699" s="85"/>
    </row>
    <row r="700" spans="2:24" s="58" customFormat="1" ht="12" x14ac:dyDescent="0.2">
      <c r="B700" s="91"/>
      <c r="E700" s="92"/>
      <c r="F700" s="93"/>
      <c r="G700" s="94"/>
      <c r="H700" s="94"/>
      <c r="I700" s="94"/>
      <c r="J700" s="94"/>
      <c r="K700" s="93"/>
      <c r="L700" s="86"/>
      <c r="M700" s="86"/>
      <c r="N700" s="86"/>
      <c r="O700" s="86"/>
      <c r="P700" s="86"/>
      <c r="Q700" s="85"/>
      <c r="S700" s="85"/>
      <c r="T700" s="85"/>
      <c r="U700" s="85"/>
      <c r="V700" s="85"/>
      <c r="W700" s="85"/>
      <c r="X700" s="85"/>
    </row>
    <row r="701" spans="2:24" s="58" customFormat="1" ht="12" x14ac:dyDescent="0.2">
      <c r="B701" s="91"/>
      <c r="E701" s="92"/>
      <c r="F701" s="93"/>
      <c r="G701" s="94"/>
      <c r="H701" s="94"/>
      <c r="I701" s="94"/>
      <c r="J701" s="94"/>
      <c r="K701" s="93"/>
      <c r="L701" s="86"/>
      <c r="M701" s="86"/>
      <c r="N701" s="86"/>
      <c r="O701" s="86"/>
      <c r="P701" s="86"/>
      <c r="Q701" s="85"/>
      <c r="S701" s="85"/>
      <c r="T701" s="85"/>
      <c r="U701" s="85"/>
      <c r="V701" s="85"/>
      <c r="W701" s="85"/>
      <c r="X701" s="85"/>
    </row>
    <row r="702" spans="2:24" s="58" customFormat="1" ht="12" x14ac:dyDescent="0.2">
      <c r="B702" s="91"/>
      <c r="E702" s="92"/>
      <c r="F702" s="93"/>
      <c r="G702" s="94"/>
      <c r="H702" s="94"/>
      <c r="I702" s="94"/>
      <c r="J702" s="94"/>
      <c r="K702" s="93"/>
      <c r="L702" s="86"/>
      <c r="M702" s="86"/>
      <c r="N702" s="86"/>
      <c r="O702" s="86"/>
      <c r="P702" s="86"/>
      <c r="Q702" s="85"/>
      <c r="S702" s="85"/>
      <c r="T702" s="85"/>
      <c r="U702" s="85"/>
      <c r="V702" s="85"/>
      <c r="W702" s="85"/>
      <c r="X702" s="85"/>
    </row>
    <row r="703" spans="2:24" s="58" customFormat="1" ht="12" x14ac:dyDescent="0.2">
      <c r="B703" s="91"/>
      <c r="E703" s="92"/>
      <c r="F703" s="93"/>
      <c r="G703" s="94"/>
      <c r="H703" s="94"/>
      <c r="I703" s="94"/>
      <c r="J703" s="94"/>
      <c r="K703" s="93"/>
      <c r="L703" s="86"/>
      <c r="M703" s="86"/>
      <c r="N703" s="86"/>
      <c r="O703" s="86"/>
      <c r="P703" s="86"/>
      <c r="Q703" s="85"/>
      <c r="S703" s="85"/>
      <c r="T703" s="85"/>
      <c r="U703" s="85"/>
      <c r="V703" s="85"/>
      <c r="W703" s="85"/>
      <c r="X703" s="85"/>
    </row>
    <row r="704" spans="2:24" s="58" customFormat="1" ht="12" x14ac:dyDescent="0.2">
      <c r="B704" s="91"/>
      <c r="E704" s="92"/>
      <c r="F704" s="93"/>
      <c r="G704" s="94"/>
      <c r="H704" s="94"/>
      <c r="I704" s="94"/>
      <c r="J704" s="94"/>
      <c r="K704" s="93"/>
      <c r="L704" s="86"/>
      <c r="M704" s="86"/>
      <c r="N704" s="86"/>
      <c r="O704" s="86"/>
      <c r="P704" s="86"/>
      <c r="Q704" s="85"/>
      <c r="S704" s="85"/>
      <c r="T704" s="85"/>
      <c r="U704" s="85"/>
      <c r="V704" s="85"/>
      <c r="W704" s="85"/>
      <c r="X704" s="85"/>
    </row>
    <row r="705" spans="2:24" s="58" customFormat="1" ht="12" x14ac:dyDescent="0.2">
      <c r="B705" s="91"/>
      <c r="E705" s="92"/>
      <c r="F705" s="93"/>
      <c r="G705" s="94"/>
      <c r="H705" s="94"/>
      <c r="I705" s="94"/>
      <c r="J705" s="94"/>
      <c r="K705" s="93"/>
      <c r="L705" s="86"/>
      <c r="M705" s="86"/>
      <c r="N705" s="86"/>
      <c r="O705" s="86"/>
      <c r="P705" s="86"/>
      <c r="Q705" s="85"/>
      <c r="S705" s="85"/>
      <c r="T705" s="85"/>
      <c r="U705" s="85"/>
      <c r="V705" s="85"/>
      <c r="W705" s="85"/>
      <c r="X705" s="85"/>
    </row>
    <row r="706" spans="2:24" s="58" customFormat="1" ht="12" x14ac:dyDescent="0.2">
      <c r="B706" s="91"/>
      <c r="E706" s="92"/>
      <c r="F706" s="93"/>
      <c r="G706" s="94"/>
      <c r="H706" s="94"/>
      <c r="I706" s="94"/>
      <c r="J706" s="94"/>
      <c r="K706" s="93"/>
      <c r="L706" s="86"/>
      <c r="M706" s="86"/>
      <c r="N706" s="86"/>
      <c r="O706" s="86"/>
      <c r="P706" s="86"/>
      <c r="Q706" s="85"/>
      <c r="S706" s="85"/>
      <c r="T706" s="85"/>
      <c r="U706" s="85"/>
      <c r="V706" s="85"/>
      <c r="W706" s="85"/>
      <c r="X706" s="85"/>
    </row>
    <row r="707" spans="2:24" s="58" customFormat="1" ht="12" x14ac:dyDescent="0.2">
      <c r="B707" s="91"/>
      <c r="E707" s="92"/>
      <c r="F707" s="93"/>
      <c r="G707" s="94"/>
      <c r="H707" s="94"/>
      <c r="I707" s="94"/>
      <c r="J707" s="94"/>
      <c r="K707" s="93"/>
      <c r="L707" s="86"/>
      <c r="M707" s="86"/>
      <c r="N707" s="86"/>
      <c r="O707" s="86"/>
      <c r="P707" s="86"/>
      <c r="Q707" s="85"/>
      <c r="S707" s="85"/>
      <c r="T707" s="85"/>
      <c r="U707" s="85"/>
      <c r="V707" s="85"/>
      <c r="W707" s="85"/>
      <c r="X707" s="85"/>
    </row>
    <row r="708" spans="2:24" s="58" customFormat="1" ht="12" x14ac:dyDescent="0.2">
      <c r="B708" s="91"/>
      <c r="E708" s="92"/>
      <c r="F708" s="93"/>
      <c r="G708" s="94"/>
      <c r="H708" s="94"/>
      <c r="I708" s="94"/>
      <c r="J708" s="94"/>
      <c r="K708" s="93"/>
      <c r="L708" s="86"/>
      <c r="M708" s="86"/>
      <c r="N708" s="86"/>
      <c r="O708" s="86"/>
      <c r="P708" s="86"/>
      <c r="Q708" s="85"/>
      <c r="S708" s="85"/>
      <c r="T708" s="85"/>
      <c r="U708" s="85"/>
      <c r="V708" s="85"/>
      <c r="W708" s="85"/>
      <c r="X708" s="85"/>
    </row>
    <row r="709" spans="2:24" s="58" customFormat="1" ht="12" x14ac:dyDescent="0.2">
      <c r="B709" s="91"/>
      <c r="E709" s="92"/>
      <c r="F709" s="93"/>
      <c r="G709" s="94"/>
      <c r="H709" s="94"/>
      <c r="I709" s="94"/>
      <c r="J709" s="94"/>
      <c r="K709" s="93"/>
      <c r="L709" s="86"/>
      <c r="M709" s="86"/>
      <c r="N709" s="86"/>
      <c r="O709" s="86"/>
      <c r="P709" s="86"/>
      <c r="Q709" s="85"/>
      <c r="S709" s="85"/>
      <c r="T709" s="85"/>
      <c r="U709" s="85"/>
      <c r="V709" s="85"/>
      <c r="W709" s="85"/>
      <c r="X709" s="85"/>
    </row>
    <row r="710" spans="2:24" s="58" customFormat="1" ht="12" x14ac:dyDescent="0.2">
      <c r="B710" s="91"/>
      <c r="E710" s="92"/>
      <c r="F710" s="93"/>
      <c r="G710" s="94"/>
      <c r="H710" s="94"/>
      <c r="I710" s="94"/>
      <c r="J710" s="94"/>
      <c r="K710" s="93"/>
      <c r="L710" s="86"/>
      <c r="M710" s="86"/>
      <c r="N710" s="86"/>
      <c r="O710" s="86"/>
      <c r="P710" s="86"/>
      <c r="Q710" s="85"/>
      <c r="S710" s="85"/>
      <c r="T710" s="85"/>
      <c r="U710" s="85"/>
      <c r="V710" s="85"/>
      <c r="W710" s="85"/>
      <c r="X710" s="85"/>
    </row>
    <row r="711" spans="2:24" s="58" customFormat="1" ht="12" x14ac:dyDescent="0.2">
      <c r="B711" s="91"/>
      <c r="E711" s="92"/>
      <c r="F711" s="93"/>
      <c r="G711" s="94"/>
      <c r="H711" s="94"/>
      <c r="I711" s="94"/>
      <c r="J711" s="94"/>
      <c r="K711" s="93"/>
      <c r="L711" s="86"/>
      <c r="M711" s="86"/>
      <c r="N711" s="86"/>
      <c r="O711" s="86"/>
      <c r="P711" s="86"/>
      <c r="Q711" s="85"/>
      <c r="S711" s="85"/>
      <c r="T711" s="85"/>
      <c r="U711" s="85"/>
      <c r="V711" s="85"/>
      <c r="W711" s="85"/>
      <c r="X711" s="85"/>
    </row>
    <row r="712" spans="2:24" s="58" customFormat="1" ht="12" x14ac:dyDescent="0.2">
      <c r="B712" s="91"/>
      <c r="E712" s="92"/>
      <c r="F712" s="93"/>
      <c r="G712" s="94"/>
      <c r="H712" s="94"/>
      <c r="I712" s="94"/>
      <c r="J712" s="94"/>
      <c r="K712" s="93"/>
      <c r="L712" s="86"/>
      <c r="M712" s="86"/>
      <c r="N712" s="86"/>
      <c r="O712" s="86"/>
      <c r="P712" s="86"/>
      <c r="Q712" s="85"/>
      <c r="S712" s="85"/>
      <c r="T712" s="85"/>
      <c r="U712" s="85"/>
      <c r="V712" s="85"/>
      <c r="W712" s="85"/>
      <c r="X712" s="85"/>
    </row>
    <row r="713" spans="2:24" s="58" customFormat="1" ht="12" x14ac:dyDescent="0.2">
      <c r="B713" s="91"/>
      <c r="E713" s="92"/>
      <c r="F713" s="93"/>
      <c r="G713" s="94"/>
      <c r="H713" s="94"/>
      <c r="I713" s="94"/>
      <c r="J713" s="94"/>
      <c r="K713" s="93"/>
      <c r="L713" s="86"/>
      <c r="M713" s="86"/>
      <c r="N713" s="86"/>
      <c r="O713" s="86"/>
      <c r="P713" s="86"/>
      <c r="Q713" s="85"/>
      <c r="S713" s="85"/>
      <c r="T713" s="85"/>
      <c r="U713" s="85"/>
      <c r="V713" s="85"/>
      <c r="W713" s="85"/>
      <c r="X713" s="85"/>
    </row>
    <row r="714" spans="2:24" s="58" customFormat="1" ht="12" x14ac:dyDescent="0.2">
      <c r="B714" s="91"/>
      <c r="E714" s="92"/>
      <c r="F714" s="93"/>
      <c r="G714" s="94"/>
      <c r="H714" s="94"/>
      <c r="I714" s="94"/>
      <c r="J714" s="94"/>
      <c r="K714" s="93"/>
      <c r="L714" s="86"/>
      <c r="M714" s="86"/>
      <c r="N714" s="86"/>
      <c r="O714" s="86"/>
      <c r="P714" s="86"/>
      <c r="Q714" s="85"/>
      <c r="S714" s="85"/>
      <c r="T714" s="85"/>
      <c r="U714" s="85"/>
      <c r="V714" s="85"/>
      <c r="W714" s="85"/>
      <c r="X714" s="85"/>
    </row>
    <row r="715" spans="2:24" s="58" customFormat="1" ht="12" x14ac:dyDescent="0.2">
      <c r="B715" s="91"/>
      <c r="E715" s="92"/>
      <c r="F715" s="93"/>
      <c r="G715" s="94"/>
      <c r="H715" s="94"/>
      <c r="I715" s="94"/>
      <c r="J715" s="94"/>
      <c r="K715" s="93"/>
      <c r="L715" s="86"/>
      <c r="M715" s="86"/>
      <c r="N715" s="86"/>
      <c r="O715" s="86"/>
      <c r="P715" s="86"/>
      <c r="Q715" s="85"/>
      <c r="S715" s="85"/>
      <c r="T715" s="85"/>
      <c r="U715" s="85"/>
      <c r="V715" s="85"/>
      <c r="W715" s="85"/>
      <c r="X715" s="85"/>
    </row>
    <row r="716" spans="2:24" s="58" customFormat="1" ht="12" x14ac:dyDescent="0.2">
      <c r="B716" s="91"/>
      <c r="E716" s="92"/>
      <c r="F716" s="93"/>
      <c r="G716" s="94"/>
      <c r="H716" s="94"/>
      <c r="I716" s="94"/>
      <c r="J716" s="94"/>
      <c r="K716" s="93"/>
      <c r="L716" s="86"/>
      <c r="M716" s="86"/>
      <c r="N716" s="86"/>
      <c r="O716" s="86"/>
      <c r="P716" s="86"/>
      <c r="Q716" s="85"/>
      <c r="S716" s="85"/>
      <c r="T716" s="85"/>
      <c r="U716" s="85"/>
      <c r="V716" s="85"/>
      <c r="W716" s="85"/>
      <c r="X716" s="85"/>
    </row>
    <row r="717" spans="2:24" s="58" customFormat="1" ht="12" x14ac:dyDescent="0.2">
      <c r="B717" s="91"/>
      <c r="E717" s="92"/>
      <c r="F717" s="93"/>
      <c r="G717" s="94"/>
      <c r="H717" s="94"/>
      <c r="I717" s="94"/>
      <c r="J717" s="94"/>
      <c r="K717" s="93"/>
      <c r="L717" s="86"/>
      <c r="M717" s="86"/>
      <c r="N717" s="86"/>
      <c r="O717" s="86"/>
      <c r="P717" s="86"/>
      <c r="Q717" s="85"/>
      <c r="S717" s="85"/>
      <c r="T717" s="85"/>
      <c r="U717" s="85"/>
      <c r="V717" s="85"/>
      <c r="W717" s="85"/>
      <c r="X717" s="85"/>
    </row>
    <row r="718" spans="2:24" s="58" customFormat="1" ht="12" x14ac:dyDescent="0.2">
      <c r="B718" s="91"/>
      <c r="E718" s="92"/>
      <c r="F718" s="93"/>
      <c r="G718" s="94"/>
      <c r="H718" s="94"/>
      <c r="I718" s="94"/>
      <c r="J718" s="94"/>
      <c r="K718" s="93"/>
      <c r="L718" s="86"/>
      <c r="M718" s="86"/>
      <c r="N718" s="86"/>
      <c r="O718" s="86"/>
      <c r="P718" s="86"/>
      <c r="Q718" s="85"/>
      <c r="S718" s="85"/>
      <c r="T718" s="85"/>
      <c r="U718" s="85"/>
      <c r="V718" s="85"/>
      <c r="W718" s="85"/>
      <c r="X718" s="85"/>
    </row>
    <row r="719" spans="2:24" s="58" customFormat="1" ht="12" x14ac:dyDescent="0.2">
      <c r="B719" s="91"/>
      <c r="E719" s="92"/>
      <c r="F719" s="93"/>
      <c r="G719" s="94"/>
      <c r="H719" s="94"/>
      <c r="I719" s="94"/>
      <c r="J719" s="94"/>
      <c r="K719" s="93"/>
      <c r="L719" s="86"/>
      <c r="M719" s="86"/>
      <c r="N719" s="86"/>
      <c r="O719" s="86"/>
      <c r="P719" s="86"/>
      <c r="Q719" s="85"/>
      <c r="S719" s="85"/>
      <c r="T719" s="85"/>
      <c r="U719" s="85"/>
      <c r="V719" s="85"/>
      <c r="W719" s="85"/>
      <c r="X719" s="85"/>
    </row>
    <row r="720" spans="2:24" s="58" customFormat="1" ht="12" x14ac:dyDescent="0.2">
      <c r="B720" s="91"/>
      <c r="E720" s="92"/>
      <c r="F720" s="93"/>
      <c r="G720" s="94"/>
      <c r="H720" s="94"/>
      <c r="I720" s="94"/>
      <c r="J720" s="94"/>
      <c r="K720" s="93"/>
      <c r="L720" s="86"/>
      <c r="M720" s="86"/>
      <c r="N720" s="86"/>
      <c r="O720" s="86"/>
      <c r="P720" s="86"/>
      <c r="Q720" s="85"/>
      <c r="S720" s="85"/>
      <c r="T720" s="85"/>
      <c r="U720" s="85"/>
      <c r="V720" s="85"/>
      <c r="W720" s="85"/>
      <c r="X720" s="85"/>
    </row>
    <row r="721" spans="2:24" s="58" customFormat="1" ht="12" x14ac:dyDescent="0.2">
      <c r="B721" s="91"/>
      <c r="E721" s="92"/>
      <c r="F721" s="93"/>
      <c r="G721" s="94"/>
      <c r="H721" s="94"/>
      <c r="I721" s="94"/>
      <c r="J721" s="94"/>
      <c r="K721" s="93"/>
      <c r="L721" s="86"/>
      <c r="M721" s="86"/>
      <c r="N721" s="86"/>
      <c r="O721" s="86"/>
      <c r="P721" s="86"/>
      <c r="Q721" s="85"/>
      <c r="S721" s="85"/>
      <c r="T721" s="85"/>
      <c r="U721" s="85"/>
      <c r="V721" s="85"/>
      <c r="W721" s="85"/>
      <c r="X721" s="85"/>
    </row>
    <row r="722" spans="2:24" s="58" customFormat="1" ht="12" x14ac:dyDescent="0.2">
      <c r="B722" s="91"/>
      <c r="E722" s="92"/>
      <c r="F722" s="93"/>
      <c r="G722" s="94"/>
      <c r="H722" s="94"/>
      <c r="I722" s="94"/>
      <c r="J722" s="94"/>
      <c r="K722" s="93"/>
      <c r="L722" s="86"/>
      <c r="M722" s="86"/>
      <c r="N722" s="86"/>
      <c r="O722" s="86"/>
      <c r="P722" s="86"/>
      <c r="Q722" s="85"/>
      <c r="S722" s="85"/>
      <c r="T722" s="85"/>
      <c r="U722" s="85"/>
      <c r="V722" s="85"/>
      <c r="W722" s="85"/>
      <c r="X722" s="85"/>
    </row>
    <row r="723" spans="2:24" s="58" customFormat="1" ht="12" x14ac:dyDescent="0.2">
      <c r="B723" s="91"/>
      <c r="E723" s="92"/>
      <c r="F723" s="93"/>
      <c r="G723" s="94"/>
      <c r="H723" s="94"/>
      <c r="I723" s="94"/>
      <c r="J723" s="94"/>
      <c r="K723" s="93"/>
      <c r="L723" s="86"/>
      <c r="M723" s="86"/>
      <c r="N723" s="86"/>
      <c r="O723" s="86"/>
      <c r="P723" s="86"/>
      <c r="Q723" s="85"/>
      <c r="S723" s="85"/>
      <c r="T723" s="85"/>
      <c r="U723" s="85"/>
      <c r="V723" s="85"/>
      <c r="W723" s="85"/>
      <c r="X723" s="85"/>
    </row>
    <row r="724" spans="2:24" s="58" customFormat="1" ht="12" x14ac:dyDescent="0.2">
      <c r="B724" s="91"/>
      <c r="E724" s="92"/>
      <c r="F724" s="93"/>
      <c r="G724" s="94"/>
      <c r="H724" s="94"/>
      <c r="I724" s="94"/>
      <c r="J724" s="94"/>
      <c r="K724" s="93"/>
      <c r="L724" s="86"/>
      <c r="M724" s="86"/>
      <c r="N724" s="86"/>
      <c r="O724" s="86"/>
      <c r="P724" s="86"/>
      <c r="Q724" s="85"/>
      <c r="S724" s="85"/>
      <c r="T724" s="85"/>
      <c r="U724" s="85"/>
      <c r="V724" s="85"/>
      <c r="W724" s="85"/>
      <c r="X724" s="85"/>
    </row>
    <row r="725" spans="2:24" s="58" customFormat="1" ht="12" x14ac:dyDescent="0.2">
      <c r="B725" s="91"/>
      <c r="E725" s="92"/>
      <c r="F725" s="93"/>
      <c r="G725" s="94"/>
      <c r="H725" s="94"/>
      <c r="I725" s="94"/>
      <c r="J725" s="94"/>
      <c r="K725" s="93"/>
      <c r="L725" s="86"/>
      <c r="M725" s="86"/>
      <c r="N725" s="86"/>
      <c r="O725" s="86"/>
      <c r="P725" s="86"/>
      <c r="Q725" s="85"/>
      <c r="S725" s="85"/>
      <c r="T725" s="85"/>
      <c r="U725" s="85"/>
      <c r="V725" s="85"/>
      <c r="W725" s="85"/>
      <c r="X725" s="85"/>
    </row>
    <row r="726" spans="2:24" s="58" customFormat="1" ht="12" x14ac:dyDescent="0.2">
      <c r="B726" s="91"/>
      <c r="E726" s="92"/>
      <c r="F726" s="93"/>
      <c r="G726" s="94"/>
      <c r="H726" s="94"/>
      <c r="I726" s="94"/>
      <c r="J726" s="94"/>
      <c r="K726" s="93"/>
      <c r="L726" s="86"/>
      <c r="M726" s="86"/>
      <c r="N726" s="86"/>
      <c r="O726" s="86"/>
      <c r="P726" s="86"/>
      <c r="Q726" s="85"/>
      <c r="S726" s="85"/>
      <c r="T726" s="85"/>
      <c r="U726" s="85"/>
      <c r="V726" s="85"/>
      <c r="W726" s="85"/>
      <c r="X726" s="85"/>
    </row>
    <row r="727" spans="2:24" s="58" customFormat="1" ht="12" x14ac:dyDescent="0.2">
      <c r="B727" s="91"/>
      <c r="E727" s="92"/>
      <c r="F727" s="93"/>
      <c r="G727" s="94"/>
      <c r="H727" s="94"/>
      <c r="I727" s="94"/>
      <c r="J727" s="94"/>
      <c r="K727" s="93"/>
      <c r="L727" s="86"/>
      <c r="M727" s="86"/>
      <c r="N727" s="86"/>
      <c r="O727" s="86"/>
      <c r="P727" s="86"/>
      <c r="Q727" s="85"/>
      <c r="S727" s="85"/>
      <c r="T727" s="85"/>
      <c r="U727" s="85"/>
      <c r="V727" s="85"/>
      <c r="W727" s="85"/>
      <c r="X727" s="85"/>
    </row>
    <row r="728" spans="2:24" s="58" customFormat="1" ht="12" x14ac:dyDescent="0.2">
      <c r="B728" s="91"/>
      <c r="E728" s="92"/>
      <c r="F728" s="93"/>
      <c r="G728" s="94"/>
      <c r="H728" s="94"/>
      <c r="I728" s="94"/>
      <c r="J728" s="94"/>
      <c r="K728" s="93"/>
      <c r="L728" s="86"/>
      <c r="M728" s="86"/>
      <c r="N728" s="86"/>
      <c r="O728" s="86"/>
      <c r="P728" s="86"/>
      <c r="Q728" s="85"/>
      <c r="S728" s="85"/>
      <c r="T728" s="85"/>
      <c r="U728" s="85"/>
      <c r="V728" s="85"/>
      <c r="W728" s="85"/>
      <c r="X728" s="85"/>
    </row>
    <row r="729" spans="2:24" s="58" customFormat="1" ht="12" x14ac:dyDescent="0.2">
      <c r="B729" s="91"/>
      <c r="E729" s="92"/>
      <c r="F729" s="93"/>
      <c r="G729" s="94"/>
      <c r="H729" s="94"/>
      <c r="I729" s="94"/>
      <c r="J729" s="94"/>
      <c r="K729" s="93"/>
      <c r="L729" s="86"/>
      <c r="M729" s="86"/>
      <c r="N729" s="86"/>
      <c r="O729" s="86"/>
      <c r="P729" s="86"/>
      <c r="Q729" s="85"/>
      <c r="S729" s="85"/>
      <c r="T729" s="85"/>
      <c r="U729" s="85"/>
      <c r="V729" s="85"/>
      <c r="W729" s="85"/>
      <c r="X729" s="85"/>
    </row>
    <row r="730" spans="2:24" s="58" customFormat="1" ht="12" x14ac:dyDescent="0.2">
      <c r="B730" s="91"/>
      <c r="E730" s="92"/>
      <c r="F730" s="93"/>
      <c r="G730" s="94"/>
      <c r="H730" s="94"/>
      <c r="I730" s="94"/>
      <c r="J730" s="94"/>
      <c r="K730" s="93"/>
      <c r="L730" s="86"/>
      <c r="M730" s="86"/>
      <c r="N730" s="86"/>
      <c r="O730" s="86"/>
      <c r="P730" s="86"/>
      <c r="Q730" s="85"/>
      <c r="S730" s="85"/>
      <c r="T730" s="85"/>
      <c r="U730" s="85"/>
      <c r="V730" s="85"/>
      <c r="W730" s="85"/>
      <c r="X730" s="85"/>
    </row>
    <row r="731" spans="2:24" s="58" customFormat="1" ht="12" x14ac:dyDescent="0.2">
      <c r="B731" s="91"/>
      <c r="E731" s="92"/>
      <c r="F731" s="93"/>
      <c r="G731" s="94"/>
      <c r="H731" s="94"/>
      <c r="I731" s="94"/>
      <c r="J731" s="94"/>
      <c r="K731" s="93"/>
      <c r="L731" s="86"/>
      <c r="M731" s="86"/>
      <c r="N731" s="86"/>
      <c r="O731" s="86"/>
      <c r="P731" s="86"/>
      <c r="Q731" s="85"/>
      <c r="S731" s="85"/>
      <c r="T731" s="85"/>
      <c r="U731" s="85"/>
      <c r="V731" s="85"/>
      <c r="W731" s="85"/>
      <c r="X731" s="85"/>
    </row>
    <row r="732" spans="2:24" s="58" customFormat="1" ht="12" x14ac:dyDescent="0.2">
      <c r="B732" s="91"/>
      <c r="E732" s="92"/>
      <c r="F732" s="93"/>
      <c r="G732" s="94"/>
      <c r="H732" s="94"/>
      <c r="I732" s="94"/>
      <c r="J732" s="94"/>
      <c r="K732" s="93"/>
      <c r="L732" s="86"/>
      <c r="M732" s="86"/>
      <c r="N732" s="86"/>
      <c r="O732" s="86"/>
      <c r="P732" s="86"/>
      <c r="Q732" s="85"/>
      <c r="S732" s="85"/>
      <c r="T732" s="85"/>
      <c r="U732" s="85"/>
      <c r="V732" s="85"/>
      <c r="W732" s="85"/>
      <c r="X732" s="85"/>
    </row>
    <row r="733" spans="2:24" s="58" customFormat="1" ht="12" x14ac:dyDescent="0.2">
      <c r="B733" s="91"/>
      <c r="E733" s="92"/>
      <c r="F733" s="93"/>
      <c r="G733" s="94"/>
      <c r="H733" s="94"/>
      <c r="I733" s="94"/>
      <c r="J733" s="94"/>
      <c r="K733" s="93"/>
      <c r="L733" s="86"/>
      <c r="M733" s="86"/>
      <c r="N733" s="86"/>
      <c r="O733" s="86"/>
      <c r="P733" s="86"/>
      <c r="Q733" s="85"/>
      <c r="S733" s="85"/>
      <c r="T733" s="85"/>
      <c r="U733" s="85"/>
      <c r="V733" s="85"/>
      <c r="W733" s="85"/>
      <c r="X733" s="85"/>
    </row>
    <row r="734" spans="2:24" s="58" customFormat="1" ht="12" x14ac:dyDescent="0.2">
      <c r="B734" s="91"/>
      <c r="E734" s="92"/>
      <c r="F734" s="93"/>
      <c r="G734" s="94"/>
      <c r="H734" s="94"/>
      <c r="I734" s="94"/>
      <c r="J734" s="94"/>
      <c r="K734" s="93"/>
      <c r="L734" s="86"/>
      <c r="M734" s="86"/>
      <c r="N734" s="86"/>
      <c r="O734" s="86"/>
      <c r="P734" s="86"/>
      <c r="Q734" s="85"/>
      <c r="S734" s="85"/>
      <c r="T734" s="85"/>
      <c r="U734" s="85"/>
      <c r="V734" s="85"/>
      <c r="W734" s="85"/>
      <c r="X734" s="85"/>
    </row>
    <row r="735" spans="2:24" s="58" customFormat="1" ht="12" x14ac:dyDescent="0.2">
      <c r="B735" s="91"/>
      <c r="E735" s="92"/>
      <c r="F735" s="93"/>
      <c r="G735" s="94"/>
      <c r="H735" s="94"/>
      <c r="I735" s="94"/>
      <c r="J735" s="94"/>
      <c r="K735" s="93"/>
      <c r="L735" s="86"/>
      <c r="M735" s="86"/>
      <c r="N735" s="86"/>
      <c r="O735" s="86"/>
      <c r="P735" s="86"/>
      <c r="Q735" s="85"/>
      <c r="S735" s="85"/>
      <c r="T735" s="85"/>
      <c r="U735" s="85"/>
      <c r="V735" s="85"/>
      <c r="W735" s="85"/>
      <c r="X735" s="85"/>
    </row>
    <row r="736" spans="2:24" s="58" customFormat="1" ht="12" x14ac:dyDescent="0.2">
      <c r="B736" s="91"/>
      <c r="E736" s="92"/>
      <c r="F736" s="93"/>
      <c r="G736" s="94"/>
      <c r="H736" s="94"/>
      <c r="I736" s="94"/>
      <c r="J736" s="94"/>
      <c r="K736" s="93"/>
      <c r="L736" s="86"/>
      <c r="M736" s="86"/>
      <c r="N736" s="86"/>
      <c r="O736" s="86"/>
      <c r="P736" s="86"/>
      <c r="Q736" s="85"/>
      <c r="S736" s="85"/>
      <c r="T736" s="85"/>
      <c r="U736" s="85"/>
      <c r="V736" s="85"/>
      <c r="W736" s="85"/>
      <c r="X736" s="85"/>
    </row>
    <row r="737" spans="2:24" s="58" customFormat="1" ht="12" x14ac:dyDescent="0.2">
      <c r="B737" s="91"/>
      <c r="E737" s="92"/>
      <c r="F737" s="93"/>
      <c r="G737" s="94"/>
      <c r="H737" s="94"/>
      <c r="I737" s="94"/>
      <c r="J737" s="94"/>
      <c r="K737" s="93"/>
      <c r="L737" s="86"/>
      <c r="M737" s="86"/>
      <c r="N737" s="86"/>
      <c r="O737" s="86"/>
      <c r="P737" s="86"/>
      <c r="Q737" s="85"/>
      <c r="S737" s="85"/>
      <c r="T737" s="85"/>
      <c r="U737" s="85"/>
      <c r="V737" s="85"/>
      <c r="W737" s="85"/>
      <c r="X737" s="85"/>
    </row>
    <row r="738" spans="2:24" s="58" customFormat="1" ht="12" x14ac:dyDescent="0.2">
      <c r="B738" s="91"/>
      <c r="E738" s="92"/>
      <c r="F738" s="93"/>
      <c r="G738" s="94"/>
      <c r="H738" s="94"/>
      <c r="I738" s="94"/>
      <c r="J738" s="94"/>
      <c r="K738" s="93"/>
      <c r="L738" s="86"/>
      <c r="M738" s="86"/>
      <c r="N738" s="86"/>
      <c r="O738" s="86"/>
      <c r="P738" s="86"/>
      <c r="Q738" s="85"/>
      <c r="S738" s="85"/>
      <c r="T738" s="85"/>
      <c r="U738" s="85"/>
      <c r="V738" s="85"/>
      <c r="W738" s="85"/>
      <c r="X738" s="85"/>
    </row>
    <row r="739" spans="2:24" s="58" customFormat="1" ht="12" x14ac:dyDescent="0.2">
      <c r="B739" s="91"/>
      <c r="E739" s="92"/>
      <c r="F739" s="93"/>
      <c r="G739" s="94"/>
      <c r="H739" s="94"/>
      <c r="I739" s="94"/>
      <c r="J739" s="94"/>
      <c r="K739" s="93"/>
      <c r="L739" s="86"/>
      <c r="M739" s="86"/>
      <c r="N739" s="86"/>
      <c r="O739" s="86"/>
      <c r="P739" s="86"/>
      <c r="Q739" s="85"/>
      <c r="S739" s="85"/>
      <c r="T739" s="85"/>
      <c r="U739" s="85"/>
      <c r="V739" s="85"/>
      <c r="W739" s="85"/>
      <c r="X739" s="85"/>
    </row>
    <row r="740" spans="2:24" s="58" customFormat="1" ht="12" x14ac:dyDescent="0.2">
      <c r="B740" s="91"/>
      <c r="E740" s="92"/>
      <c r="F740" s="93"/>
      <c r="G740" s="94"/>
      <c r="H740" s="94"/>
      <c r="I740" s="94"/>
      <c r="J740" s="94"/>
      <c r="K740" s="93"/>
      <c r="L740" s="86"/>
      <c r="M740" s="86"/>
      <c r="N740" s="86"/>
      <c r="O740" s="86"/>
      <c r="P740" s="86"/>
      <c r="Q740" s="85"/>
      <c r="S740" s="85"/>
      <c r="T740" s="85"/>
      <c r="U740" s="85"/>
      <c r="V740" s="85"/>
      <c r="W740" s="85"/>
      <c r="X740" s="85"/>
    </row>
    <row r="741" spans="2:24" s="58" customFormat="1" ht="12" x14ac:dyDescent="0.2">
      <c r="B741" s="91"/>
      <c r="E741" s="92"/>
      <c r="F741" s="93"/>
      <c r="G741" s="94"/>
      <c r="H741" s="94"/>
      <c r="I741" s="94"/>
      <c r="J741" s="94"/>
      <c r="K741" s="93"/>
      <c r="L741" s="86"/>
      <c r="M741" s="86"/>
      <c r="N741" s="86"/>
      <c r="O741" s="86"/>
      <c r="P741" s="86"/>
      <c r="Q741" s="85"/>
      <c r="S741" s="85"/>
      <c r="T741" s="85"/>
      <c r="U741" s="85"/>
      <c r="V741" s="85"/>
      <c r="W741" s="85"/>
      <c r="X741" s="85"/>
    </row>
    <row r="742" spans="2:24" s="58" customFormat="1" ht="12" x14ac:dyDescent="0.2">
      <c r="B742" s="91"/>
      <c r="E742" s="92"/>
      <c r="F742" s="93"/>
      <c r="G742" s="94"/>
      <c r="H742" s="94"/>
      <c r="I742" s="94"/>
      <c r="J742" s="94"/>
      <c r="K742" s="93"/>
      <c r="L742" s="86"/>
      <c r="M742" s="86"/>
      <c r="N742" s="86"/>
      <c r="O742" s="86"/>
      <c r="P742" s="86"/>
      <c r="Q742" s="85"/>
      <c r="S742" s="85"/>
      <c r="T742" s="85"/>
      <c r="U742" s="85"/>
      <c r="V742" s="85"/>
      <c r="W742" s="85"/>
      <c r="X742" s="85"/>
    </row>
    <row r="743" spans="2:24" s="58" customFormat="1" ht="12" x14ac:dyDescent="0.2">
      <c r="B743" s="91"/>
      <c r="E743" s="92"/>
      <c r="F743" s="93"/>
      <c r="G743" s="94"/>
      <c r="H743" s="94"/>
      <c r="I743" s="94"/>
      <c r="J743" s="94"/>
      <c r="K743" s="93"/>
      <c r="L743" s="86"/>
      <c r="M743" s="86"/>
      <c r="N743" s="86"/>
      <c r="O743" s="86"/>
      <c r="P743" s="86"/>
      <c r="Q743" s="85"/>
      <c r="S743" s="85"/>
      <c r="T743" s="85"/>
      <c r="U743" s="85"/>
      <c r="V743" s="85"/>
      <c r="W743" s="85"/>
      <c r="X743" s="85"/>
    </row>
    <row r="744" spans="2:24" s="58" customFormat="1" ht="12" x14ac:dyDescent="0.2">
      <c r="B744" s="91"/>
      <c r="E744" s="92"/>
      <c r="F744" s="93"/>
      <c r="G744" s="94"/>
      <c r="H744" s="94"/>
      <c r="I744" s="94"/>
      <c r="J744" s="94"/>
      <c r="K744" s="93"/>
      <c r="L744" s="86"/>
      <c r="M744" s="86"/>
      <c r="N744" s="86"/>
      <c r="O744" s="86"/>
      <c r="P744" s="86"/>
      <c r="Q744" s="85"/>
      <c r="S744" s="85"/>
      <c r="T744" s="85"/>
      <c r="U744" s="85"/>
      <c r="V744" s="85"/>
      <c r="W744" s="85"/>
      <c r="X744" s="85"/>
    </row>
    <row r="745" spans="2:24" s="58" customFormat="1" ht="12" x14ac:dyDescent="0.2">
      <c r="B745" s="91"/>
      <c r="E745" s="92"/>
      <c r="F745" s="93"/>
      <c r="G745" s="94"/>
      <c r="H745" s="94"/>
      <c r="I745" s="94"/>
      <c r="J745" s="94"/>
      <c r="K745" s="93"/>
      <c r="L745" s="86"/>
      <c r="M745" s="86"/>
      <c r="N745" s="86"/>
      <c r="O745" s="86"/>
      <c r="P745" s="86"/>
      <c r="Q745" s="85"/>
      <c r="S745" s="85"/>
      <c r="T745" s="85"/>
      <c r="U745" s="85"/>
      <c r="V745" s="85"/>
      <c r="W745" s="85"/>
      <c r="X745" s="85"/>
    </row>
    <row r="746" spans="2:24" s="58" customFormat="1" ht="12" x14ac:dyDescent="0.2">
      <c r="B746" s="91"/>
      <c r="E746" s="92"/>
      <c r="F746" s="93"/>
      <c r="G746" s="94"/>
      <c r="H746" s="94"/>
      <c r="I746" s="94"/>
      <c r="J746" s="94"/>
      <c r="K746" s="93"/>
      <c r="L746" s="86"/>
      <c r="M746" s="86"/>
      <c r="N746" s="86"/>
      <c r="O746" s="86"/>
      <c r="P746" s="86"/>
      <c r="Q746" s="85"/>
      <c r="S746" s="85"/>
      <c r="T746" s="85"/>
      <c r="U746" s="85"/>
      <c r="V746" s="85"/>
      <c r="W746" s="85"/>
      <c r="X746" s="85"/>
    </row>
    <row r="747" spans="2:24" s="58" customFormat="1" ht="12" x14ac:dyDescent="0.2">
      <c r="B747" s="91"/>
      <c r="E747" s="92"/>
      <c r="F747" s="93"/>
      <c r="G747" s="94"/>
      <c r="H747" s="94"/>
      <c r="I747" s="94"/>
      <c r="J747" s="94"/>
      <c r="K747" s="93"/>
      <c r="L747" s="86"/>
      <c r="M747" s="86"/>
      <c r="N747" s="86"/>
      <c r="O747" s="86"/>
      <c r="P747" s="86"/>
      <c r="Q747" s="85"/>
      <c r="S747" s="85"/>
      <c r="T747" s="85"/>
      <c r="U747" s="85"/>
      <c r="V747" s="85"/>
      <c r="W747" s="85"/>
      <c r="X747" s="85"/>
    </row>
    <row r="748" spans="2:24" s="58" customFormat="1" ht="12" x14ac:dyDescent="0.2">
      <c r="B748" s="91"/>
      <c r="E748" s="92"/>
      <c r="F748" s="93"/>
      <c r="G748" s="94"/>
      <c r="H748" s="94"/>
      <c r="I748" s="94"/>
      <c r="J748" s="94"/>
      <c r="K748" s="93"/>
      <c r="L748" s="86"/>
      <c r="M748" s="86"/>
      <c r="N748" s="86"/>
      <c r="O748" s="86"/>
      <c r="P748" s="86"/>
      <c r="Q748" s="85"/>
      <c r="S748" s="85"/>
      <c r="T748" s="85"/>
      <c r="U748" s="85"/>
      <c r="V748" s="85"/>
      <c r="W748" s="85"/>
      <c r="X748" s="85"/>
    </row>
    <row r="749" spans="2:24" s="58" customFormat="1" ht="12" x14ac:dyDescent="0.2">
      <c r="B749" s="91"/>
      <c r="E749" s="92"/>
      <c r="F749" s="93"/>
      <c r="G749" s="94"/>
      <c r="H749" s="94"/>
      <c r="I749" s="94"/>
      <c r="J749" s="94"/>
      <c r="K749" s="93"/>
      <c r="L749" s="86"/>
      <c r="M749" s="86"/>
      <c r="N749" s="86"/>
      <c r="O749" s="86"/>
      <c r="P749" s="86"/>
      <c r="Q749" s="85"/>
      <c r="S749" s="85"/>
      <c r="T749" s="85"/>
      <c r="U749" s="85"/>
      <c r="V749" s="85"/>
      <c r="W749" s="85"/>
      <c r="X749" s="85"/>
    </row>
    <row r="750" spans="2:24" s="58" customFormat="1" ht="12" x14ac:dyDescent="0.2">
      <c r="B750" s="91"/>
      <c r="E750" s="92"/>
      <c r="F750" s="93"/>
      <c r="G750" s="94"/>
      <c r="H750" s="94"/>
      <c r="I750" s="94"/>
      <c r="J750" s="94"/>
      <c r="K750" s="93"/>
      <c r="L750" s="86"/>
      <c r="M750" s="86"/>
      <c r="N750" s="86"/>
      <c r="O750" s="86"/>
      <c r="P750" s="86"/>
      <c r="Q750" s="85"/>
      <c r="S750" s="85"/>
      <c r="T750" s="85"/>
      <c r="U750" s="85"/>
      <c r="V750" s="85"/>
      <c r="W750" s="85"/>
      <c r="X750" s="85"/>
    </row>
    <row r="751" spans="2:24" s="58" customFormat="1" ht="12" x14ac:dyDescent="0.2">
      <c r="B751" s="91"/>
      <c r="E751" s="92"/>
      <c r="F751" s="93"/>
      <c r="G751" s="94"/>
      <c r="H751" s="94"/>
      <c r="I751" s="94"/>
      <c r="J751" s="94"/>
      <c r="K751" s="93"/>
      <c r="L751" s="86"/>
      <c r="M751" s="86"/>
      <c r="N751" s="86"/>
      <c r="O751" s="86"/>
      <c r="P751" s="86"/>
      <c r="Q751" s="85"/>
      <c r="S751" s="85"/>
      <c r="T751" s="85"/>
      <c r="U751" s="85"/>
      <c r="V751" s="85"/>
      <c r="W751" s="85"/>
      <c r="X751" s="85"/>
    </row>
    <row r="752" spans="2:24" s="58" customFormat="1" ht="12" x14ac:dyDescent="0.2">
      <c r="B752" s="91"/>
      <c r="E752" s="92"/>
      <c r="F752" s="93"/>
      <c r="G752" s="94"/>
      <c r="H752" s="94"/>
      <c r="I752" s="94"/>
      <c r="J752" s="94"/>
      <c r="K752" s="93"/>
      <c r="L752" s="86"/>
      <c r="M752" s="86"/>
      <c r="N752" s="86"/>
      <c r="O752" s="86"/>
      <c r="P752" s="86"/>
      <c r="Q752" s="85"/>
      <c r="S752" s="85"/>
      <c r="T752" s="85"/>
      <c r="U752" s="85"/>
      <c r="V752" s="85"/>
      <c r="W752" s="85"/>
      <c r="X752" s="85"/>
    </row>
    <row r="753" spans="2:24" s="58" customFormat="1" ht="12" x14ac:dyDescent="0.2">
      <c r="B753" s="91"/>
      <c r="E753" s="92"/>
      <c r="F753" s="93"/>
      <c r="G753" s="94"/>
      <c r="H753" s="94"/>
      <c r="I753" s="94"/>
      <c r="J753" s="94"/>
      <c r="K753" s="93"/>
      <c r="L753" s="86"/>
      <c r="M753" s="86"/>
      <c r="N753" s="86"/>
      <c r="O753" s="86"/>
      <c r="P753" s="86"/>
      <c r="Q753" s="85"/>
      <c r="S753" s="85"/>
      <c r="T753" s="85"/>
      <c r="U753" s="85"/>
      <c r="V753" s="85"/>
      <c r="W753" s="85"/>
      <c r="X753" s="85"/>
    </row>
    <row r="754" spans="2:24" s="58" customFormat="1" ht="12" x14ac:dyDescent="0.2">
      <c r="B754" s="91"/>
      <c r="E754" s="92"/>
      <c r="F754" s="93"/>
      <c r="G754" s="94"/>
      <c r="H754" s="94"/>
      <c r="I754" s="94"/>
      <c r="J754" s="94"/>
      <c r="K754" s="93"/>
      <c r="L754" s="86"/>
      <c r="M754" s="86"/>
      <c r="N754" s="86"/>
      <c r="O754" s="86"/>
      <c r="P754" s="86"/>
      <c r="Q754" s="85"/>
      <c r="S754" s="85"/>
      <c r="T754" s="85"/>
      <c r="U754" s="85"/>
      <c r="V754" s="85"/>
      <c r="W754" s="85"/>
      <c r="X754" s="85"/>
    </row>
    <row r="755" spans="2:24" s="58" customFormat="1" ht="12" x14ac:dyDescent="0.2">
      <c r="B755" s="91"/>
      <c r="E755" s="92"/>
      <c r="F755" s="93"/>
      <c r="G755" s="94"/>
      <c r="H755" s="94"/>
      <c r="I755" s="94"/>
      <c r="J755" s="94"/>
      <c r="K755" s="93"/>
      <c r="L755" s="86"/>
      <c r="M755" s="86"/>
      <c r="N755" s="86"/>
      <c r="O755" s="86"/>
      <c r="P755" s="86"/>
      <c r="Q755" s="85"/>
      <c r="S755" s="85"/>
      <c r="T755" s="85"/>
      <c r="U755" s="85"/>
      <c r="V755" s="85"/>
      <c r="W755" s="85"/>
      <c r="X755" s="85"/>
    </row>
    <row r="756" spans="2:24" s="58" customFormat="1" ht="12" x14ac:dyDescent="0.2">
      <c r="B756" s="91"/>
      <c r="E756" s="92"/>
      <c r="F756" s="93"/>
      <c r="G756" s="94"/>
      <c r="H756" s="94"/>
      <c r="I756" s="94"/>
      <c r="J756" s="94"/>
      <c r="K756" s="93"/>
      <c r="L756" s="86"/>
      <c r="M756" s="86"/>
      <c r="N756" s="86"/>
      <c r="O756" s="86"/>
      <c r="P756" s="86"/>
      <c r="Q756" s="85"/>
      <c r="S756" s="85"/>
      <c r="T756" s="85"/>
      <c r="U756" s="85"/>
      <c r="V756" s="85"/>
      <c r="W756" s="85"/>
      <c r="X756" s="85"/>
    </row>
    <row r="757" spans="2:24" s="58" customFormat="1" ht="12" x14ac:dyDescent="0.2">
      <c r="B757" s="91"/>
      <c r="E757" s="92"/>
      <c r="F757" s="93"/>
      <c r="G757" s="94"/>
      <c r="H757" s="94"/>
      <c r="I757" s="94"/>
      <c r="J757" s="94"/>
      <c r="K757" s="93"/>
      <c r="L757" s="86"/>
      <c r="M757" s="86"/>
      <c r="N757" s="86"/>
      <c r="O757" s="86"/>
      <c r="P757" s="86"/>
      <c r="Q757" s="85"/>
      <c r="S757" s="85"/>
      <c r="T757" s="85"/>
      <c r="U757" s="85"/>
      <c r="V757" s="85"/>
      <c r="W757" s="85"/>
      <c r="X757" s="85"/>
    </row>
    <row r="758" spans="2:24" s="58" customFormat="1" ht="12" x14ac:dyDescent="0.2">
      <c r="B758" s="91"/>
      <c r="E758" s="92"/>
      <c r="F758" s="93"/>
      <c r="G758" s="94"/>
      <c r="H758" s="94"/>
      <c r="I758" s="94"/>
      <c r="J758" s="94"/>
      <c r="K758" s="93"/>
      <c r="L758" s="86"/>
      <c r="M758" s="86"/>
      <c r="N758" s="86"/>
      <c r="O758" s="86"/>
      <c r="P758" s="86"/>
      <c r="Q758" s="85"/>
      <c r="S758" s="85"/>
      <c r="T758" s="85"/>
      <c r="U758" s="85"/>
      <c r="V758" s="85"/>
      <c r="W758" s="85"/>
      <c r="X758" s="85"/>
    </row>
    <row r="759" spans="2:24" s="58" customFormat="1" ht="12" x14ac:dyDescent="0.2">
      <c r="B759" s="91"/>
      <c r="E759" s="92"/>
      <c r="F759" s="93"/>
      <c r="G759" s="94"/>
      <c r="H759" s="94"/>
      <c r="I759" s="94"/>
      <c r="J759" s="94"/>
      <c r="K759" s="93"/>
      <c r="L759" s="86"/>
      <c r="M759" s="86"/>
      <c r="N759" s="86"/>
      <c r="O759" s="86"/>
      <c r="P759" s="86"/>
      <c r="Q759" s="85"/>
      <c r="S759" s="85"/>
      <c r="T759" s="85"/>
      <c r="U759" s="85"/>
      <c r="V759" s="85"/>
      <c r="W759" s="85"/>
      <c r="X759" s="85"/>
    </row>
    <row r="760" spans="2:24" s="58" customFormat="1" ht="12" x14ac:dyDescent="0.2">
      <c r="B760" s="91"/>
      <c r="E760" s="92"/>
      <c r="F760" s="93"/>
      <c r="G760" s="94"/>
      <c r="H760" s="94"/>
      <c r="I760" s="94"/>
      <c r="J760" s="94"/>
      <c r="K760" s="93"/>
      <c r="L760" s="86"/>
      <c r="M760" s="86"/>
      <c r="N760" s="86"/>
      <c r="O760" s="86"/>
      <c r="P760" s="86"/>
      <c r="Q760" s="85"/>
      <c r="S760" s="85"/>
      <c r="T760" s="85"/>
      <c r="U760" s="85"/>
      <c r="V760" s="85"/>
      <c r="W760" s="85"/>
      <c r="X760" s="85"/>
    </row>
    <row r="761" spans="2:24" s="58" customFormat="1" ht="12" x14ac:dyDescent="0.2">
      <c r="B761" s="91"/>
      <c r="E761" s="92"/>
      <c r="F761" s="93"/>
      <c r="G761" s="94"/>
      <c r="H761" s="94"/>
      <c r="I761" s="94"/>
      <c r="J761" s="94"/>
      <c r="K761" s="93"/>
      <c r="L761" s="86"/>
      <c r="M761" s="86"/>
      <c r="N761" s="86"/>
      <c r="O761" s="86"/>
      <c r="P761" s="86"/>
      <c r="Q761" s="85"/>
      <c r="S761" s="85"/>
      <c r="T761" s="85"/>
      <c r="U761" s="85"/>
      <c r="V761" s="85"/>
      <c r="W761" s="85"/>
      <c r="X761" s="85"/>
    </row>
    <row r="762" spans="2:24" s="58" customFormat="1" ht="12" x14ac:dyDescent="0.2">
      <c r="B762" s="91"/>
      <c r="E762" s="92"/>
      <c r="F762" s="93"/>
      <c r="G762" s="94"/>
      <c r="H762" s="94"/>
      <c r="I762" s="94"/>
      <c r="J762" s="94"/>
      <c r="K762" s="93"/>
      <c r="L762" s="86"/>
      <c r="M762" s="86"/>
      <c r="N762" s="86"/>
      <c r="O762" s="86"/>
      <c r="P762" s="86"/>
      <c r="Q762" s="85"/>
      <c r="S762" s="85"/>
      <c r="T762" s="85"/>
      <c r="U762" s="85"/>
      <c r="V762" s="85"/>
      <c r="W762" s="85"/>
      <c r="X762" s="85"/>
    </row>
    <row r="763" spans="2:24" s="58" customFormat="1" ht="12" x14ac:dyDescent="0.2">
      <c r="B763" s="91"/>
      <c r="E763" s="92"/>
      <c r="F763" s="93"/>
      <c r="G763" s="94"/>
      <c r="H763" s="94"/>
      <c r="I763" s="94"/>
      <c r="J763" s="94"/>
      <c r="K763" s="93"/>
      <c r="L763" s="86"/>
      <c r="M763" s="86"/>
      <c r="N763" s="86"/>
      <c r="O763" s="86"/>
      <c r="P763" s="86"/>
      <c r="Q763" s="85"/>
      <c r="S763" s="85"/>
      <c r="T763" s="85"/>
      <c r="U763" s="85"/>
      <c r="V763" s="85"/>
      <c r="W763" s="85"/>
      <c r="X763" s="85"/>
    </row>
    <row r="764" spans="2:24" s="58" customFormat="1" ht="12" x14ac:dyDescent="0.2">
      <c r="B764" s="91"/>
      <c r="E764" s="92"/>
      <c r="F764" s="93"/>
      <c r="G764" s="94"/>
      <c r="H764" s="94"/>
      <c r="I764" s="94"/>
      <c r="J764" s="94"/>
      <c r="K764" s="93"/>
      <c r="L764" s="86"/>
      <c r="M764" s="86"/>
      <c r="N764" s="86"/>
      <c r="O764" s="86"/>
      <c r="P764" s="86"/>
      <c r="Q764" s="85"/>
      <c r="S764" s="85"/>
      <c r="T764" s="85"/>
      <c r="U764" s="85"/>
      <c r="V764" s="85"/>
      <c r="W764" s="85"/>
      <c r="X764" s="85"/>
    </row>
    <row r="765" spans="2:24" s="58" customFormat="1" ht="12" x14ac:dyDescent="0.2">
      <c r="B765" s="91"/>
      <c r="E765" s="92"/>
      <c r="F765" s="93"/>
      <c r="G765" s="94"/>
      <c r="H765" s="94"/>
      <c r="I765" s="94"/>
      <c r="J765" s="94"/>
      <c r="K765" s="93"/>
      <c r="L765" s="86"/>
      <c r="M765" s="86"/>
      <c r="N765" s="86"/>
      <c r="O765" s="86"/>
      <c r="P765" s="86"/>
      <c r="Q765" s="85"/>
      <c r="S765" s="85"/>
      <c r="T765" s="85"/>
      <c r="U765" s="85"/>
      <c r="V765" s="85"/>
      <c r="W765" s="85"/>
      <c r="X765" s="85"/>
    </row>
    <row r="766" spans="2:24" s="58" customFormat="1" ht="12" x14ac:dyDescent="0.2">
      <c r="B766" s="91"/>
      <c r="E766" s="92"/>
      <c r="F766" s="93"/>
      <c r="G766" s="94"/>
      <c r="H766" s="94"/>
      <c r="I766" s="94"/>
      <c r="J766" s="94"/>
      <c r="K766" s="93"/>
      <c r="L766" s="86"/>
      <c r="M766" s="86"/>
      <c r="N766" s="86"/>
      <c r="O766" s="86"/>
      <c r="P766" s="86"/>
      <c r="Q766" s="85"/>
      <c r="S766" s="85"/>
      <c r="T766" s="85"/>
      <c r="U766" s="85"/>
      <c r="V766" s="85"/>
      <c r="W766" s="85"/>
      <c r="X766" s="85"/>
    </row>
    <row r="767" spans="2:24" s="58" customFormat="1" ht="12" x14ac:dyDescent="0.2">
      <c r="B767" s="91"/>
      <c r="E767" s="92"/>
      <c r="F767" s="93"/>
      <c r="G767" s="94"/>
      <c r="H767" s="94"/>
      <c r="I767" s="94"/>
      <c r="J767" s="94"/>
      <c r="K767" s="93"/>
      <c r="L767" s="86"/>
      <c r="M767" s="86"/>
      <c r="N767" s="86"/>
      <c r="O767" s="86"/>
      <c r="P767" s="86"/>
      <c r="Q767" s="85"/>
      <c r="S767" s="85"/>
      <c r="T767" s="85"/>
      <c r="U767" s="85"/>
      <c r="V767" s="85"/>
      <c r="W767" s="85"/>
      <c r="X767" s="85"/>
    </row>
    <row r="768" spans="2:24" s="58" customFormat="1" ht="12" x14ac:dyDescent="0.2">
      <c r="B768" s="91"/>
      <c r="E768" s="92"/>
      <c r="F768" s="93"/>
      <c r="G768" s="94"/>
      <c r="H768" s="94"/>
      <c r="I768" s="94"/>
      <c r="J768" s="94"/>
      <c r="K768" s="93"/>
      <c r="L768" s="86"/>
      <c r="M768" s="86"/>
      <c r="N768" s="86"/>
      <c r="O768" s="86"/>
      <c r="P768" s="86"/>
      <c r="Q768" s="85"/>
      <c r="S768" s="85"/>
      <c r="T768" s="85"/>
      <c r="U768" s="85"/>
      <c r="V768" s="85"/>
      <c r="W768" s="85"/>
      <c r="X768" s="85"/>
    </row>
    <row r="769" spans="2:24" s="58" customFormat="1" ht="12" x14ac:dyDescent="0.2">
      <c r="B769" s="91"/>
      <c r="E769" s="92"/>
      <c r="F769" s="93"/>
      <c r="G769" s="94"/>
      <c r="H769" s="94"/>
      <c r="I769" s="94"/>
      <c r="J769" s="94"/>
      <c r="K769" s="93"/>
      <c r="L769" s="86"/>
      <c r="M769" s="86"/>
      <c r="N769" s="86"/>
      <c r="O769" s="86"/>
      <c r="P769" s="86"/>
      <c r="Q769" s="85"/>
      <c r="S769" s="85"/>
      <c r="T769" s="85"/>
      <c r="U769" s="85"/>
      <c r="V769" s="85"/>
      <c r="W769" s="85"/>
      <c r="X769" s="85"/>
    </row>
    <row r="770" spans="2:24" s="58" customFormat="1" ht="12" x14ac:dyDescent="0.2">
      <c r="B770" s="91"/>
      <c r="E770" s="92"/>
      <c r="F770" s="93"/>
      <c r="G770" s="94"/>
      <c r="H770" s="94"/>
      <c r="I770" s="94"/>
      <c r="J770" s="94"/>
      <c r="K770" s="93"/>
      <c r="L770" s="86"/>
      <c r="M770" s="86"/>
      <c r="N770" s="86"/>
      <c r="O770" s="86"/>
      <c r="P770" s="86"/>
      <c r="Q770" s="85"/>
      <c r="S770" s="85"/>
      <c r="T770" s="85"/>
      <c r="U770" s="85"/>
      <c r="V770" s="85"/>
      <c r="W770" s="85"/>
      <c r="X770" s="85"/>
    </row>
    <row r="771" spans="2:24" s="58" customFormat="1" ht="12" x14ac:dyDescent="0.2">
      <c r="B771" s="91"/>
      <c r="E771" s="92"/>
      <c r="F771" s="93"/>
      <c r="G771" s="94"/>
      <c r="H771" s="94"/>
      <c r="I771" s="94"/>
      <c r="J771" s="94"/>
      <c r="K771" s="93"/>
      <c r="L771" s="86"/>
      <c r="M771" s="86"/>
      <c r="N771" s="86"/>
      <c r="O771" s="86"/>
      <c r="P771" s="86"/>
      <c r="Q771" s="85"/>
      <c r="S771" s="85"/>
      <c r="T771" s="85"/>
      <c r="U771" s="85"/>
      <c r="V771" s="85"/>
      <c r="W771" s="85"/>
      <c r="X771" s="85"/>
    </row>
    <row r="772" spans="2:24" s="58" customFormat="1" ht="12" x14ac:dyDescent="0.2">
      <c r="B772" s="91"/>
      <c r="E772" s="92"/>
      <c r="F772" s="93"/>
      <c r="G772" s="94"/>
      <c r="H772" s="94"/>
      <c r="I772" s="94"/>
      <c r="J772" s="94"/>
      <c r="K772" s="93"/>
      <c r="L772" s="86"/>
      <c r="M772" s="86"/>
      <c r="N772" s="86"/>
      <c r="O772" s="86"/>
      <c r="P772" s="86"/>
      <c r="Q772" s="85"/>
      <c r="S772" s="85"/>
      <c r="T772" s="85"/>
      <c r="U772" s="85"/>
      <c r="V772" s="85"/>
      <c r="W772" s="85"/>
      <c r="X772" s="85"/>
    </row>
    <row r="773" spans="2:24" s="58" customFormat="1" ht="12" x14ac:dyDescent="0.2">
      <c r="B773" s="91"/>
      <c r="E773" s="92"/>
      <c r="F773" s="93"/>
      <c r="G773" s="94"/>
      <c r="H773" s="94"/>
      <c r="I773" s="94"/>
      <c r="J773" s="94"/>
      <c r="K773" s="93"/>
      <c r="L773" s="86"/>
      <c r="M773" s="86"/>
      <c r="N773" s="86"/>
      <c r="O773" s="86"/>
      <c r="P773" s="86"/>
      <c r="Q773" s="85"/>
      <c r="S773" s="85"/>
      <c r="T773" s="85"/>
      <c r="U773" s="85"/>
      <c r="V773" s="85"/>
      <c r="W773" s="85"/>
      <c r="X773" s="85"/>
    </row>
    <row r="774" spans="2:24" s="58" customFormat="1" ht="12" x14ac:dyDescent="0.2">
      <c r="B774" s="91"/>
      <c r="E774" s="92"/>
      <c r="F774" s="93"/>
      <c r="G774" s="94"/>
      <c r="H774" s="94"/>
      <c r="I774" s="94"/>
      <c r="J774" s="94"/>
      <c r="K774" s="93"/>
      <c r="L774" s="86"/>
      <c r="M774" s="86"/>
      <c r="N774" s="86"/>
      <c r="O774" s="86"/>
      <c r="P774" s="86"/>
      <c r="Q774" s="85"/>
      <c r="S774" s="85"/>
      <c r="T774" s="85"/>
      <c r="U774" s="85"/>
      <c r="V774" s="85"/>
      <c r="W774" s="85"/>
      <c r="X774" s="85"/>
    </row>
    <row r="775" spans="2:24" s="58" customFormat="1" ht="12" x14ac:dyDescent="0.2">
      <c r="B775" s="91"/>
      <c r="E775" s="92"/>
      <c r="F775" s="93"/>
      <c r="G775" s="94"/>
      <c r="H775" s="94"/>
      <c r="I775" s="94"/>
      <c r="J775" s="94"/>
      <c r="K775" s="93"/>
      <c r="L775" s="86"/>
      <c r="M775" s="86"/>
      <c r="N775" s="86"/>
      <c r="O775" s="86"/>
      <c r="P775" s="86"/>
      <c r="Q775" s="85"/>
      <c r="S775" s="85"/>
      <c r="T775" s="85"/>
      <c r="U775" s="85"/>
      <c r="V775" s="85"/>
      <c r="W775" s="85"/>
      <c r="X775" s="85"/>
    </row>
    <row r="776" spans="2:24" s="58" customFormat="1" ht="12" x14ac:dyDescent="0.2">
      <c r="B776" s="91"/>
      <c r="E776" s="92"/>
      <c r="F776" s="93"/>
      <c r="G776" s="94"/>
      <c r="H776" s="94"/>
      <c r="I776" s="94"/>
      <c r="J776" s="94"/>
      <c r="K776" s="93"/>
      <c r="L776" s="86"/>
      <c r="M776" s="86"/>
      <c r="N776" s="86"/>
      <c r="O776" s="86"/>
      <c r="P776" s="86"/>
      <c r="Q776" s="85"/>
      <c r="S776" s="85"/>
      <c r="T776" s="85"/>
      <c r="U776" s="85"/>
      <c r="V776" s="85"/>
      <c r="W776" s="85"/>
      <c r="X776" s="85"/>
    </row>
    <row r="777" spans="2:24" s="58" customFormat="1" ht="12" x14ac:dyDescent="0.2">
      <c r="B777" s="91"/>
      <c r="E777" s="92"/>
      <c r="F777" s="93"/>
      <c r="G777" s="94"/>
      <c r="H777" s="94"/>
      <c r="I777" s="94"/>
      <c r="J777" s="94"/>
      <c r="K777" s="93"/>
      <c r="L777" s="86"/>
      <c r="M777" s="86"/>
      <c r="N777" s="86"/>
      <c r="O777" s="86"/>
      <c r="P777" s="86"/>
      <c r="Q777" s="85"/>
      <c r="S777" s="85"/>
      <c r="T777" s="85"/>
      <c r="U777" s="85"/>
      <c r="V777" s="85"/>
      <c r="W777" s="85"/>
      <c r="X777" s="85"/>
    </row>
    <row r="778" spans="2:24" s="58" customFormat="1" ht="12" x14ac:dyDescent="0.2">
      <c r="B778" s="91"/>
      <c r="E778" s="92"/>
      <c r="F778" s="93"/>
      <c r="G778" s="94"/>
      <c r="H778" s="94"/>
      <c r="I778" s="94"/>
      <c r="J778" s="94"/>
      <c r="K778" s="93"/>
      <c r="L778" s="86"/>
      <c r="M778" s="86"/>
      <c r="N778" s="86"/>
      <c r="O778" s="86"/>
      <c r="P778" s="86"/>
      <c r="Q778" s="85"/>
      <c r="S778" s="85"/>
      <c r="T778" s="85"/>
      <c r="U778" s="85"/>
      <c r="V778" s="85"/>
      <c r="W778" s="85"/>
      <c r="X778" s="85"/>
    </row>
    <row r="779" spans="2:24" s="58" customFormat="1" ht="12" x14ac:dyDescent="0.2">
      <c r="B779" s="91"/>
      <c r="E779" s="92"/>
      <c r="F779" s="93"/>
      <c r="G779" s="94"/>
      <c r="H779" s="94"/>
      <c r="I779" s="94"/>
      <c r="J779" s="94"/>
      <c r="K779" s="93"/>
      <c r="L779" s="86"/>
      <c r="M779" s="86"/>
      <c r="N779" s="86"/>
      <c r="O779" s="86"/>
      <c r="P779" s="86"/>
      <c r="Q779" s="85"/>
      <c r="S779" s="85"/>
      <c r="T779" s="85"/>
      <c r="U779" s="85"/>
      <c r="V779" s="85"/>
      <c r="W779" s="85"/>
      <c r="X779" s="85"/>
    </row>
    <row r="780" spans="2:24" s="58" customFormat="1" ht="12" x14ac:dyDescent="0.2">
      <c r="B780" s="91"/>
      <c r="E780" s="92"/>
      <c r="F780" s="93"/>
      <c r="G780" s="94"/>
      <c r="H780" s="94"/>
      <c r="I780" s="94"/>
      <c r="J780" s="94"/>
      <c r="K780" s="93"/>
      <c r="L780" s="86"/>
      <c r="M780" s="86"/>
      <c r="N780" s="86"/>
      <c r="O780" s="86"/>
      <c r="P780" s="86"/>
      <c r="Q780" s="85"/>
      <c r="S780" s="85"/>
      <c r="T780" s="85"/>
      <c r="U780" s="85"/>
      <c r="V780" s="85"/>
      <c r="W780" s="85"/>
      <c r="X780" s="85"/>
    </row>
    <row r="781" spans="2:24" s="58" customFormat="1" ht="12" x14ac:dyDescent="0.2">
      <c r="B781" s="91"/>
      <c r="E781" s="92"/>
      <c r="F781" s="93"/>
      <c r="G781" s="94"/>
      <c r="H781" s="94"/>
      <c r="I781" s="94"/>
      <c r="J781" s="94"/>
      <c r="K781" s="93"/>
      <c r="L781" s="86"/>
      <c r="M781" s="86"/>
      <c r="N781" s="86"/>
      <c r="O781" s="86"/>
      <c r="P781" s="86"/>
      <c r="Q781" s="85"/>
      <c r="S781" s="85"/>
      <c r="T781" s="85"/>
      <c r="U781" s="85"/>
      <c r="V781" s="85"/>
      <c r="W781" s="85"/>
      <c r="X781" s="85"/>
    </row>
    <row r="782" spans="2:24" s="58" customFormat="1" ht="12" x14ac:dyDescent="0.2">
      <c r="B782" s="91"/>
      <c r="E782" s="92"/>
      <c r="F782" s="93"/>
      <c r="G782" s="94"/>
      <c r="H782" s="94"/>
      <c r="I782" s="94"/>
      <c r="J782" s="94"/>
      <c r="K782" s="93"/>
      <c r="L782" s="86"/>
      <c r="M782" s="86"/>
      <c r="N782" s="86"/>
      <c r="O782" s="86"/>
      <c r="P782" s="86"/>
      <c r="Q782" s="85"/>
      <c r="S782" s="85"/>
      <c r="T782" s="85"/>
      <c r="U782" s="85"/>
      <c r="V782" s="85"/>
      <c r="W782" s="85"/>
      <c r="X782" s="85"/>
    </row>
    <row r="783" spans="2:24" s="58" customFormat="1" ht="12" x14ac:dyDescent="0.2">
      <c r="B783" s="91"/>
      <c r="E783" s="92"/>
      <c r="F783" s="93"/>
      <c r="G783" s="94"/>
      <c r="H783" s="94"/>
      <c r="I783" s="94"/>
      <c r="J783" s="94"/>
      <c r="K783" s="93"/>
      <c r="L783" s="86"/>
      <c r="M783" s="86"/>
      <c r="N783" s="86"/>
      <c r="O783" s="86"/>
      <c r="P783" s="86"/>
      <c r="Q783" s="85"/>
      <c r="S783" s="85"/>
      <c r="T783" s="85"/>
      <c r="U783" s="85"/>
      <c r="V783" s="85"/>
      <c r="W783" s="85"/>
      <c r="X783" s="85"/>
    </row>
    <row r="784" spans="2:24" s="58" customFormat="1" ht="12" x14ac:dyDescent="0.2">
      <c r="B784" s="91"/>
      <c r="E784" s="92"/>
      <c r="F784" s="93"/>
      <c r="G784" s="94"/>
      <c r="H784" s="94"/>
      <c r="I784" s="94"/>
      <c r="J784" s="94"/>
      <c r="K784" s="93"/>
      <c r="L784" s="86"/>
      <c r="M784" s="86"/>
      <c r="N784" s="86"/>
      <c r="O784" s="86"/>
      <c r="P784" s="86"/>
      <c r="Q784" s="85"/>
      <c r="S784" s="85"/>
      <c r="T784" s="85"/>
      <c r="U784" s="85"/>
      <c r="V784" s="85"/>
      <c r="W784" s="85"/>
      <c r="X784" s="85"/>
    </row>
    <row r="785" spans="2:24" s="58" customFormat="1" ht="12" x14ac:dyDescent="0.2">
      <c r="B785" s="91"/>
      <c r="E785" s="92"/>
      <c r="F785" s="93"/>
      <c r="G785" s="94"/>
      <c r="H785" s="94"/>
      <c r="I785" s="94"/>
      <c r="J785" s="94"/>
      <c r="K785" s="93"/>
      <c r="L785" s="86"/>
      <c r="M785" s="86"/>
      <c r="N785" s="86"/>
      <c r="O785" s="86"/>
      <c r="P785" s="86"/>
      <c r="Q785" s="85"/>
      <c r="S785" s="85"/>
      <c r="T785" s="85"/>
      <c r="U785" s="85"/>
      <c r="V785" s="85"/>
      <c r="W785" s="85"/>
      <c r="X785" s="85"/>
    </row>
    <row r="786" spans="2:24" s="58" customFormat="1" ht="12" x14ac:dyDescent="0.2">
      <c r="B786" s="91"/>
      <c r="E786" s="92"/>
      <c r="F786" s="93"/>
      <c r="G786" s="94"/>
      <c r="H786" s="94"/>
      <c r="I786" s="94"/>
      <c r="J786" s="94"/>
      <c r="K786" s="93"/>
      <c r="L786" s="86"/>
      <c r="M786" s="86"/>
      <c r="N786" s="86"/>
      <c r="O786" s="86"/>
      <c r="P786" s="86"/>
      <c r="Q786" s="85"/>
      <c r="S786" s="85"/>
      <c r="T786" s="85"/>
      <c r="U786" s="85"/>
      <c r="V786" s="85"/>
      <c r="W786" s="85"/>
      <c r="X786" s="85"/>
    </row>
    <row r="787" spans="2:24" s="58" customFormat="1" ht="12" x14ac:dyDescent="0.2">
      <c r="B787" s="91"/>
      <c r="E787" s="92"/>
      <c r="F787" s="93"/>
      <c r="G787" s="94"/>
      <c r="H787" s="94"/>
      <c r="I787" s="94"/>
      <c r="J787" s="94"/>
      <c r="K787" s="93"/>
      <c r="L787" s="86"/>
      <c r="M787" s="86"/>
      <c r="N787" s="86"/>
      <c r="O787" s="86"/>
      <c r="P787" s="86"/>
      <c r="Q787" s="85"/>
      <c r="S787" s="85"/>
      <c r="T787" s="85"/>
      <c r="U787" s="85"/>
      <c r="V787" s="85"/>
      <c r="W787" s="85"/>
      <c r="X787" s="85"/>
    </row>
    <row r="788" spans="2:24" s="58" customFormat="1" ht="12" x14ac:dyDescent="0.2">
      <c r="B788" s="91"/>
      <c r="E788" s="92"/>
      <c r="F788" s="93"/>
      <c r="G788" s="94"/>
      <c r="H788" s="94"/>
      <c r="I788" s="94"/>
      <c r="J788" s="94"/>
      <c r="K788" s="93"/>
      <c r="L788" s="86"/>
      <c r="M788" s="86"/>
      <c r="N788" s="86"/>
      <c r="O788" s="86"/>
      <c r="P788" s="86"/>
      <c r="Q788" s="85"/>
      <c r="S788" s="85"/>
      <c r="T788" s="85"/>
      <c r="U788" s="85"/>
      <c r="V788" s="85"/>
      <c r="W788" s="85"/>
      <c r="X788" s="85"/>
    </row>
    <row r="789" spans="2:24" s="58" customFormat="1" ht="12" x14ac:dyDescent="0.2">
      <c r="B789" s="91"/>
      <c r="E789" s="92"/>
      <c r="F789" s="93"/>
      <c r="G789" s="94"/>
      <c r="H789" s="94"/>
      <c r="I789" s="94"/>
      <c r="J789" s="94"/>
      <c r="K789" s="93"/>
      <c r="L789" s="86"/>
      <c r="M789" s="86"/>
      <c r="N789" s="86"/>
      <c r="O789" s="86"/>
      <c r="P789" s="86"/>
      <c r="Q789" s="85"/>
      <c r="S789" s="85"/>
      <c r="T789" s="85"/>
      <c r="U789" s="85"/>
      <c r="V789" s="85"/>
      <c r="W789" s="85"/>
      <c r="X789" s="85"/>
    </row>
    <row r="790" spans="2:24" s="58" customFormat="1" ht="12" x14ac:dyDescent="0.2">
      <c r="B790" s="91"/>
      <c r="E790" s="92"/>
      <c r="F790" s="93"/>
      <c r="G790" s="94"/>
      <c r="H790" s="94"/>
      <c r="I790" s="94"/>
      <c r="J790" s="94"/>
      <c r="K790" s="93"/>
      <c r="L790" s="86"/>
      <c r="M790" s="86"/>
      <c r="N790" s="86"/>
      <c r="O790" s="86"/>
      <c r="P790" s="86"/>
      <c r="Q790" s="85"/>
      <c r="S790" s="85"/>
      <c r="T790" s="85"/>
      <c r="U790" s="85"/>
      <c r="V790" s="85"/>
      <c r="W790" s="85"/>
      <c r="X790" s="85"/>
    </row>
    <row r="791" spans="2:24" s="58" customFormat="1" ht="12" x14ac:dyDescent="0.2">
      <c r="B791" s="91"/>
      <c r="E791" s="92"/>
      <c r="F791" s="93"/>
      <c r="G791" s="94"/>
      <c r="H791" s="94"/>
      <c r="I791" s="94"/>
      <c r="J791" s="94"/>
      <c r="K791" s="93"/>
      <c r="L791" s="86"/>
      <c r="M791" s="86"/>
      <c r="N791" s="86"/>
      <c r="O791" s="86"/>
      <c r="P791" s="86"/>
      <c r="Q791" s="85"/>
      <c r="S791" s="85"/>
      <c r="T791" s="85"/>
      <c r="U791" s="85"/>
      <c r="V791" s="85"/>
      <c r="W791" s="85"/>
      <c r="X791" s="85"/>
    </row>
    <row r="792" spans="2:24" s="58" customFormat="1" ht="12" x14ac:dyDescent="0.2">
      <c r="B792" s="91"/>
      <c r="E792" s="92"/>
      <c r="F792" s="93"/>
      <c r="G792" s="94"/>
      <c r="H792" s="94"/>
      <c r="I792" s="94"/>
      <c r="J792" s="94"/>
      <c r="K792" s="93"/>
      <c r="L792" s="86"/>
      <c r="M792" s="86"/>
      <c r="N792" s="86"/>
      <c r="O792" s="86"/>
      <c r="P792" s="86"/>
      <c r="Q792" s="85"/>
      <c r="S792" s="85"/>
      <c r="T792" s="85"/>
      <c r="U792" s="85"/>
      <c r="V792" s="85"/>
      <c r="W792" s="85"/>
      <c r="X792" s="85"/>
    </row>
    <row r="793" spans="2:24" s="58" customFormat="1" ht="12" x14ac:dyDescent="0.2">
      <c r="B793" s="91"/>
      <c r="E793" s="92"/>
      <c r="F793" s="93"/>
      <c r="G793" s="94"/>
      <c r="H793" s="94"/>
      <c r="I793" s="94"/>
      <c r="J793" s="94"/>
      <c r="K793" s="93"/>
      <c r="L793" s="86"/>
      <c r="M793" s="86"/>
      <c r="N793" s="86"/>
      <c r="O793" s="86"/>
      <c r="P793" s="86"/>
      <c r="Q793" s="85"/>
      <c r="S793" s="85"/>
      <c r="T793" s="85"/>
      <c r="U793" s="85"/>
      <c r="V793" s="85"/>
      <c r="W793" s="85"/>
      <c r="X793" s="85"/>
    </row>
    <row r="794" spans="2:24" s="58" customFormat="1" ht="12" x14ac:dyDescent="0.2">
      <c r="B794" s="91"/>
      <c r="E794" s="92"/>
      <c r="F794" s="93"/>
      <c r="G794" s="94"/>
      <c r="H794" s="94"/>
      <c r="I794" s="94"/>
      <c r="J794" s="94"/>
      <c r="K794" s="93"/>
      <c r="L794" s="86"/>
      <c r="M794" s="86"/>
      <c r="N794" s="86"/>
      <c r="O794" s="86"/>
      <c r="P794" s="86"/>
      <c r="Q794" s="85"/>
      <c r="S794" s="85"/>
      <c r="T794" s="85"/>
      <c r="U794" s="85"/>
      <c r="V794" s="85"/>
      <c r="W794" s="85"/>
      <c r="X794" s="85"/>
    </row>
    <row r="795" spans="2:24" s="58" customFormat="1" ht="12" x14ac:dyDescent="0.2">
      <c r="B795" s="91"/>
      <c r="E795" s="92"/>
      <c r="F795" s="93"/>
      <c r="G795" s="94"/>
      <c r="H795" s="94"/>
      <c r="I795" s="94"/>
      <c r="J795" s="94"/>
      <c r="K795" s="93"/>
      <c r="L795" s="86"/>
      <c r="M795" s="86"/>
      <c r="N795" s="86"/>
      <c r="O795" s="86"/>
      <c r="P795" s="86"/>
      <c r="Q795" s="85"/>
      <c r="S795" s="85"/>
      <c r="T795" s="85"/>
      <c r="U795" s="85"/>
      <c r="V795" s="85"/>
      <c r="W795" s="85"/>
      <c r="X795" s="85"/>
    </row>
    <row r="796" spans="2:24" s="58" customFormat="1" ht="12" x14ac:dyDescent="0.2">
      <c r="B796" s="91"/>
      <c r="E796" s="92"/>
      <c r="F796" s="93"/>
      <c r="G796" s="94"/>
      <c r="H796" s="94"/>
      <c r="I796" s="94"/>
      <c r="J796" s="94"/>
      <c r="K796" s="93"/>
      <c r="L796" s="86"/>
      <c r="M796" s="86"/>
      <c r="N796" s="86"/>
      <c r="O796" s="86"/>
      <c r="P796" s="86"/>
      <c r="Q796" s="85"/>
      <c r="S796" s="85"/>
      <c r="T796" s="85"/>
      <c r="U796" s="85"/>
      <c r="V796" s="85"/>
      <c r="W796" s="85"/>
      <c r="X796" s="85"/>
    </row>
    <row r="797" spans="2:24" s="58" customFormat="1" ht="12" x14ac:dyDescent="0.2">
      <c r="B797" s="91"/>
      <c r="E797" s="92"/>
      <c r="F797" s="93"/>
      <c r="G797" s="94"/>
      <c r="H797" s="94"/>
      <c r="I797" s="94"/>
      <c r="J797" s="94"/>
      <c r="K797" s="93"/>
      <c r="L797" s="86"/>
      <c r="M797" s="86"/>
      <c r="N797" s="86"/>
      <c r="O797" s="86"/>
      <c r="P797" s="86"/>
      <c r="Q797" s="85"/>
      <c r="S797" s="85"/>
      <c r="T797" s="85"/>
      <c r="U797" s="85"/>
      <c r="V797" s="85"/>
      <c r="W797" s="85"/>
      <c r="X797" s="85"/>
    </row>
    <row r="798" spans="2:24" s="58" customFormat="1" ht="12" x14ac:dyDescent="0.2">
      <c r="B798" s="91"/>
      <c r="E798" s="92"/>
      <c r="F798" s="93"/>
      <c r="G798" s="94"/>
      <c r="H798" s="94"/>
      <c r="I798" s="94"/>
      <c r="J798" s="94"/>
      <c r="K798" s="93"/>
      <c r="L798" s="86"/>
      <c r="M798" s="86"/>
      <c r="N798" s="86"/>
      <c r="O798" s="86"/>
      <c r="P798" s="86"/>
      <c r="Q798" s="85"/>
      <c r="S798" s="85"/>
      <c r="T798" s="85"/>
      <c r="U798" s="85"/>
      <c r="V798" s="85"/>
      <c r="W798" s="85"/>
      <c r="X798" s="85"/>
    </row>
    <row r="799" spans="2:24" s="58" customFormat="1" ht="12" x14ac:dyDescent="0.2">
      <c r="B799" s="91"/>
      <c r="E799" s="92"/>
      <c r="F799" s="93"/>
      <c r="G799" s="94"/>
      <c r="H799" s="94"/>
      <c r="I799" s="94"/>
      <c r="J799" s="94"/>
      <c r="K799" s="93"/>
      <c r="L799" s="86"/>
      <c r="M799" s="86"/>
      <c r="N799" s="86"/>
      <c r="O799" s="86"/>
      <c r="P799" s="86"/>
      <c r="Q799" s="85"/>
      <c r="S799" s="85"/>
      <c r="T799" s="85"/>
      <c r="U799" s="85"/>
      <c r="V799" s="85"/>
      <c r="W799" s="85"/>
      <c r="X799" s="85"/>
    </row>
    <row r="800" spans="2:24" s="58" customFormat="1" ht="12" x14ac:dyDescent="0.2">
      <c r="B800" s="91"/>
      <c r="E800" s="92"/>
      <c r="F800" s="93"/>
      <c r="G800" s="94"/>
      <c r="H800" s="94"/>
      <c r="I800" s="94"/>
      <c r="J800" s="94"/>
      <c r="K800" s="93"/>
      <c r="L800" s="86"/>
      <c r="M800" s="86"/>
      <c r="N800" s="86"/>
      <c r="O800" s="86"/>
      <c r="P800" s="86"/>
      <c r="Q800" s="85"/>
      <c r="S800" s="85"/>
      <c r="T800" s="85"/>
      <c r="U800" s="85"/>
      <c r="V800" s="85"/>
      <c r="W800" s="85"/>
      <c r="X800" s="85"/>
    </row>
    <row r="801" spans="2:24" s="58" customFormat="1" ht="12" x14ac:dyDescent="0.2">
      <c r="B801" s="91"/>
      <c r="E801" s="92"/>
      <c r="F801" s="93"/>
      <c r="G801" s="94"/>
      <c r="H801" s="94"/>
      <c r="I801" s="94"/>
      <c r="J801" s="94"/>
      <c r="K801" s="93"/>
      <c r="L801" s="86"/>
      <c r="M801" s="86"/>
      <c r="N801" s="86"/>
      <c r="O801" s="86"/>
      <c r="P801" s="86"/>
      <c r="Q801" s="85"/>
      <c r="S801" s="85"/>
      <c r="T801" s="85"/>
      <c r="U801" s="85"/>
      <c r="V801" s="85"/>
      <c r="W801" s="85"/>
      <c r="X801" s="85"/>
    </row>
    <row r="802" spans="2:24" s="58" customFormat="1" ht="12" x14ac:dyDescent="0.2">
      <c r="B802" s="91"/>
      <c r="E802" s="92"/>
      <c r="F802" s="93"/>
      <c r="G802" s="94"/>
      <c r="H802" s="94"/>
      <c r="I802" s="94"/>
      <c r="J802" s="94"/>
      <c r="K802" s="93"/>
      <c r="L802" s="86"/>
      <c r="M802" s="86"/>
      <c r="N802" s="86"/>
      <c r="O802" s="86"/>
      <c r="P802" s="86"/>
      <c r="Q802" s="85"/>
      <c r="S802" s="85"/>
      <c r="T802" s="85"/>
      <c r="U802" s="85"/>
      <c r="V802" s="85"/>
      <c r="W802" s="85"/>
      <c r="X802" s="85"/>
    </row>
    <row r="803" spans="2:24" s="58" customFormat="1" ht="12" x14ac:dyDescent="0.2">
      <c r="B803" s="91"/>
      <c r="E803" s="92"/>
      <c r="F803" s="93"/>
      <c r="G803" s="94"/>
      <c r="H803" s="94"/>
      <c r="I803" s="94"/>
      <c r="J803" s="94"/>
      <c r="K803" s="93"/>
      <c r="L803" s="86"/>
      <c r="M803" s="86"/>
      <c r="N803" s="86"/>
      <c r="O803" s="86"/>
      <c r="P803" s="86"/>
      <c r="Q803" s="85"/>
      <c r="S803" s="85"/>
      <c r="T803" s="85"/>
      <c r="U803" s="85"/>
      <c r="V803" s="85"/>
      <c r="W803" s="85"/>
      <c r="X803" s="85"/>
    </row>
    <row r="804" spans="2:24" s="58" customFormat="1" ht="12" x14ac:dyDescent="0.2">
      <c r="B804" s="91"/>
      <c r="E804" s="92"/>
      <c r="F804" s="93"/>
      <c r="G804" s="94"/>
      <c r="H804" s="94"/>
      <c r="I804" s="94"/>
      <c r="J804" s="94"/>
      <c r="K804" s="93"/>
      <c r="L804" s="86"/>
      <c r="M804" s="86"/>
      <c r="N804" s="86"/>
      <c r="O804" s="86"/>
      <c r="P804" s="86"/>
      <c r="Q804" s="85"/>
      <c r="S804" s="85"/>
      <c r="T804" s="85"/>
      <c r="U804" s="85"/>
      <c r="V804" s="85"/>
      <c r="W804" s="85"/>
      <c r="X804" s="85"/>
    </row>
    <row r="805" spans="2:24" s="58" customFormat="1" ht="12" x14ac:dyDescent="0.2">
      <c r="B805" s="91"/>
      <c r="E805" s="92"/>
      <c r="F805" s="93"/>
      <c r="G805" s="94"/>
      <c r="H805" s="94"/>
      <c r="I805" s="94"/>
      <c r="J805" s="94"/>
      <c r="K805" s="93"/>
      <c r="L805" s="86"/>
      <c r="M805" s="86"/>
      <c r="N805" s="86"/>
      <c r="O805" s="86"/>
      <c r="P805" s="86"/>
      <c r="Q805" s="85"/>
      <c r="S805" s="85"/>
      <c r="T805" s="85"/>
      <c r="U805" s="85"/>
      <c r="V805" s="85"/>
      <c r="W805" s="85"/>
      <c r="X805" s="85"/>
    </row>
    <row r="806" spans="2:24" s="58" customFormat="1" ht="12" x14ac:dyDescent="0.2">
      <c r="B806" s="91"/>
      <c r="E806" s="92"/>
      <c r="F806" s="93"/>
      <c r="G806" s="94"/>
      <c r="H806" s="94"/>
      <c r="I806" s="94"/>
      <c r="J806" s="94"/>
      <c r="K806" s="93"/>
      <c r="L806" s="86"/>
      <c r="M806" s="86"/>
      <c r="N806" s="86"/>
      <c r="O806" s="86"/>
      <c r="P806" s="86"/>
      <c r="Q806" s="85"/>
      <c r="S806" s="85"/>
      <c r="T806" s="85"/>
      <c r="U806" s="85"/>
      <c r="V806" s="85"/>
      <c r="W806" s="85"/>
      <c r="X806" s="85"/>
    </row>
    <row r="807" spans="2:24" s="58" customFormat="1" ht="12" x14ac:dyDescent="0.2">
      <c r="B807" s="91"/>
      <c r="E807" s="92"/>
      <c r="F807" s="93"/>
      <c r="G807" s="94"/>
      <c r="H807" s="94"/>
      <c r="I807" s="94"/>
      <c r="J807" s="94"/>
      <c r="K807" s="93"/>
      <c r="L807" s="86"/>
      <c r="M807" s="86"/>
      <c r="N807" s="86"/>
      <c r="O807" s="86"/>
      <c r="P807" s="86"/>
      <c r="Q807" s="85"/>
      <c r="S807" s="85"/>
      <c r="T807" s="85"/>
      <c r="U807" s="85"/>
      <c r="V807" s="85"/>
      <c r="W807" s="85"/>
      <c r="X807" s="85"/>
    </row>
    <row r="808" spans="2:24" s="58" customFormat="1" ht="12" x14ac:dyDescent="0.2">
      <c r="B808" s="91"/>
      <c r="E808" s="92"/>
      <c r="F808" s="93"/>
      <c r="G808" s="94"/>
      <c r="H808" s="94"/>
      <c r="I808" s="94"/>
      <c r="J808" s="94"/>
      <c r="K808" s="93"/>
      <c r="L808" s="86"/>
      <c r="M808" s="86"/>
      <c r="N808" s="86"/>
      <c r="O808" s="86"/>
      <c r="P808" s="86"/>
      <c r="Q808" s="85"/>
      <c r="S808" s="85"/>
      <c r="T808" s="85"/>
      <c r="U808" s="85"/>
      <c r="V808" s="85"/>
      <c r="W808" s="85"/>
      <c r="X808" s="85"/>
    </row>
    <row r="809" spans="2:24" s="58" customFormat="1" ht="12" x14ac:dyDescent="0.2">
      <c r="B809" s="91"/>
      <c r="E809" s="92"/>
      <c r="F809" s="93"/>
      <c r="G809" s="94"/>
      <c r="H809" s="94"/>
      <c r="I809" s="94"/>
      <c r="J809" s="94"/>
      <c r="K809" s="93"/>
      <c r="L809" s="86"/>
      <c r="M809" s="86"/>
      <c r="N809" s="86"/>
      <c r="O809" s="86"/>
      <c r="P809" s="86"/>
      <c r="Q809" s="85"/>
      <c r="S809" s="85"/>
      <c r="T809" s="85"/>
      <c r="U809" s="85"/>
      <c r="V809" s="85"/>
      <c r="W809" s="85"/>
      <c r="X809" s="85"/>
    </row>
    <row r="810" spans="2:24" s="58" customFormat="1" ht="12" x14ac:dyDescent="0.2">
      <c r="B810" s="91"/>
      <c r="E810" s="92"/>
      <c r="F810" s="93"/>
      <c r="G810" s="94"/>
      <c r="H810" s="94"/>
      <c r="I810" s="94"/>
      <c r="J810" s="94"/>
      <c r="K810" s="93"/>
      <c r="L810" s="86"/>
      <c r="M810" s="86"/>
      <c r="N810" s="86"/>
      <c r="O810" s="86"/>
      <c r="P810" s="86"/>
      <c r="Q810" s="85"/>
      <c r="S810" s="85"/>
      <c r="T810" s="85"/>
      <c r="U810" s="85"/>
      <c r="V810" s="85"/>
      <c r="W810" s="85"/>
      <c r="X810" s="85"/>
    </row>
    <row r="811" spans="2:24" s="58" customFormat="1" ht="12" x14ac:dyDescent="0.2">
      <c r="B811" s="91"/>
      <c r="E811" s="92"/>
      <c r="F811" s="93"/>
      <c r="G811" s="94"/>
      <c r="H811" s="94"/>
      <c r="I811" s="94"/>
      <c r="J811" s="94"/>
      <c r="K811" s="93"/>
      <c r="L811" s="86"/>
      <c r="M811" s="86"/>
      <c r="N811" s="86"/>
      <c r="O811" s="86"/>
      <c r="P811" s="86"/>
      <c r="Q811" s="85"/>
      <c r="S811" s="85"/>
      <c r="T811" s="85"/>
      <c r="U811" s="85"/>
      <c r="V811" s="85"/>
      <c r="W811" s="85"/>
      <c r="X811" s="85"/>
    </row>
    <row r="812" spans="2:24" s="58" customFormat="1" ht="12" x14ac:dyDescent="0.2">
      <c r="B812" s="91"/>
      <c r="E812" s="92"/>
      <c r="F812" s="93"/>
      <c r="G812" s="94"/>
      <c r="H812" s="94"/>
      <c r="I812" s="94"/>
      <c r="J812" s="94"/>
      <c r="K812" s="93"/>
      <c r="L812" s="86"/>
      <c r="M812" s="86"/>
      <c r="N812" s="86"/>
      <c r="O812" s="86"/>
      <c r="P812" s="86"/>
      <c r="Q812" s="85"/>
      <c r="S812" s="85"/>
      <c r="T812" s="85"/>
      <c r="U812" s="85"/>
      <c r="V812" s="85"/>
      <c r="W812" s="85"/>
      <c r="X812" s="85"/>
    </row>
    <row r="813" spans="2:24" s="58" customFormat="1" ht="12" x14ac:dyDescent="0.2">
      <c r="B813" s="91"/>
      <c r="E813" s="92"/>
      <c r="F813" s="93"/>
      <c r="G813" s="94"/>
      <c r="H813" s="94"/>
      <c r="I813" s="94"/>
      <c r="J813" s="94"/>
      <c r="K813" s="93"/>
      <c r="L813" s="86"/>
      <c r="M813" s="86"/>
      <c r="N813" s="86"/>
      <c r="O813" s="86"/>
      <c r="P813" s="86"/>
      <c r="Q813" s="85"/>
      <c r="S813" s="85"/>
      <c r="T813" s="85"/>
      <c r="U813" s="85"/>
      <c r="V813" s="85"/>
      <c r="W813" s="85"/>
      <c r="X813" s="85"/>
    </row>
    <row r="814" spans="2:24" s="58" customFormat="1" ht="12" x14ac:dyDescent="0.2">
      <c r="B814" s="91"/>
      <c r="E814" s="92"/>
      <c r="F814" s="93"/>
      <c r="G814" s="94"/>
      <c r="H814" s="94"/>
      <c r="I814" s="94"/>
      <c r="J814" s="94"/>
      <c r="K814" s="93"/>
      <c r="L814" s="86"/>
      <c r="M814" s="86"/>
      <c r="N814" s="86"/>
      <c r="O814" s="86"/>
      <c r="P814" s="86"/>
      <c r="Q814" s="85"/>
      <c r="S814" s="85"/>
      <c r="T814" s="85"/>
      <c r="U814" s="85"/>
      <c r="V814" s="85"/>
      <c r="W814" s="85"/>
      <c r="X814" s="85"/>
    </row>
    <row r="815" spans="2:24" s="58" customFormat="1" ht="12" x14ac:dyDescent="0.2">
      <c r="B815" s="91"/>
      <c r="E815" s="92"/>
      <c r="F815" s="93"/>
      <c r="G815" s="94"/>
      <c r="H815" s="94"/>
      <c r="I815" s="94"/>
      <c r="J815" s="94"/>
      <c r="K815" s="93"/>
      <c r="L815" s="86"/>
      <c r="M815" s="86"/>
      <c r="N815" s="86"/>
      <c r="O815" s="86"/>
      <c r="P815" s="86"/>
      <c r="Q815" s="85"/>
      <c r="S815" s="85"/>
      <c r="T815" s="85"/>
      <c r="U815" s="85"/>
      <c r="V815" s="85"/>
      <c r="W815" s="85"/>
      <c r="X815" s="85"/>
    </row>
    <row r="816" spans="2:24" s="58" customFormat="1" ht="12" x14ac:dyDescent="0.2">
      <c r="B816" s="91"/>
      <c r="E816" s="92"/>
      <c r="F816" s="93"/>
      <c r="G816" s="94"/>
      <c r="H816" s="94"/>
      <c r="I816" s="94"/>
      <c r="J816" s="94"/>
      <c r="K816" s="93"/>
      <c r="L816" s="86"/>
      <c r="M816" s="86"/>
      <c r="N816" s="86"/>
      <c r="O816" s="86"/>
      <c r="P816" s="86"/>
      <c r="Q816" s="85"/>
      <c r="S816" s="85"/>
      <c r="T816" s="85"/>
      <c r="U816" s="85"/>
      <c r="V816" s="85"/>
      <c r="W816" s="85"/>
      <c r="X816" s="85"/>
    </row>
    <row r="817" spans="2:24" s="58" customFormat="1" ht="12" x14ac:dyDescent="0.2">
      <c r="B817" s="91"/>
      <c r="E817" s="92"/>
      <c r="F817" s="93"/>
      <c r="G817" s="94"/>
      <c r="H817" s="94"/>
      <c r="I817" s="94"/>
      <c r="J817" s="94"/>
      <c r="K817" s="93"/>
      <c r="L817" s="86"/>
      <c r="M817" s="86"/>
      <c r="N817" s="86"/>
      <c r="O817" s="86"/>
      <c r="P817" s="86"/>
      <c r="Q817" s="85"/>
      <c r="S817" s="85"/>
      <c r="T817" s="85"/>
      <c r="U817" s="85"/>
      <c r="V817" s="85"/>
      <c r="W817" s="85"/>
      <c r="X817" s="85"/>
    </row>
    <row r="818" spans="2:24" s="58" customFormat="1" ht="12" x14ac:dyDescent="0.2">
      <c r="B818" s="91"/>
      <c r="E818" s="92"/>
      <c r="F818" s="93"/>
      <c r="G818" s="94"/>
      <c r="H818" s="94"/>
      <c r="I818" s="94"/>
      <c r="J818" s="94"/>
      <c r="K818" s="93"/>
      <c r="L818" s="86"/>
      <c r="M818" s="86"/>
      <c r="N818" s="86"/>
      <c r="O818" s="86"/>
      <c r="P818" s="86"/>
      <c r="Q818" s="85"/>
      <c r="S818" s="85"/>
      <c r="T818" s="85"/>
      <c r="U818" s="85"/>
      <c r="V818" s="85"/>
      <c r="W818" s="85"/>
      <c r="X818" s="85"/>
    </row>
    <row r="819" spans="2:24" s="58" customFormat="1" ht="12" x14ac:dyDescent="0.2">
      <c r="B819" s="91"/>
      <c r="E819" s="92"/>
      <c r="F819" s="93"/>
      <c r="G819" s="94"/>
      <c r="H819" s="94"/>
      <c r="I819" s="94"/>
      <c r="J819" s="94"/>
      <c r="K819" s="93"/>
      <c r="L819" s="86"/>
      <c r="M819" s="86"/>
      <c r="N819" s="86"/>
      <c r="O819" s="86"/>
      <c r="P819" s="86"/>
      <c r="Q819" s="85"/>
      <c r="S819" s="85"/>
      <c r="T819" s="85"/>
      <c r="U819" s="85"/>
      <c r="V819" s="85"/>
      <c r="W819" s="85"/>
      <c r="X819" s="85"/>
    </row>
    <row r="820" spans="2:24" s="58" customFormat="1" ht="12" x14ac:dyDescent="0.2">
      <c r="B820" s="91"/>
      <c r="E820" s="92"/>
      <c r="F820" s="93"/>
      <c r="G820" s="94"/>
      <c r="H820" s="94"/>
      <c r="I820" s="94"/>
      <c r="J820" s="94"/>
      <c r="K820" s="93"/>
      <c r="L820" s="86"/>
      <c r="M820" s="86"/>
      <c r="N820" s="86"/>
      <c r="O820" s="86"/>
      <c r="P820" s="86"/>
      <c r="Q820" s="85"/>
      <c r="S820" s="85"/>
      <c r="T820" s="85"/>
      <c r="U820" s="85"/>
      <c r="V820" s="85"/>
      <c r="W820" s="85"/>
      <c r="X820" s="85"/>
    </row>
    <row r="821" spans="2:24" s="58" customFormat="1" ht="12" x14ac:dyDescent="0.2">
      <c r="B821" s="91"/>
      <c r="E821" s="92"/>
      <c r="F821" s="93"/>
      <c r="G821" s="94"/>
      <c r="H821" s="94"/>
      <c r="I821" s="94"/>
      <c r="J821" s="94"/>
      <c r="K821" s="93"/>
      <c r="L821" s="86"/>
      <c r="M821" s="86"/>
      <c r="N821" s="86"/>
      <c r="O821" s="86"/>
      <c r="P821" s="86"/>
      <c r="Q821" s="85"/>
      <c r="S821" s="85"/>
      <c r="T821" s="85"/>
      <c r="U821" s="85"/>
      <c r="V821" s="85"/>
      <c r="W821" s="85"/>
      <c r="X821" s="85"/>
    </row>
    <row r="822" spans="2:24" s="58" customFormat="1" ht="12" x14ac:dyDescent="0.2">
      <c r="B822" s="91"/>
      <c r="E822" s="92"/>
      <c r="F822" s="93"/>
      <c r="G822" s="94"/>
      <c r="H822" s="94"/>
      <c r="I822" s="94"/>
      <c r="J822" s="94"/>
      <c r="K822" s="93"/>
      <c r="L822" s="86"/>
      <c r="M822" s="86"/>
      <c r="N822" s="86"/>
      <c r="O822" s="86"/>
      <c r="P822" s="86"/>
      <c r="Q822" s="85"/>
      <c r="S822" s="85"/>
      <c r="T822" s="85"/>
      <c r="U822" s="85"/>
      <c r="V822" s="85"/>
      <c r="W822" s="85"/>
      <c r="X822" s="85"/>
    </row>
    <row r="823" spans="2:24" s="58" customFormat="1" ht="12" x14ac:dyDescent="0.2">
      <c r="B823" s="91"/>
      <c r="E823" s="92"/>
      <c r="F823" s="93"/>
      <c r="G823" s="94"/>
      <c r="H823" s="94"/>
      <c r="I823" s="94"/>
      <c r="J823" s="94"/>
      <c r="K823" s="93"/>
      <c r="L823" s="86"/>
      <c r="M823" s="86"/>
      <c r="N823" s="86"/>
      <c r="O823" s="86"/>
      <c r="P823" s="86"/>
      <c r="Q823" s="85"/>
      <c r="S823" s="85"/>
      <c r="T823" s="85"/>
      <c r="U823" s="85"/>
      <c r="V823" s="85"/>
      <c r="W823" s="85"/>
      <c r="X823" s="85"/>
    </row>
    <row r="824" spans="2:24" s="58" customFormat="1" ht="12" x14ac:dyDescent="0.2">
      <c r="B824" s="91"/>
      <c r="E824" s="92"/>
      <c r="F824" s="93"/>
      <c r="G824" s="94"/>
      <c r="H824" s="94"/>
      <c r="I824" s="94"/>
      <c r="J824" s="94"/>
      <c r="K824" s="93"/>
      <c r="L824" s="86"/>
      <c r="M824" s="86"/>
      <c r="N824" s="86"/>
      <c r="O824" s="86"/>
      <c r="P824" s="86"/>
      <c r="Q824" s="85"/>
      <c r="S824" s="85"/>
      <c r="T824" s="85"/>
      <c r="U824" s="85"/>
      <c r="V824" s="85"/>
      <c r="W824" s="85"/>
      <c r="X824" s="85"/>
    </row>
    <row r="825" spans="2:24" s="58" customFormat="1" ht="12" x14ac:dyDescent="0.2">
      <c r="B825" s="91"/>
      <c r="E825" s="92"/>
      <c r="F825" s="93"/>
      <c r="G825" s="94"/>
      <c r="H825" s="94"/>
      <c r="I825" s="94"/>
      <c r="J825" s="94"/>
      <c r="K825" s="93"/>
      <c r="L825" s="86"/>
      <c r="M825" s="86"/>
      <c r="N825" s="86"/>
      <c r="O825" s="86"/>
      <c r="P825" s="86"/>
      <c r="Q825" s="85"/>
      <c r="S825" s="85"/>
      <c r="T825" s="85"/>
      <c r="U825" s="85"/>
      <c r="V825" s="85"/>
      <c r="W825" s="85"/>
      <c r="X825" s="85"/>
    </row>
    <row r="826" spans="2:24" s="58" customFormat="1" ht="12" x14ac:dyDescent="0.2">
      <c r="B826" s="91"/>
      <c r="E826" s="92"/>
      <c r="F826" s="93"/>
      <c r="G826" s="94"/>
      <c r="H826" s="94"/>
      <c r="I826" s="94"/>
      <c r="J826" s="94"/>
      <c r="K826" s="93"/>
      <c r="L826" s="86"/>
      <c r="M826" s="86"/>
      <c r="N826" s="86"/>
      <c r="O826" s="86"/>
      <c r="P826" s="86"/>
      <c r="Q826" s="85"/>
      <c r="S826" s="85"/>
      <c r="T826" s="85"/>
      <c r="U826" s="85"/>
      <c r="V826" s="85"/>
      <c r="W826" s="85"/>
      <c r="X826" s="85"/>
    </row>
    <row r="827" spans="2:24" s="58" customFormat="1" ht="12" x14ac:dyDescent="0.2">
      <c r="B827" s="91"/>
      <c r="E827" s="92"/>
      <c r="F827" s="93"/>
      <c r="G827" s="94"/>
      <c r="H827" s="94"/>
      <c r="I827" s="94"/>
      <c r="J827" s="94"/>
      <c r="K827" s="93"/>
      <c r="L827" s="86"/>
      <c r="M827" s="86"/>
      <c r="N827" s="86"/>
      <c r="O827" s="86"/>
      <c r="P827" s="86"/>
      <c r="Q827" s="85"/>
      <c r="S827" s="85"/>
      <c r="T827" s="85"/>
      <c r="U827" s="85"/>
      <c r="V827" s="85"/>
      <c r="W827" s="85"/>
      <c r="X827" s="85"/>
    </row>
    <row r="828" spans="2:24" s="58" customFormat="1" ht="12" x14ac:dyDescent="0.2">
      <c r="B828" s="91"/>
      <c r="E828" s="92"/>
      <c r="F828" s="93"/>
      <c r="G828" s="94"/>
      <c r="H828" s="94"/>
      <c r="I828" s="94"/>
      <c r="J828" s="94"/>
      <c r="K828" s="93"/>
      <c r="L828" s="86"/>
      <c r="M828" s="86"/>
      <c r="N828" s="86"/>
      <c r="O828" s="86"/>
      <c r="P828" s="86"/>
      <c r="Q828" s="85"/>
      <c r="S828" s="85"/>
      <c r="T828" s="85"/>
      <c r="U828" s="85"/>
      <c r="V828" s="85"/>
      <c r="W828" s="85"/>
      <c r="X828" s="85"/>
    </row>
    <row r="829" spans="2:24" s="58" customFormat="1" ht="12" x14ac:dyDescent="0.2">
      <c r="B829" s="91"/>
      <c r="E829" s="92"/>
      <c r="F829" s="93"/>
      <c r="G829" s="94"/>
      <c r="H829" s="94"/>
      <c r="I829" s="94"/>
      <c r="J829" s="94"/>
      <c r="K829" s="93"/>
      <c r="L829" s="86"/>
      <c r="M829" s="86"/>
      <c r="N829" s="86"/>
      <c r="O829" s="86"/>
      <c r="P829" s="86"/>
      <c r="Q829" s="85"/>
      <c r="S829" s="85"/>
      <c r="T829" s="85"/>
      <c r="U829" s="85"/>
      <c r="V829" s="85"/>
      <c r="W829" s="85"/>
      <c r="X829" s="85"/>
    </row>
    <row r="830" spans="2:24" s="58" customFormat="1" ht="12" x14ac:dyDescent="0.2">
      <c r="B830" s="91"/>
      <c r="E830" s="92"/>
      <c r="F830" s="93"/>
      <c r="G830" s="94"/>
      <c r="H830" s="94"/>
      <c r="I830" s="94"/>
      <c r="J830" s="94"/>
      <c r="K830" s="93"/>
      <c r="L830" s="86"/>
      <c r="M830" s="86"/>
      <c r="N830" s="86"/>
      <c r="O830" s="86"/>
      <c r="P830" s="86"/>
      <c r="Q830" s="85"/>
      <c r="S830" s="85"/>
      <c r="T830" s="85"/>
      <c r="U830" s="85"/>
      <c r="V830" s="85"/>
      <c r="W830" s="85"/>
      <c r="X830" s="85"/>
    </row>
    <row r="831" spans="2:24" s="58" customFormat="1" ht="12" x14ac:dyDescent="0.2">
      <c r="B831" s="91"/>
      <c r="E831" s="92"/>
      <c r="F831" s="93"/>
      <c r="G831" s="94"/>
      <c r="H831" s="94"/>
      <c r="I831" s="94"/>
      <c r="J831" s="94"/>
      <c r="K831" s="93"/>
      <c r="L831" s="86"/>
      <c r="M831" s="86"/>
      <c r="N831" s="86"/>
      <c r="O831" s="86"/>
      <c r="P831" s="86"/>
      <c r="Q831" s="85"/>
      <c r="S831" s="85"/>
      <c r="T831" s="85"/>
      <c r="U831" s="85"/>
      <c r="V831" s="85"/>
      <c r="W831" s="85"/>
      <c r="X831" s="85"/>
    </row>
    <row r="832" spans="2:24" s="58" customFormat="1" ht="12" x14ac:dyDescent="0.2">
      <c r="B832" s="91"/>
      <c r="E832" s="92"/>
      <c r="F832" s="93"/>
      <c r="G832" s="94"/>
      <c r="H832" s="94"/>
      <c r="I832" s="94"/>
      <c r="J832" s="94"/>
      <c r="K832" s="93"/>
      <c r="L832" s="86"/>
      <c r="M832" s="86"/>
      <c r="N832" s="86"/>
      <c r="O832" s="86"/>
      <c r="P832" s="86"/>
      <c r="Q832" s="85"/>
      <c r="S832" s="85"/>
      <c r="T832" s="85"/>
      <c r="U832" s="85"/>
      <c r="V832" s="85"/>
      <c r="W832" s="85"/>
      <c r="X832" s="85"/>
    </row>
    <row r="833" spans="2:24" s="58" customFormat="1" ht="12" x14ac:dyDescent="0.2">
      <c r="B833" s="91"/>
      <c r="E833" s="92"/>
      <c r="F833" s="93"/>
      <c r="G833" s="94"/>
      <c r="H833" s="94"/>
      <c r="I833" s="94"/>
      <c r="J833" s="94"/>
      <c r="K833" s="93"/>
      <c r="L833" s="86"/>
      <c r="M833" s="86"/>
      <c r="N833" s="86"/>
      <c r="O833" s="86"/>
      <c r="P833" s="86"/>
      <c r="Q833" s="85"/>
      <c r="S833" s="85"/>
      <c r="T833" s="85"/>
      <c r="U833" s="85"/>
      <c r="V833" s="85"/>
      <c r="W833" s="85"/>
      <c r="X833" s="85"/>
    </row>
    <row r="834" spans="2:24" s="58" customFormat="1" ht="12" x14ac:dyDescent="0.2">
      <c r="B834" s="91"/>
      <c r="E834" s="92"/>
      <c r="F834" s="93"/>
      <c r="G834" s="94"/>
      <c r="H834" s="94"/>
      <c r="I834" s="94"/>
      <c r="J834" s="94"/>
      <c r="K834" s="93"/>
      <c r="L834" s="86"/>
      <c r="M834" s="86"/>
      <c r="N834" s="86"/>
      <c r="O834" s="86"/>
      <c r="P834" s="86"/>
      <c r="Q834" s="85"/>
      <c r="S834" s="85"/>
      <c r="T834" s="85"/>
      <c r="U834" s="85"/>
      <c r="V834" s="85"/>
      <c r="W834" s="85"/>
      <c r="X834" s="85"/>
    </row>
    <row r="835" spans="2:24" s="58" customFormat="1" ht="12" x14ac:dyDescent="0.2">
      <c r="B835" s="91"/>
      <c r="E835" s="92"/>
      <c r="F835" s="93"/>
      <c r="G835" s="94"/>
      <c r="H835" s="94"/>
      <c r="I835" s="94"/>
      <c r="J835" s="94"/>
      <c r="K835" s="93"/>
      <c r="L835" s="86"/>
      <c r="M835" s="86"/>
      <c r="N835" s="86"/>
      <c r="O835" s="86"/>
      <c r="P835" s="86"/>
      <c r="Q835" s="85"/>
      <c r="S835" s="85"/>
      <c r="T835" s="85"/>
      <c r="U835" s="85"/>
      <c r="V835" s="85"/>
      <c r="W835" s="85"/>
      <c r="X835" s="85"/>
    </row>
    <row r="836" spans="2:24" s="58" customFormat="1" ht="12" x14ac:dyDescent="0.2">
      <c r="B836" s="91"/>
      <c r="E836" s="92"/>
      <c r="F836" s="93"/>
      <c r="G836" s="94"/>
      <c r="H836" s="94"/>
      <c r="I836" s="94"/>
      <c r="J836" s="94"/>
      <c r="K836" s="93"/>
      <c r="L836" s="86"/>
      <c r="M836" s="86"/>
      <c r="N836" s="86"/>
      <c r="O836" s="86"/>
      <c r="P836" s="86"/>
      <c r="Q836" s="85"/>
      <c r="S836" s="85"/>
      <c r="T836" s="85"/>
      <c r="U836" s="85"/>
      <c r="V836" s="85"/>
      <c r="W836" s="85"/>
      <c r="X836" s="85"/>
    </row>
    <row r="837" spans="2:24" s="58" customFormat="1" ht="12" x14ac:dyDescent="0.2">
      <c r="B837" s="91"/>
      <c r="E837" s="92"/>
      <c r="F837" s="93"/>
      <c r="G837" s="94"/>
      <c r="H837" s="94"/>
      <c r="I837" s="94"/>
      <c r="J837" s="94"/>
      <c r="K837" s="93"/>
      <c r="L837" s="86"/>
      <c r="M837" s="86"/>
      <c r="N837" s="86"/>
      <c r="O837" s="86"/>
      <c r="P837" s="86"/>
      <c r="Q837" s="85"/>
      <c r="S837" s="85"/>
      <c r="T837" s="85"/>
      <c r="U837" s="85"/>
      <c r="V837" s="85"/>
      <c r="W837" s="85"/>
      <c r="X837" s="85"/>
    </row>
    <row r="838" spans="2:24" s="58" customFormat="1" ht="12" x14ac:dyDescent="0.2">
      <c r="B838" s="91"/>
      <c r="E838" s="92"/>
      <c r="F838" s="93"/>
      <c r="G838" s="94"/>
      <c r="H838" s="94"/>
      <c r="I838" s="94"/>
      <c r="J838" s="94"/>
      <c r="K838" s="93"/>
      <c r="L838" s="86"/>
      <c r="M838" s="86"/>
      <c r="N838" s="86"/>
      <c r="O838" s="86"/>
      <c r="P838" s="86"/>
      <c r="Q838" s="85"/>
      <c r="S838" s="85"/>
      <c r="T838" s="85"/>
      <c r="U838" s="85"/>
      <c r="V838" s="85"/>
      <c r="W838" s="85"/>
      <c r="X838" s="85"/>
    </row>
    <row r="839" spans="2:24" s="58" customFormat="1" ht="12" x14ac:dyDescent="0.2">
      <c r="B839" s="91"/>
      <c r="E839" s="92"/>
      <c r="F839" s="93"/>
      <c r="G839" s="94"/>
      <c r="H839" s="94"/>
      <c r="I839" s="94"/>
      <c r="J839" s="94"/>
      <c r="K839" s="93"/>
      <c r="L839" s="86"/>
      <c r="M839" s="86"/>
      <c r="N839" s="86"/>
      <c r="O839" s="86"/>
      <c r="P839" s="86"/>
      <c r="Q839" s="85"/>
      <c r="S839" s="85"/>
      <c r="T839" s="85"/>
      <c r="U839" s="85"/>
      <c r="V839" s="85"/>
      <c r="W839" s="85"/>
      <c r="X839" s="85"/>
    </row>
    <row r="840" spans="2:24" s="58" customFormat="1" ht="12" x14ac:dyDescent="0.2">
      <c r="B840" s="91"/>
      <c r="E840" s="92"/>
      <c r="F840" s="93"/>
      <c r="G840" s="94"/>
      <c r="H840" s="94"/>
      <c r="I840" s="94"/>
      <c r="J840" s="94"/>
      <c r="K840" s="93"/>
      <c r="L840" s="86"/>
      <c r="M840" s="86"/>
      <c r="N840" s="86"/>
      <c r="O840" s="86"/>
      <c r="P840" s="86"/>
      <c r="Q840" s="85"/>
      <c r="S840" s="85"/>
      <c r="T840" s="85"/>
      <c r="U840" s="85"/>
      <c r="V840" s="85"/>
      <c r="W840" s="85"/>
      <c r="X840" s="85"/>
    </row>
    <row r="841" spans="2:24" s="58" customFormat="1" ht="12" x14ac:dyDescent="0.2">
      <c r="B841" s="91"/>
      <c r="E841" s="92"/>
      <c r="F841" s="93"/>
      <c r="G841" s="94"/>
      <c r="H841" s="94"/>
      <c r="I841" s="94"/>
      <c r="J841" s="94"/>
      <c r="K841" s="93"/>
      <c r="L841" s="86"/>
      <c r="M841" s="86"/>
      <c r="N841" s="86"/>
      <c r="O841" s="86"/>
      <c r="P841" s="86"/>
      <c r="Q841" s="85"/>
      <c r="S841" s="85"/>
      <c r="T841" s="85"/>
      <c r="U841" s="85"/>
      <c r="V841" s="85"/>
      <c r="W841" s="85"/>
      <c r="X841" s="85"/>
    </row>
    <row r="842" spans="2:24" s="58" customFormat="1" ht="12" x14ac:dyDescent="0.2">
      <c r="B842" s="91"/>
      <c r="E842" s="92"/>
      <c r="F842" s="93"/>
      <c r="G842" s="94"/>
      <c r="H842" s="94"/>
      <c r="I842" s="94"/>
      <c r="J842" s="94"/>
      <c r="K842" s="93"/>
      <c r="L842" s="86"/>
      <c r="M842" s="86"/>
      <c r="N842" s="86"/>
      <c r="O842" s="86"/>
      <c r="P842" s="86"/>
      <c r="Q842" s="85"/>
      <c r="S842" s="85"/>
      <c r="T842" s="85"/>
      <c r="U842" s="85"/>
      <c r="V842" s="85"/>
      <c r="W842" s="85"/>
      <c r="X842" s="85"/>
    </row>
    <row r="843" spans="2:24" s="58" customFormat="1" ht="12" x14ac:dyDescent="0.2">
      <c r="B843" s="91"/>
      <c r="E843" s="92"/>
      <c r="F843" s="93"/>
      <c r="G843" s="94"/>
      <c r="H843" s="94"/>
      <c r="I843" s="94"/>
      <c r="J843" s="94"/>
      <c r="K843" s="93"/>
      <c r="L843" s="86"/>
      <c r="M843" s="86"/>
      <c r="N843" s="86"/>
      <c r="O843" s="86"/>
      <c r="P843" s="86"/>
      <c r="Q843" s="85"/>
      <c r="S843" s="85"/>
      <c r="T843" s="85"/>
      <c r="U843" s="85"/>
      <c r="V843" s="85"/>
      <c r="W843" s="85"/>
      <c r="X843" s="85"/>
    </row>
    <row r="844" spans="2:24" s="58" customFormat="1" ht="12" x14ac:dyDescent="0.2">
      <c r="B844" s="91"/>
      <c r="E844" s="92"/>
      <c r="F844" s="93"/>
      <c r="G844" s="94"/>
      <c r="H844" s="94"/>
      <c r="I844" s="94"/>
      <c r="J844" s="94"/>
      <c r="K844" s="93"/>
      <c r="L844" s="86"/>
      <c r="M844" s="86"/>
      <c r="N844" s="86"/>
      <c r="O844" s="86"/>
      <c r="P844" s="86"/>
      <c r="Q844" s="85"/>
      <c r="S844" s="85"/>
      <c r="T844" s="85"/>
      <c r="U844" s="85"/>
      <c r="V844" s="85"/>
      <c r="W844" s="85"/>
      <c r="X844" s="85"/>
    </row>
    <row r="845" spans="2:24" s="58" customFormat="1" ht="12" x14ac:dyDescent="0.2">
      <c r="B845" s="91"/>
      <c r="E845" s="92"/>
      <c r="F845" s="93"/>
      <c r="G845" s="94"/>
      <c r="H845" s="94"/>
      <c r="I845" s="94"/>
      <c r="J845" s="94"/>
      <c r="K845" s="93"/>
      <c r="L845" s="86"/>
      <c r="M845" s="86"/>
      <c r="N845" s="86"/>
      <c r="O845" s="86"/>
      <c r="P845" s="86"/>
      <c r="Q845" s="85"/>
      <c r="S845" s="85"/>
      <c r="T845" s="85"/>
      <c r="U845" s="85"/>
      <c r="V845" s="85"/>
      <c r="W845" s="85"/>
      <c r="X845" s="85"/>
    </row>
    <row r="846" spans="2:24" s="58" customFormat="1" ht="12" x14ac:dyDescent="0.2">
      <c r="B846" s="91"/>
      <c r="E846" s="92"/>
      <c r="F846" s="93"/>
      <c r="G846" s="94"/>
      <c r="H846" s="94"/>
      <c r="I846" s="94"/>
      <c r="J846" s="94"/>
      <c r="K846" s="93"/>
      <c r="L846" s="86"/>
      <c r="M846" s="86"/>
      <c r="N846" s="86"/>
      <c r="O846" s="86"/>
      <c r="P846" s="86"/>
      <c r="Q846" s="85"/>
      <c r="S846" s="85"/>
      <c r="T846" s="85"/>
      <c r="U846" s="85"/>
      <c r="V846" s="85"/>
      <c r="W846" s="85"/>
      <c r="X846" s="85"/>
    </row>
    <row r="847" spans="2:24" s="58" customFormat="1" ht="12" x14ac:dyDescent="0.2">
      <c r="B847" s="91"/>
      <c r="E847" s="92"/>
      <c r="F847" s="93"/>
      <c r="G847" s="94"/>
      <c r="H847" s="94"/>
      <c r="I847" s="94"/>
      <c r="J847" s="94"/>
      <c r="K847" s="93"/>
      <c r="L847" s="86"/>
      <c r="M847" s="86"/>
      <c r="N847" s="86"/>
      <c r="O847" s="86"/>
      <c r="P847" s="86"/>
      <c r="Q847" s="85"/>
      <c r="S847" s="85"/>
      <c r="T847" s="85"/>
      <c r="U847" s="85"/>
      <c r="V847" s="85"/>
      <c r="W847" s="85"/>
      <c r="X847" s="85"/>
    </row>
    <row r="848" spans="2:24" s="58" customFormat="1" ht="12" x14ac:dyDescent="0.2">
      <c r="B848" s="91"/>
      <c r="E848" s="92"/>
      <c r="F848" s="93"/>
      <c r="G848" s="94"/>
      <c r="H848" s="94"/>
      <c r="I848" s="94"/>
      <c r="J848" s="94"/>
      <c r="K848" s="93"/>
      <c r="L848" s="86"/>
      <c r="M848" s="86"/>
      <c r="N848" s="86"/>
      <c r="O848" s="86"/>
      <c r="P848" s="86"/>
      <c r="Q848" s="85"/>
      <c r="S848" s="85"/>
      <c r="T848" s="85"/>
      <c r="U848" s="85"/>
      <c r="V848" s="85"/>
      <c r="W848" s="85"/>
      <c r="X848" s="85"/>
    </row>
    <row r="849" spans="2:24" s="58" customFormat="1" ht="12" x14ac:dyDescent="0.2">
      <c r="B849" s="91"/>
      <c r="E849" s="92"/>
      <c r="F849" s="93"/>
      <c r="G849" s="94"/>
      <c r="H849" s="94"/>
      <c r="I849" s="94"/>
      <c r="J849" s="94"/>
      <c r="K849" s="93"/>
      <c r="L849" s="86"/>
      <c r="M849" s="86"/>
      <c r="N849" s="86"/>
      <c r="O849" s="86"/>
      <c r="P849" s="86"/>
      <c r="Q849" s="85"/>
      <c r="S849" s="85"/>
      <c r="T849" s="85"/>
      <c r="U849" s="85"/>
      <c r="V849" s="85"/>
      <c r="W849" s="85"/>
      <c r="X849" s="85"/>
    </row>
    <row r="850" spans="2:24" s="58" customFormat="1" ht="12" x14ac:dyDescent="0.2">
      <c r="B850" s="91"/>
      <c r="E850" s="92"/>
      <c r="F850" s="93"/>
      <c r="G850" s="94"/>
      <c r="H850" s="94"/>
      <c r="I850" s="94"/>
      <c r="J850" s="94"/>
      <c r="K850" s="93"/>
      <c r="L850" s="86"/>
      <c r="M850" s="86"/>
      <c r="N850" s="86"/>
      <c r="O850" s="86"/>
      <c r="P850" s="86"/>
      <c r="Q850" s="85"/>
      <c r="S850" s="85"/>
      <c r="T850" s="85"/>
      <c r="U850" s="85"/>
      <c r="V850" s="85"/>
      <c r="W850" s="85"/>
      <c r="X850" s="85"/>
    </row>
    <row r="851" spans="2:24" s="58" customFormat="1" ht="12" x14ac:dyDescent="0.2">
      <c r="B851" s="91"/>
      <c r="E851" s="92"/>
      <c r="F851" s="93"/>
      <c r="G851" s="94"/>
      <c r="H851" s="94"/>
      <c r="I851" s="94"/>
      <c r="J851" s="94"/>
      <c r="K851" s="93"/>
      <c r="L851" s="86"/>
      <c r="M851" s="86"/>
      <c r="N851" s="86"/>
      <c r="O851" s="86"/>
      <c r="P851" s="86"/>
      <c r="Q851" s="85"/>
      <c r="S851" s="85"/>
      <c r="T851" s="85"/>
      <c r="U851" s="85"/>
      <c r="V851" s="85"/>
      <c r="W851" s="85"/>
      <c r="X851" s="85"/>
    </row>
    <row r="852" spans="2:24" s="58" customFormat="1" ht="12" x14ac:dyDescent="0.2">
      <c r="B852" s="91"/>
      <c r="E852" s="92"/>
      <c r="F852" s="93"/>
      <c r="G852" s="94"/>
      <c r="H852" s="94"/>
      <c r="I852" s="94"/>
      <c r="J852" s="94"/>
      <c r="K852" s="93"/>
      <c r="L852" s="86"/>
      <c r="M852" s="86"/>
      <c r="N852" s="86"/>
      <c r="O852" s="86"/>
      <c r="P852" s="86"/>
      <c r="Q852" s="85"/>
      <c r="S852" s="85"/>
      <c r="T852" s="85"/>
      <c r="U852" s="85"/>
      <c r="V852" s="85"/>
      <c r="W852" s="85"/>
      <c r="X852" s="85"/>
    </row>
    <row r="853" spans="2:24" s="58" customFormat="1" ht="12" x14ac:dyDescent="0.2">
      <c r="B853" s="91"/>
      <c r="E853" s="92"/>
      <c r="F853" s="93"/>
      <c r="G853" s="94"/>
      <c r="H853" s="94"/>
      <c r="I853" s="94"/>
      <c r="J853" s="94"/>
      <c r="K853" s="93"/>
      <c r="L853" s="86"/>
      <c r="M853" s="86"/>
      <c r="N853" s="86"/>
      <c r="O853" s="86"/>
      <c r="P853" s="86"/>
      <c r="Q853" s="85"/>
      <c r="S853" s="85"/>
      <c r="T853" s="85"/>
      <c r="U853" s="85"/>
      <c r="V853" s="85"/>
      <c r="W853" s="85"/>
      <c r="X853" s="85"/>
    </row>
    <row r="854" spans="2:24" s="58" customFormat="1" ht="12" x14ac:dyDescent="0.2">
      <c r="B854" s="91"/>
      <c r="E854" s="92"/>
      <c r="F854" s="93"/>
      <c r="G854" s="94"/>
      <c r="H854" s="94"/>
      <c r="I854" s="94"/>
      <c r="J854" s="94"/>
      <c r="K854" s="93"/>
      <c r="L854" s="86"/>
      <c r="M854" s="86"/>
      <c r="N854" s="86"/>
      <c r="O854" s="86"/>
      <c r="P854" s="86"/>
      <c r="Q854" s="85"/>
      <c r="S854" s="85"/>
      <c r="T854" s="85"/>
      <c r="U854" s="85"/>
      <c r="V854" s="85"/>
      <c r="W854" s="85"/>
      <c r="X854" s="85"/>
    </row>
    <row r="855" spans="2:24" s="58" customFormat="1" ht="12" x14ac:dyDescent="0.2">
      <c r="B855" s="91"/>
      <c r="E855" s="92"/>
      <c r="F855" s="93"/>
      <c r="G855" s="94"/>
      <c r="H855" s="94"/>
      <c r="I855" s="94"/>
      <c r="J855" s="94"/>
      <c r="K855" s="93"/>
      <c r="L855" s="86"/>
      <c r="M855" s="86"/>
      <c r="N855" s="86"/>
      <c r="O855" s="86"/>
      <c r="P855" s="86"/>
      <c r="Q855" s="85"/>
      <c r="S855" s="85"/>
      <c r="T855" s="85"/>
      <c r="U855" s="85"/>
      <c r="V855" s="85"/>
      <c r="W855" s="85"/>
      <c r="X855" s="85"/>
    </row>
    <row r="856" spans="2:24" s="58" customFormat="1" ht="12" x14ac:dyDescent="0.2">
      <c r="B856" s="91"/>
      <c r="E856" s="92"/>
      <c r="F856" s="93"/>
      <c r="G856" s="94"/>
      <c r="H856" s="94"/>
      <c r="I856" s="94"/>
      <c r="J856" s="94"/>
      <c r="K856" s="93"/>
      <c r="L856" s="86"/>
      <c r="M856" s="86"/>
      <c r="N856" s="86"/>
      <c r="O856" s="86"/>
      <c r="P856" s="86"/>
      <c r="Q856" s="85"/>
      <c r="S856" s="85"/>
      <c r="T856" s="85"/>
      <c r="U856" s="85"/>
      <c r="V856" s="85"/>
      <c r="W856" s="85"/>
      <c r="X856" s="85"/>
    </row>
    <row r="857" spans="2:24" s="58" customFormat="1" ht="12" x14ac:dyDescent="0.2">
      <c r="B857" s="91"/>
      <c r="E857" s="92"/>
      <c r="F857" s="93"/>
      <c r="G857" s="94"/>
      <c r="H857" s="94"/>
      <c r="I857" s="94"/>
      <c r="J857" s="94"/>
      <c r="K857" s="93"/>
      <c r="L857" s="86"/>
      <c r="M857" s="86"/>
      <c r="N857" s="86"/>
      <c r="O857" s="86"/>
      <c r="P857" s="86"/>
      <c r="Q857" s="85"/>
      <c r="S857" s="85"/>
      <c r="T857" s="85"/>
      <c r="U857" s="85"/>
      <c r="V857" s="85"/>
      <c r="W857" s="85"/>
      <c r="X857" s="85"/>
    </row>
    <row r="858" spans="2:24" s="58" customFormat="1" ht="12" x14ac:dyDescent="0.2">
      <c r="B858" s="91"/>
      <c r="E858" s="92"/>
      <c r="F858" s="93"/>
      <c r="G858" s="94"/>
      <c r="H858" s="94"/>
      <c r="I858" s="94"/>
      <c r="J858" s="94"/>
      <c r="K858" s="93"/>
      <c r="L858" s="86"/>
      <c r="M858" s="86"/>
      <c r="N858" s="86"/>
      <c r="O858" s="86"/>
      <c r="P858" s="86"/>
      <c r="Q858" s="85"/>
      <c r="S858" s="85"/>
      <c r="T858" s="85"/>
      <c r="U858" s="85"/>
      <c r="V858" s="85"/>
      <c r="W858" s="85"/>
      <c r="X858" s="85"/>
    </row>
    <row r="859" spans="2:24" s="58" customFormat="1" ht="12" x14ac:dyDescent="0.2">
      <c r="B859" s="91"/>
      <c r="E859" s="92"/>
      <c r="F859" s="93"/>
      <c r="G859" s="94"/>
      <c r="H859" s="94"/>
      <c r="I859" s="94"/>
      <c r="J859" s="94"/>
      <c r="K859" s="93"/>
      <c r="L859" s="86"/>
      <c r="M859" s="86"/>
      <c r="N859" s="86"/>
      <c r="O859" s="86"/>
      <c r="P859" s="86"/>
      <c r="Q859" s="85"/>
      <c r="S859" s="85"/>
      <c r="T859" s="85"/>
      <c r="U859" s="85"/>
      <c r="V859" s="85"/>
      <c r="W859" s="85"/>
      <c r="X859" s="85"/>
    </row>
    <row r="860" spans="2:24" s="58" customFormat="1" ht="12" x14ac:dyDescent="0.2">
      <c r="B860" s="91"/>
      <c r="E860" s="92"/>
      <c r="F860" s="93"/>
      <c r="G860" s="94"/>
      <c r="H860" s="94"/>
      <c r="I860" s="94"/>
      <c r="J860" s="94"/>
      <c r="K860" s="93"/>
      <c r="L860" s="86"/>
      <c r="M860" s="86"/>
      <c r="N860" s="86"/>
      <c r="O860" s="86"/>
      <c r="P860" s="86"/>
      <c r="Q860" s="85"/>
      <c r="S860" s="85"/>
      <c r="T860" s="85"/>
      <c r="U860" s="85"/>
      <c r="V860" s="85"/>
      <c r="W860" s="85"/>
      <c r="X860" s="85"/>
    </row>
    <row r="861" spans="2:24" s="58" customFormat="1" ht="12" x14ac:dyDescent="0.2">
      <c r="B861" s="91"/>
      <c r="E861" s="92"/>
      <c r="F861" s="93"/>
      <c r="G861" s="94"/>
      <c r="H861" s="94"/>
      <c r="I861" s="94"/>
      <c r="J861" s="94"/>
      <c r="K861" s="93"/>
      <c r="L861" s="86"/>
      <c r="M861" s="86"/>
      <c r="N861" s="86"/>
      <c r="O861" s="86"/>
      <c r="P861" s="86"/>
      <c r="Q861" s="85"/>
      <c r="S861" s="85"/>
      <c r="T861" s="85"/>
      <c r="U861" s="85"/>
      <c r="V861" s="85"/>
      <c r="W861" s="85"/>
      <c r="X861" s="85"/>
    </row>
    <row r="862" spans="2:24" s="58" customFormat="1" ht="12" x14ac:dyDescent="0.2">
      <c r="B862" s="91"/>
      <c r="E862" s="92"/>
      <c r="F862" s="93"/>
      <c r="G862" s="94"/>
      <c r="H862" s="94"/>
      <c r="I862" s="94"/>
      <c r="J862" s="94"/>
      <c r="K862" s="93"/>
      <c r="L862" s="86"/>
      <c r="M862" s="86"/>
      <c r="N862" s="86"/>
      <c r="O862" s="86"/>
      <c r="P862" s="86"/>
      <c r="Q862" s="85"/>
      <c r="S862" s="85"/>
      <c r="T862" s="85"/>
      <c r="U862" s="85"/>
      <c r="V862" s="85"/>
      <c r="W862" s="85"/>
      <c r="X862" s="85"/>
    </row>
    <row r="863" spans="2:24" s="58" customFormat="1" ht="12" x14ac:dyDescent="0.2">
      <c r="B863" s="91"/>
      <c r="E863" s="92"/>
      <c r="F863" s="93"/>
      <c r="G863" s="94"/>
      <c r="H863" s="94"/>
      <c r="I863" s="94"/>
      <c r="J863" s="94"/>
      <c r="K863" s="93"/>
      <c r="L863" s="86"/>
      <c r="M863" s="86"/>
      <c r="N863" s="86"/>
      <c r="O863" s="86"/>
      <c r="P863" s="86"/>
      <c r="Q863" s="85"/>
      <c r="S863" s="85"/>
      <c r="T863" s="85"/>
      <c r="U863" s="85"/>
      <c r="V863" s="85"/>
      <c r="W863" s="85"/>
      <c r="X863" s="85"/>
    </row>
    <row r="864" spans="2:24" s="58" customFormat="1" ht="12" x14ac:dyDescent="0.2">
      <c r="B864" s="91"/>
      <c r="E864" s="92"/>
      <c r="F864" s="93"/>
      <c r="G864" s="94"/>
      <c r="H864" s="94"/>
      <c r="I864" s="94"/>
      <c r="J864" s="94"/>
      <c r="K864" s="93"/>
      <c r="L864" s="86"/>
      <c r="M864" s="86"/>
      <c r="N864" s="86"/>
      <c r="O864" s="86"/>
      <c r="P864" s="86"/>
      <c r="Q864" s="85"/>
      <c r="S864" s="85"/>
      <c r="T864" s="85"/>
      <c r="U864" s="85"/>
      <c r="V864" s="85"/>
      <c r="W864" s="85"/>
      <c r="X864" s="85"/>
    </row>
    <row r="865" spans="2:24" s="58" customFormat="1" ht="12" x14ac:dyDescent="0.2">
      <c r="B865" s="91"/>
      <c r="E865" s="92"/>
      <c r="F865" s="93"/>
      <c r="G865" s="94"/>
      <c r="H865" s="94"/>
      <c r="I865" s="94"/>
      <c r="J865" s="94"/>
      <c r="K865" s="93"/>
      <c r="L865" s="86"/>
      <c r="M865" s="86"/>
      <c r="N865" s="86"/>
      <c r="O865" s="86"/>
      <c r="P865" s="86"/>
      <c r="Q865" s="85"/>
      <c r="S865" s="85"/>
      <c r="T865" s="85"/>
      <c r="U865" s="85"/>
      <c r="V865" s="85"/>
      <c r="W865" s="85"/>
      <c r="X865" s="85"/>
    </row>
    <row r="866" spans="2:24" s="58" customFormat="1" ht="12" x14ac:dyDescent="0.2">
      <c r="B866" s="91"/>
      <c r="E866" s="92"/>
      <c r="F866" s="93"/>
      <c r="G866" s="94"/>
      <c r="H866" s="94"/>
      <c r="I866" s="94"/>
      <c r="J866" s="94"/>
      <c r="K866" s="93"/>
      <c r="L866" s="86"/>
      <c r="M866" s="86"/>
      <c r="N866" s="86"/>
      <c r="O866" s="86"/>
      <c r="P866" s="86"/>
      <c r="Q866" s="85"/>
      <c r="S866" s="85"/>
      <c r="T866" s="85"/>
      <c r="U866" s="85"/>
      <c r="V866" s="85"/>
      <c r="W866" s="85"/>
      <c r="X866" s="85"/>
    </row>
    <row r="867" spans="2:24" s="58" customFormat="1" ht="12" x14ac:dyDescent="0.2">
      <c r="B867" s="91"/>
      <c r="E867" s="92"/>
      <c r="F867" s="93"/>
      <c r="G867" s="94"/>
      <c r="H867" s="94"/>
      <c r="I867" s="94"/>
      <c r="J867" s="94"/>
      <c r="K867" s="93"/>
      <c r="L867" s="86"/>
      <c r="M867" s="86"/>
      <c r="N867" s="86"/>
      <c r="O867" s="86"/>
      <c r="P867" s="86"/>
      <c r="Q867" s="85"/>
      <c r="S867" s="85"/>
      <c r="T867" s="85"/>
      <c r="U867" s="85"/>
      <c r="V867" s="85"/>
      <c r="W867" s="85"/>
      <c r="X867" s="85"/>
    </row>
    <row r="868" spans="2:24" s="58" customFormat="1" ht="12" x14ac:dyDescent="0.2">
      <c r="B868" s="91"/>
      <c r="E868" s="92"/>
      <c r="F868" s="93"/>
      <c r="G868" s="94"/>
      <c r="H868" s="94"/>
      <c r="I868" s="94"/>
      <c r="J868" s="94"/>
      <c r="K868" s="93"/>
      <c r="L868" s="86"/>
      <c r="M868" s="86"/>
      <c r="N868" s="86"/>
      <c r="O868" s="86"/>
      <c r="P868" s="86"/>
      <c r="Q868" s="85"/>
      <c r="S868" s="85"/>
      <c r="T868" s="85"/>
      <c r="U868" s="85"/>
      <c r="V868" s="85"/>
      <c r="W868" s="85"/>
      <c r="X868" s="85"/>
    </row>
    <row r="869" spans="2:24" s="58" customFormat="1" ht="12" x14ac:dyDescent="0.2">
      <c r="B869" s="91"/>
      <c r="E869" s="92"/>
      <c r="F869" s="93"/>
      <c r="G869" s="94"/>
      <c r="H869" s="94"/>
      <c r="I869" s="94"/>
      <c r="J869" s="94"/>
      <c r="K869" s="93"/>
      <c r="L869" s="86"/>
      <c r="M869" s="86"/>
      <c r="N869" s="86"/>
      <c r="O869" s="86"/>
      <c r="P869" s="86"/>
      <c r="Q869" s="85"/>
      <c r="S869" s="85"/>
      <c r="T869" s="85"/>
      <c r="U869" s="85"/>
      <c r="V869" s="85"/>
      <c r="W869" s="85"/>
      <c r="X869" s="85"/>
    </row>
    <row r="870" spans="2:24" s="58" customFormat="1" ht="12" x14ac:dyDescent="0.2">
      <c r="B870" s="91"/>
      <c r="E870" s="92"/>
      <c r="F870" s="93"/>
      <c r="G870" s="94"/>
      <c r="H870" s="94"/>
      <c r="I870" s="94"/>
      <c r="J870" s="94"/>
      <c r="K870" s="93"/>
      <c r="L870" s="86"/>
      <c r="M870" s="86"/>
      <c r="N870" s="86"/>
      <c r="O870" s="86"/>
      <c r="P870" s="86"/>
      <c r="Q870" s="85"/>
      <c r="S870" s="85"/>
      <c r="T870" s="85"/>
      <c r="U870" s="85"/>
      <c r="V870" s="85"/>
      <c r="W870" s="85"/>
      <c r="X870" s="85"/>
    </row>
    <row r="871" spans="2:24" s="58" customFormat="1" ht="12" x14ac:dyDescent="0.2">
      <c r="B871" s="91"/>
      <c r="E871" s="92"/>
      <c r="F871" s="93"/>
      <c r="G871" s="94"/>
      <c r="H871" s="94"/>
      <c r="I871" s="94"/>
      <c r="J871" s="94"/>
      <c r="K871" s="93"/>
      <c r="L871" s="86"/>
      <c r="M871" s="86"/>
      <c r="N871" s="86"/>
      <c r="O871" s="86"/>
      <c r="P871" s="86"/>
      <c r="Q871" s="85"/>
      <c r="S871" s="85"/>
      <c r="T871" s="85"/>
      <c r="U871" s="85"/>
      <c r="V871" s="85"/>
      <c r="W871" s="85"/>
      <c r="X871" s="85"/>
    </row>
    <row r="872" spans="2:24" s="58" customFormat="1" ht="12" x14ac:dyDescent="0.2">
      <c r="B872" s="91"/>
      <c r="E872" s="92"/>
      <c r="F872" s="93"/>
      <c r="G872" s="94"/>
      <c r="H872" s="94"/>
      <c r="I872" s="94"/>
      <c r="J872" s="94"/>
      <c r="K872" s="93"/>
      <c r="L872" s="86"/>
      <c r="M872" s="86"/>
      <c r="N872" s="86"/>
      <c r="O872" s="86"/>
      <c r="P872" s="86"/>
      <c r="Q872" s="85"/>
      <c r="S872" s="85"/>
      <c r="T872" s="85"/>
      <c r="U872" s="85"/>
      <c r="V872" s="85"/>
      <c r="W872" s="85"/>
      <c r="X872" s="85"/>
    </row>
    <row r="873" spans="2:24" s="58" customFormat="1" ht="12" x14ac:dyDescent="0.2">
      <c r="B873" s="91"/>
      <c r="E873" s="92"/>
      <c r="F873" s="93"/>
      <c r="G873" s="94"/>
      <c r="H873" s="94"/>
      <c r="I873" s="94"/>
      <c r="J873" s="94"/>
      <c r="K873" s="93"/>
      <c r="L873" s="86"/>
      <c r="M873" s="86"/>
      <c r="N873" s="86"/>
      <c r="O873" s="86"/>
      <c r="P873" s="86"/>
      <c r="Q873" s="85"/>
      <c r="S873" s="85"/>
      <c r="T873" s="85"/>
      <c r="U873" s="85"/>
      <c r="V873" s="85"/>
      <c r="W873" s="85"/>
      <c r="X873" s="85"/>
    </row>
    <row r="874" spans="2:24" s="58" customFormat="1" ht="12" x14ac:dyDescent="0.2">
      <c r="B874" s="91"/>
      <c r="E874" s="92"/>
      <c r="F874" s="93"/>
      <c r="G874" s="94"/>
      <c r="H874" s="94"/>
      <c r="I874" s="94"/>
      <c r="J874" s="94"/>
      <c r="K874" s="93"/>
      <c r="L874" s="86"/>
      <c r="M874" s="86"/>
      <c r="N874" s="86"/>
      <c r="O874" s="86"/>
      <c r="P874" s="86"/>
      <c r="Q874" s="85"/>
      <c r="S874" s="85"/>
      <c r="T874" s="85"/>
      <c r="U874" s="85"/>
      <c r="V874" s="85"/>
      <c r="W874" s="85"/>
      <c r="X874" s="85"/>
    </row>
    <row r="875" spans="2:24" s="58" customFormat="1" ht="12" x14ac:dyDescent="0.2">
      <c r="B875" s="91"/>
      <c r="E875" s="92"/>
      <c r="F875" s="93"/>
      <c r="G875" s="94"/>
      <c r="H875" s="94"/>
      <c r="I875" s="94"/>
      <c r="J875" s="94"/>
      <c r="K875" s="93"/>
      <c r="L875" s="86"/>
      <c r="M875" s="86"/>
      <c r="N875" s="86"/>
      <c r="O875" s="86"/>
      <c r="P875" s="86"/>
      <c r="Q875" s="85"/>
      <c r="S875" s="85"/>
      <c r="T875" s="85"/>
      <c r="U875" s="85"/>
      <c r="V875" s="85"/>
      <c r="W875" s="85"/>
      <c r="X875" s="85"/>
    </row>
    <row r="876" spans="2:24" s="58" customFormat="1" ht="12" x14ac:dyDescent="0.2">
      <c r="B876" s="91"/>
      <c r="E876" s="92"/>
      <c r="F876" s="93"/>
      <c r="G876" s="94"/>
      <c r="H876" s="94"/>
      <c r="I876" s="94"/>
      <c r="J876" s="94"/>
      <c r="K876" s="93"/>
      <c r="L876" s="86"/>
      <c r="M876" s="86"/>
      <c r="N876" s="86"/>
      <c r="O876" s="86"/>
      <c r="P876" s="86"/>
      <c r="Q876" s="85"/>
      <c r="S876" s="85"/>
      <c r="T876" s="85"/>
      <c r="U876" s="85"/>
      <c r="V876" s="85"/>
      <c r="W876" s="85"/>
      <c r="X876" s="85"/>
    </row>
    <row r="877" spans="2:24" s="58" customFormat="1" ht="12" x14ac:dyDescent="0.2">
      <c r="B877" s="91"/>
      <c r="E877" s="92"/>
      <c r="F877" s="93"/>
      <c r="G877" s="94"/>
      <c r="H877" s="94"/>
      <c r="I877" s="94"/>
      <c r="J877" s="94"/>
      <c r="K877" s="93"/>
      <c r="L877" s="86"/>
      <c r="M877" s="86"/>
      <c r="N877" s="86"/>
      <c r="O877" s="86"/>
      <c r="P877" s="86"/>
      <c r="Q877" s="85"/>
      <c r="S877" s="85"/>
      <c r="T877" s="85"/>
      <c r="U877" s="85"/>
      <c r="V877" s="85"/>
      <c r="W877" s="85"/>
      <c r="X877" s="85"/>
    </row>
    <row r="878" spans="2:24" s="58" customFormat="1" ht="12" x14ac:dyDescent="0.2">
      <c r="B878" s="91"/>
      <c r="E878" s="92"/>
      <c r="F878" s="93"/>
      <c r="G878" s="94"/>
      <c r="H878" s="94"/>
      <c r="I878" s="94"/>
      <c r="J878" s="94"/>
      <c r="K878" s="93"/>
      <c r="L878" s="86"/>
      <c r="M878" s="86"/>
      <c r="N878" s="86"/>
      <c r="O878" s="86"/>
      <c r="P878" s="86"/>
      <c r="Q878" s="85"/>
      <c r="S878" s="85"/>
      <c r="T878" s="85"/>
      <c r="U878" s="85"/>
      <c r="V878" s="85"/>
      <c r="W878" s="85"/>
      <c r="X878" s="85"/>
    </row>
    <row r="879" spans="2:24" s="58" customFormat="1" ht="12" x14ac:dyDescent="0.2">
      <c r="B879" s="91"/>
      <c r="E879" s="92"/>
      <c r="F879" s="93"/>
      <c r="G879" s="94"/>
      <c r="H879" s="94"/>
      <c r="I879" s="94"/>
      <c r="J879" s="94"/>
      <c r="K879" s="93"/>
      <c r="L879" s="86"/>
      <c r="M879" s="86"/>
      <c r="N879" s="86"/>
      <c r="O879" s="86"/>
      <c r="P879" s="86"/>
      <c r="Q879" s="85"/>
      <c r="S879" s="85"/>
      <c r="T879" s="85"/>
      <c r="U879" s="85"/>
      <c r="V879" s="85"/>
      <c r="W879" s="85"/>
      <c r="X879" s="85"/>
    </row>
    <row r="880" spans="2:24" s="58" customFormat="1" ht="12" x14ac:dyDescent="0.2">
      <c r="B880" s="91"/>
      <c r="E880" s="92"/>
      <c r="F880" s="93"/>
      <c r="G880" s="94"/>
      <c r="H880" s="94"/>
      <c r="I880" s="94"/>
      <c r="J880" s="94"/>
      <c r="K880" s="93"/>
      <c r="L880" s="86"/>
      <c r="M880" s="86"/>
      <c r="N880" s="86"/>
      <c r="O880" s="86"/>
      <c r="P880" s="86"/>
      <c r="Q880" s="85"/>
      <c r="S880" s="85"/>
      <c r="T880" s="85"/>
      <c r="U880" s="85"/>
      <c r="V880" s="85"/>
      <c r="W880" s="85"/>
      <c r="X880" s="85"/>
    </row>
    <row r="881" spans="2:24" s="58" customFormat="1" ht="12" x14ac:dyDescent="0.2">
      <c r="B881" s="91"/>
      <c r="E881" s="92"/>
      <c r="F881" s="93"/>
      <c r="G881" s="94"/>
      <c r="H881" s="94"/>
      <c r="I881" s="94"/>
      <c r="J881" s="94"/>
      <c r="K881" s="93"/>
      <c r="L881" s="86"/>
      <c r="M881" s="86"/>
      <c r="N881" s="86"/>
      <c r="O881" s="86"/>
      <c r="P881" s="86"/>
      <c r="Q881" s="85"/>
      <c r="S881" s="85"/>
      <c r="T881" s="85"/>
      <c r="U881" s="85"/>
      <c r="V881" s="85"/>
      <c r="W881" s="85"/>
      <c r="X881" s="85"/>
    </row>
    <row r="882" spans="2:24" s="58" customFormat="1" ht="12" x14ac:dyDescent="0.2">
      <c r="B882" s="91"/>
      <c r="E882" s="92"/>
      <c r="F882" s="93"/>
      <c r="G882" s="94"/>
      <c r="H882" s="94"/>
      <c r="I882" s="94"/>
      <c r="J882" s="94"/>
      <c r="K882" s="93"/>
      <c r="L882" s="86"/>
      <c r="M882" s="86"/>
      <c r="N882" s="86"/>
      <c r="O882" s="86"/>
      <c r="P882" s="86"/>
      <c r="Q882" s="85"/>
      <c r="S882" s="85"/>
      <c r="T882" s="85"/>
      <c r="U882" s="85"/>
      <c r="V882" s="85"/>
      <c r="W882" s="85"/>
      <c r="X882" s="85"/>
    </row>
    <row r="883" spans="2:24" s="58" customFormat="1" ht="12" x14ac:dyDescent="0.2">
      <c r="B883" s="91"/>
      <c r="E883" s="92"/>
      <c r="F883" s="93"/>
      <c r="G883" s="94"/>
      <c r="H883" s="94"/>
      <c r="I883" s="94"/>
      <c r="J883" s="94"/>
      <c r="K883" s="93"/>
      <c r="L883" s="86"/>
      <c r="M883" s="86"/>
      <c r="N883" s="86"/>
      <c r="O883" s="86"/>
      <c r="P883" s="86"/>
      <c r="Q883" s="85"/>
      <c r="S883" s="85"/>
      <c r="T883" s="85"/>
      <c r="U883" s="85"/>
      <c r="V883" s="85"/>
      <c r="W883" s="85"/>
      <c r="X883" s="85"/>
    </row>
    <row r="884" spans="2:24" s="58" customFormat="1" ht="12" x14ac:dyDescent="0.2">
      <c r="B884" s="91"/>
      <c r="E884" s="92"/>
      <c r="F884" s="93"/>
      <c r="G884" s="94"/>
      <c r="H884" s="94"/>
      <c r="I884" s="94"/>
      <c r="J884" s="94"/>
      <c r="K884" s="93"/>
      <c r="L884" s="86"/>
      <c r="M884" s="86"/>
      <c r="N884" s="86"/>
      <c r="O884" s="86"/>
      <c r="P884" s="86"/>
      <c r="Q884" s="85"/>
      <c r="S884" s="85"/>
      <c r="T884" s="85"/>
      <c r="U884" s="85"/>
      <c r="V884" s="85"/>
      <c r="W884" s="85"/>
      <c r="X884" s="85"/>
    </row>
    <row r="885" spans="2:24" s="58" customFormat="1" ht="12" x14ac:dyDescent="0.2">
      <c r="B885" s="91"/>
      <c r="E885" s="92"/>
      <c r="F885" s="93"/>
      <c r="G885" s="94"/>
      <c r="H885" s="94"/>
      <c r="I885" s="94"/>
      <c r="J885" s="94"/>
      <c r="K885" s="93"/>
      <c r="L885" s="86"/>
      <c r="M885" s="86"/>
      <c r="N885" s="86"/>
      <c r="O885" s="86"/>
      <c r="P885" s="86"/>
      <c r="Q885" s="85"/>
      <c r="S885" s="85"/>
      <c r="T885" s="85"/>
      <c r="U885" s="85"/>
      <c r="V885" s="85"/>
      <c r="W885" s="85"/>
      <c r="X885" s="85"/>
    </row>
    <row r="886" spans="2:24" s="58" customFormat="1" ht="12" x14ac:dyDescent="0.2">
      <c r="B886" s="91"/>
      <c r="E886" s="92"/>
      <c r="F886" s="93"/>
      <c r="G886" s="94"/>
      <c r="H886" s="94"/>
      <c r="I886" s="94"/>
      <c r="J886" s="94"/>
      <c r="K886" s="93"/>
      <c r="L886" s="86"/>
      <c r="M886" s="86"/>
      <c r="N886" s="86"/>
      <c r="O886" s="86"/>
      <c r="P886" s="86"/>
      <c r="Q886" s="85"/>
      <c r="S886" s="85"/>
      <c r="T886" s="85"/>
      <c r="U886" s="85"/>
      <c r="V886" s="85"/>
      <c r="W886" s="85"/>
      <c r="X886" s="85"/>
    </row>
    <row r="887" spans="2:24" s="58" customFormat="1" ht="12" x14ac:dyDescent="0.2">
      <c r="B887" s="91"/>
      <c r="E887" s="92"/>
      <c r="F887" s="93"/>
      <c r="G887" s="94"/>
      <c r="H887" s="94"/>
      <c r="I887" s="94"/>
      <c r="J887" s="94"/>
      <c r="K887" s="93"/>
      <c r="L887" s="86"/>
      <c r="M887" s="86"/>
      <c r="N887" s="86"/>
      <c r="O887" s="86"/>
      <c r="P887" s="86"/>
      <c r="Q887" s="85"/>
      <c r="S887" s="85"/>
      <c r="T887" s="85"/>
      <c r="U887" s="85"/>
      <c r="V887" s="85"/>
      <c r="W887" s="85"/>
      <c r="X887" s="85"/>
    </row>
    <row r="888" spans="2:24" s="58" customFormat="1" ht="12" x14ac:dyDescent="0.2">
      <c r="B888" s="91"/>
      <c r="E888" s="92"/>
      <c r="F888" s="93"/>
      <c r="G888" s="94"/>
      <c r="H888" s="94"/>
      <c r="I888" s="94"/>
      <c r="J888" s="94"/>
      <c r="K888" s="93"/>
      <c r="L888" s="86"/>
      <c r="M888" s="86"/>
      <c r="N888" s="86"/>
      <c r="O888" s="86"/>
      <c r="P888" s="86"/>
      <c r="Q888" s="85"/>
      <c r="S888" s="85"/>
      <c r="T888" s="85"/>
      <c r="U888" s="85"/>
      <c r="V888" s="85"/>
      <c r="W888" s="85"/>
      <c r="X888" s="85"/>
    </row>
    <row r="889" spans="2:24" s="58" customFormat="1" ht="12" x14ac:dyDescent="0.2">
      <c r="B889" s="91"/>
      <c r="E889" s="92"/>
      <c r="F889" s="93"/>
      <c r="G889" s="94"/>
      <c r="H889" s="94"/>
      <c r="I889" s="94"/>
      <c r="J889" s="94"/>
      <c r="K889" s="93"/>
      <c r="L889" s="86"/>
      <c r="M889" s="86"/>
      <c r="N889" s="86"/>
      <c r="O889" s="86"/>
      <c r="P889" s="86"/>
      <c r="Q889" s="85"/>
      <c r="S889" s="85"/>
      <c r="T889" s="85"/>
      <c r="U889" s="85"/>
      <c r="V889" s="85"/>
      <c r="W889" s="85"/>
      <c r="X889" s="85"/>
    </row>
    <row r="890" spans="2:24" s="58" customFormat="1" ht="12" x14ac:dyDescent="0.2">
      <c r="B890" s="91"/>
      <c r="E890" s="92"/>
      <c r="F890" s="93"/>
      <c r="G890" s="94"/>
      <c r="H890" s="94"/>
      <c r="I890" s="94"/>
      <c r="J890" s="94"/>
      <c r="K890" s="93"/>
      <c r="L890" s="86"/>
      <c r="M890" s="86"/>
      <c r="N890" s="86"/>
      <c r="O890" s="86"/>
      <c r="P890" s="86"/>
      <c r="Q890" s="85"/>
      <c r="S890" s="85"/>
      <c r="T890" s="85"/>
      <c r="U890" s="85"/>
      <c r="V890" s="85"/>
      <c r="W890" s="85"/>
      <c r="X890" s="85"/>
    </row>
    <row r="891" spans="2:24" s="58" customFormat="1" ht="12" x14ac:dyDescent="0.2">
      <c r="B891" s="91"/>
      <c r="E891" s="92"/>
      <c r="F891" s="93"/>
      <c r="G891" s="94"/>
      <c r="H891" s="94"/>
      <c r="I891" s="94"/>
      <c r="J891" s="94"/>
      <c r="K891" s="93"/>
      <c r="L891" s="86"/>
      <c r="M891" s="86"/>
      <c r="N891" s="86"/>
      <c r="O891" s="86"/>
      <c r="P891" s="86"/>
      <c r="Q891" s="85"/>
      <c r="S891" s="85"/>
      <c r="T891" s="85"/>
      <c r="U891" s="85"/>
      <c r="V891" s="85"/>
      <c r="W891" s="85"/>
      <c r="X891" s="85"/>
    </row>
    <row r="892" spans="2:24" s="58" customFormat="1" ht="12" x14ac:dyDescent="0.2">
      <c r="B892" s="91"/>
      <c r="E892" s="92"/>
      <c r="F892" s="93"/>
      <c r="G892" s="94"/>
      <c r="H892" s="94"/>
      <c r="I892" s="94"/>
      <c r="J892" s="94"/>
      <c r="K892" s="93"/>
      <c r="L892" s="86"/>
      <c r="M892" s="86"/>
      <c r="N892" s="86"/>
      <c r="O892" s="86"/>
      <c r="P892" s="86"/>
      <c r="Q892" s="85"/>
      <c r="S892" s="85"/>
      <c r="T892" s="85"/>
      <c r="U892" s="85"/>
      <c r="V892" s="85"/>
      <c r="W892" s="85"/>
      <c r="X892" s="85"/>
    </row>
    <row r="893" spans="2:24" s="58" customFormat="1" ht="12" x14ac:dyDescent="0.2">
      <c r="B893" s="91"/>
      <c r="E893" s="92"/>
      <c r="F893" s="93"/>
      <c r="G893" s="94"/>
      <c r="H893" s="94"/>
      <c r="I893" s="94"/>
      <c r="J893" s="94"/>
      <c r="K893" s="93"/>
      <c r="L893" s="86"/>
      <c r="M893" s="86"/>
      <c r="N893" s="86"/>
      <c r="O893" s="86"/>
      <c r="P893" s="86"/>
      <c r="Q893" s="85"/>
      <c r="S893" s="85"/>
      <c r="T893" s="85"/>
      <c r="U893" s="85"/>
      <c r="V893" s="85"/>
      <c r="W893" s="85"/>
      <c r="X893" s="85"/>
    </row>
    <row r="894" spans="2:24" s="58" customFormat="1" ht="12" x14ac:dyDescent="0.2">
      <c r="B894" s="91"/>
      <c r="E894" s="92"/>
      <c r="F894" s="93"/>
      <c r="G894" s="94"/>
      <c r="H894" s="94"/>
      <c r="I894" s="94"/>
      <c r="J894" s="94"/>
      <c r="K894" s="93"/>
      <c r="L894" s="86"/>
      <c r="M894" s="86"/>
      <c r="N894" s="86"/>
      <c r="O894" s="86"/>
      <c r="P894" s="86"/>
      <c r="Q894" s="85"/>
      <c r="S894" s="85"/>
      <c r="T894" s="85"/>
      <c r="U894" s="85"/>
      <c r="V894" s="85"/>
      <c r="W894" s="85"/>
      <c r="X894" s="85"/>
    </row>
    <row r="895" spans="2:24" s="58" customFormat="1" ht="12" x14ac:dyDescent="0.2">
      <c r="B895" s="91"/>
      <c r="E895" s="92"/>
      <c r="F895" s="93"/>
      <c r="G895" s="94"/>
      <c r="H895" s="94"/>
      <c r="I895" s="94"/>
      <c r="J895" s="94"/>
      <c r="K895" s="93"/>
      <c r="L895" s="86"/>
      <c r="M895" s="86"/>
      <c r="N895" s="86"/>
      <c r="O895" s="86"/>
      <c r="P895" s="86"/>
      <c r="Q895" s="85"/>
      <c r="S895" s="85"/>
      <c r="T895" s="85"/>
      <c r="U895" s="85"/>
      <c r="V895" s="85"/>
      <c r="W895" s="85"/>
      <c r="X895" s="85"/>
    </row>
    <row r="896" spans="2:24" s="58" customFormat="1" ht="12" x14ac:dyDescent="0.2">
      <c r="B896" s="91"/>
      <c r="E896" s="92"/>
      <c r="F896" s="93"/>
      <c r="G896" s="94"/>
      <c r="H896" s="94"/>
      <c r="I896" s="94"/>
      <c r="J896" s="94"/>
      <c r="K896" s="93"/>
      <c r="L896" s="86"/>
      <c r="M896" s="86"/>
      <c r="N896" s="86"/>
      <c r="O896" s="86"/>
      <c r="P896" s="86"/>
      <c r="Q896" s="85"/>
      <c r="S896" s="85"/>
      <c r="T896" s="85"/>
      <c r="U896" s="85"/>
      <c r="V896" s="85"/>
      <c r="W896" s="85"/>
      <c r="X896" s="85"/>
    </row>
    <row r="897" spans="2:24" s="58" customFormat="1" ht="12" x14ac:dyDescent="0.2">
      <c r="B897" s="91"/>
      <c r="E897" s="92"/>
      <c r="F897" s="93"/>
      <c r="G897" s="94"/>
      <c r="H897" s="94"/>
      <c r="I897" s="94"/>
      <c r="J897" s="94"/>
      <c r="K897" s="93"/>
      <c r="L897" s="86"/>
      <c r="M897" s="86"/>
      <c r="N897" s="86"/>
      <c r="O897" s="86"/>
      <c r="P897" s="86"/>
      <c r="Q897" s="85"/>
      <c r="S897" s="85"/>
      <c r="T897" s="85"/>
      <c r="U897" s="85"/>
      <c r="V897" s="85"/>
      <c r="W897" s="85"/>
      <c r="X897" s="85"/>
    </row>
    <row r="898" spans="2:24" s="58" customFormat="1" ht="12" x14ac:dyDescent="0.2">
      <c r="B898" s="91"/>
      <c r="E898" s="92"/>
      <c r="F898" s="93"/>
      <c r="G898" s="94"/>
      <c r="H898" s="94"/>
      <c r="I898" s="94"/>
      <c r="J898" s="94"/>
      <c r="K898" s="93"/>
      <c r="L898" s="86"/>
      <c r="M898" s="86"/>
      <c r="N898" s="86"/>
      <c r="O898" s="86"/>
      <c r="P898" s="86"/>
      <c r="Q898" s="85"/>
      <c r="S898" s="85"/>
      <c r="T898" s="85"/>
      <c r="U898" s="85"/>
      <c r="V898" s="85"/>
      <c r="W898" s="85"/>
      <c r="X898" s="85"/>
    </row>
    <row r="899" spans="2:24" s="58" customFormat="1" ht="12" x14ac:dyDescent="0.2">
      <c r="B899" s="91"/>
      <c r="E899" s="92"/>
      <c r="F899" s="93"/>
      <c r="G899" s="94"/>
      <c r="H899" s="94"/>
      <c r="I899" s="94"/>
      <c r="J899" s="94"/>
      <c r="K899" s="93"/>
      <c r="L899" s="86"/>
      <c r="M899" s="86"/>
      <c r="N899" s="86"/>
      <c r="O899" s="86"/>
      <c r="P899" s="86"/>
      <c r="Q899" s="85"/>
      <c r="S899" s="85"/>
      <c r="T899" s="85"/>
      <c r="U899" s="85"/>
      <c r="V899" s="85"/>
      <c r="W899" s="85"/>
      <c r="X899" s="85"/>
    </row>
    <row r="900" spans="2:24" s="58" customFormat="1" ht="12" x14ac:dyDescent="0.2">
      <c r="B900" s="91"/>
      <c r="E900" s="92"/>
      <c r="F900" s="93"/>
      <c r="G900" s="94"/>
      <c r="H900" s="94"/>
      <c r="I900" s="94"/>
      <c r="J900" s="94"/>
      <c r="K900" s="93"/>
      <c r="L900" s="86"/>
      <c r="M900" s="86"/>
      <c r="N900" s="86"/>
      <c r="O900" s="86"/>
      <c r="P900" s="86"/>
      <c r="Q900" s="85"/>
      <c r="S900" s="85"/>
      <c r="T900" s="85"/>
      <c r="U900" s="85"/>
      <c r="V900" s="85"/>
      <c r="W900" s="85"/>
      <c r="X900" s="85"/>
    </row>
    <row r="901" spans="2:24" s="58" customFormat="1" ht="12" x14ac:dyDescent="0.2">
      <c r="B901" s="91"/>
      <c r="E901" s="92"/>
      <c r="F901" s="93"/>
      <c r="G901" s="94"/>
      <c r="H901" s="94"/>
      <c r="I901" s="94"/>
      <c r="J901" s="94"/>
      <c r="K901" s="93"/>
      <c r="L901" s="86"/>
      <c r="M901" s="86"/>
      <c r="N901" s="86"/>
      <c r="O901" s="86"/>
      <c r="P901" s="86"/>
      <c r="Q901" s="85"/>
      <c r="S901" s="85"/>
      <c r="T901" s="85"/>
      <c r="U901" s="85"/>
      <c r="V901" s="85"/>
      <c r="W901" s="85"/>
      <c r="X901" s="85"/>
    </row>
    <row r="902" spans="2:24" s="58" customFormat="1" ht="12" x14ac:dyDescent="0.2">
      <c r="B902" s="91"/>
      <c r="E902" s="92"/>
      <c r="F902" s="93"/>
      <c r="G902" s="94"/>
      <c r="H902" s="94"/>
      <c r="I902" s="94"/>
      <c r="J902" s="94"/>
      <c r="K902" s="93"/>
      <c r="L902" s="86"/>
      <c r="M902" s="86"/>
      <c r="N902" s="86"/>
      <c r="O902" s="86"/>
      <c r="P902" s="86"/>
      <c r="Q902" s="85"/>
      <c r="S902" s="85"/>
      <c r="T902" s="85"/>
      <c r="U902" s="85"/>
      <c r="V902" s="85"/>
      <c r="W902" s="85"/>
      <c r="X902" s="85"/>
    </row>
    <row r="903" spans="2:24" s="58" customFormat="1" ht="12" x14ac:dyDescent="0.2">
      <c r="B903" s="91"/>
      <c r="E903" s="92"/>
      <c r="F903" s="93"/>
      <c r="G903" s="94"/>
      <c r="H903" s="94"/>
      <c r="I903" s="94"/>
      <c r="J903" s="94"/>
      <c r="K903" s="93"/>
      <c r="L903" s="86"/>
      <c r="M903" s="86"/>
      <c r="N903" s="86"/>
      <c r="O903" s="86"/>
      <c r="P903" s="86"/>
      <c r="Q903" s="85"/>
      <c r="S903" s="85"/>
      <c r="T903" s="85"/>
      <c r="U903" s="85"/>
      <c r="V903" s="85"/>
      <c r="W903" s="85"/>
      <c r="X903" s="85"/>
    </row>
    <row r="904" spans="2:24" s="58" customFormat="1" ht="12" x14ac:dyDescent="0.2">
      <c r="B904" s="91"/>
      <c r="E904" s="92"/>
      <c r="F904" s="93"/>
      <c r="G904" s="94"/>
      <c r="H904" s="94"/>
      <c r="I904" s="94"/>
      <c r="J904" s="94"/>
      <c r="K904" s="93"/>
      <c r="L904" s="86"/>
      <c r="M904" s="86"/>
      <c r="N904" s="86"/>
      <c r="O904" s="86"/>
      <c r="P904" s="86"/>
      <c r="Q904" s="85"/>
      <c r="S904" s="85"/>
      <c r="T904" s="85"/>
      <c r="U904" s="85"/>
      <c r="V904" s="85"/>
      <c r="W904" s="85"/>
      <c r="X904" s="85"/>
    </row>
    <row r="905" spans="2:24" s="58" customFormat="1" ht="12" x14ac:dyDescent="0.2">
      <c r="B905" s="91"/>
      <c r="E905" s="92"/>
      <c r="F905" s="93"/>
      <c r="G905" s="94"/>
      <c r="H905" s="94"/>
      <c r="I905" s="94"/>
      <c r="J905" s="94"/>
      <c r="K905" s="93"/>
      <c r="L905" s="86"/>
      <c r="M905" s="86"/>
      <c r="N905" s="86"/>
      <c r="O905" s="86"/>
      <c r="P905" s="86"/>
      <c r="Q905" s="85"/>
      <c r="S905" s="85"/>
      <c r="T905" s="85"/>
      <c r="U905" s="85"/>
      <c r="V905" s="85"/>
      <c r="W905" s="85"/>
      <c r="X905" s="85"/>
    </row>
    <row r="906" spans="2:24" s="58" customFormat="1" ht="12" x14ac:dyDescent="0.2">
      <c r="B906" s="91"/>
      <c r="E906" s="92"/>
      <c r="F906" s="93"/>
      <c r="G906" s="94"/>
      <c r="H906" s="94"/>
      <c r="I906" s="94"/>
      <c r="J906" s="94"/>
      <c r="K906" s="93"/>
      <c r="L906" s="86"/>
      <c r="M906" s="86"/>
      <c r="N906" s="86"/>
      <c r="O906" s="86"/>
      <c r="P906" s="86"/>
      <c r="Q906" s="85"/>
      <c r="S906" s="85"/>
      <c r="T906" s="85"/>
      <c r="U906" s="85"/>
      <c r="V906" s="85"/>
      <c r="W906" s="85"/>
      <c r="X906" s="85"/>
    </row>
    <row r="907" spans="2:24" s="58" customFormat="1" ht="12" x14ac:dyDescent="0.2">
      <c r="B907" s="91"/>
      <c r="E907" s="92"/>
      <c r="F907" s="93"/>
      <c r="G907" s="94"/>
      <c r="H907" s="94"/>
      <c r="I907" s="94"/>
      <c r="J907" s="94"/>
      <c r="K907" s="93"/>
      <c r="L907" s="86"/>
      <c r="M907" s="86"/>
      <c r="N907" s="86"/>
      <c r="O907" s="86"/>
      <c r="P907" s="86"/>
      <c r="Q907" s="85"/>
      <c r="S907" s="85"/>
      <c r="T907" s="85"/>
      <c r="U907" s="85"/>
      <c r="V907" s="85"/>
      <c r="W907" s="85"/>
      <c r="X907" s="85"/>
    </row>
    <row r="908" spans="2:24" s="58" customFormat="1" ht="12" x14ac:dyDescent="0.2">
      <c r="B908" s="91"/>
      <c r="E908" s="92"/>
      <c r="F908" s="93"/>
      <c r="G908" s="94"/>
      <c r="H908" s="94"/>
      <c r="I908" s="94"/>
      <c r="J908" s="94"/>
      <c r="K908" s="93"/>
      <c r="L908" s="86"/>
      <c r="M908" s="86"/>
      <c r="N908" s="86"/>
      <c r="O908" s="86"/>
      <c r="P908" s="86"/>
      <c r="Q908" s="85"/>
      <c r="S908" s="85"/>
      <c r="T908" s="85"/>
      <c r="U908" s="85"/>
      <c r="V908" s="85"/>
      <c r="W908" s="85"/>
      <c r="X908" s="85"/>
    </row>
    <row r="909" spans="2:24" s="58" customFormat="1" ht="12" x14ac:dyDescent="0.2">
      <c r="B909" s="91"/>
      <c r="E909" s="92"/>
      <c r="F909" s="93"/>
      <c r="G909" s="94"/>
      <c r="H909" s="94"/>
      <c r="I909" s="94"/>
      <c r="J909" s="94"/>
      <c r="K909" s="93"/>
      <c r="L909" s="86"/>
      <c r="M909" s="86"/>
      <c r="N909" s="86"/>
      <c r="O909" s="86"/>
      <c r="P909" s="86"/>
      <c r="Q909" s="85"/>
      <c r="S909" s="85"/>
      <c r="T909" s="85"/>
      <c r="U909" s="85"/>
      <c r="V909" s="85"/>
      <c r="W909" s="85"/>
      <c r="X909" s="85"/>
    </row>
    <row r="910" spans="2:24" s="58" customFormat="1" ht="12" x14ac:dyDescent="0.2">
      <c r="B910" s="91"/>
      <c r="E910" s="92"/>
      <c r="F910" s="93"/>
      <c r="G910" s="94"/>
      <c r="H910" s="94"/>
      <c r="I910" s="94"/>
      <c r="J910" s="94"/>
      <c r="K910" s="93"/>
      <c r="L910" s="86"/>
      <c r="M910" s="86"/>
      <c r="N910" s="86"/>
      <c r="O910" s="86"/>
      <c r="P910" s="86"/>
      <c r="Q910" s="85"/>
      <c r="S910" s="85"/>
      <c r="T910" s="85"/>
      <c r="U910" s="85"/>
      <c r="V910" s="85"/>
      <c r="W910" s="85"/>
      <c r="X910" s="85"/>
    </row>
    <row r="911" spans="2:24" s="58" customFormat="1" ht="12" x14ac:dyDescent="0.2">
      <c r="B911" s="91"/>
      <c r="E911" s="92"/>
      <c r="F911" s="93"/>
      <c r="G911" s="94"/>
      <c r="H911" s="94"/>
      <c r="I911" s="94"/>
      <c r="J911" s="94"/>
      <c r="K911" s="93"/>
      <c r="L911" s="86"/>
      <c r="M911" s="86"/>
      <c r="N911" s="86"/>
      <c r="O911" s="86"/>
      <c r="P911" s="86"/>
      <c r="Q911" s="85"/>
      <c r="S911" s="85"/>
      <c r="T911" s="85"/>
      <c r="U911" s="85"/>
      <c r="V911" s="85"/>
      <c r="W911" s="85"/>
      <c r="X911" s="85"/>
    </row>
    <row r="912" spans="2:24" s="58" customFormat="1" ht="12" x14ac:dyDescent="0.2">
      <c r="B912" s="91"/>
      <c r="E912" s="92"/>
      <c r="F912" s="93"/>
      <c r="G912" s="94"/>
      <c r="H912" s="94"/>
      <c r="I912" s="94"/>
      <c r="J912" s="94"/>
      <c r="K912" s="93"/>
      <c r="L912" s="86"/>
      <c r="M912" s="86"/>
      <c r="N912" s="86"/>
      <c r="O912" s="86"/>
      <c r="P912" s="86"/>
      <c r="Q912" s="85"/>
      <c r="S912" s="85"/>
      <c r="T912" s="85"/>
      <c r="U912" s="85"/>
      <c r="V912" s="85"/>
      <c r="W912" s="85"/>
      <c r="X912" s="85"/>
    </row>
    <row r="913" spans="2:24" s="58" customFormat="1" ht="12" x14ac:dyDescent="0.2">
      <c r="B913" s="91"/>
      <c r="E913" s="92"/>
      <c r="F913" s="93"/>
      <c r="G913" s="94"/>
      <c r="H913" s="94"/>
      <c r="I913" s="94"/>
      <c r="J913" s="94"/>
      <c r="K913" s="93"/>
      <c r="L913" s="86"/>
      <c r="M913" s="86"/>
      <c r="N913" s="86"/>
      <c r="O913" s="86"/>
      <c r="P913" s="86"/>
      <c r="Q913" s="85"/>
      <c r="S913" s="85"/>
      <c r="T913" s="85"/>
      <c r="U913" s="85"/>
      <c r="V913" s="85"/>
      <c r="W913" s="85"/>
      <c r="X913" s="85"/>
    </row>
    <row r="914" spans="2:24" s="58" customFormat="1" ht="12" x14ac:dyDescent="0.2">
      <c r="B914" s="91"/>
      <c r="E914" s="92"/>
      <c r="F914" s="93"/>
      <c r="G914" s="94"/>
      <c r="H914" s="94"/>
      <c r="I914" s="94"/>
      <c r="J914" s="94"/>
      <c r="K914" s="93"/>
      <c r="L914" s="86"/>
      <c r="M914" s="86"/>
      <c r="N914" s="86"/>
      <c r="O914" s="86"/>
      <c r="P914" s="86"/>
      <c r="Q914" s="85"/>
      <c r="S914" s="85"/>
      <c r="T914" s="85"/>
      <c r="U914" s="85"/>
      <c r="V914" s="85"/>
      <c r="W914" s="85"/>
      <c r="X914" s="85"/>
    </row>
    <row r="915" spans="2:24" s="58" customFormat="1" ht="12" x14ac:dyDescent="0.2">
      <c r="B915" s="91"/>
      <c r="E915" s="92"/>
      <c r="F915" s="93"/>
      <c r="G915" s="94"/>
      <c r="H915" s="94"/>
      <c r="I915" s="94"/>
      <c r="J915" s="94"/>
      <c r="K915" s="93"/>
      <c r="L915" s="86"/>
      <c r="M915" s="86"/>
      <c r="N915" s="86"/>
      <c r="O915" s="86"/>
      <c r="P915" s="86"/>
      <c r="Q915" s="85"/>
      <c r="S915" s="85"/>
      <c r="T915" s="85"/>
      <c r="U915" s="85"/>
      <c r="V915" s="85"/>
      <c r="W915" s="85"/>
      <c r="X915" s="85"/>
    </row>
    <row r="916" spans="2:24" s="58" customFormat="1" ht="12" x14ac:dyDescent="0.2">
      <c r="B916" s="91"/>
      <c r="E916" s="92"/>
      <c r="F916" s="93"/>
      <c r="G916" s="94"/>
      <c r="H916" s="94"/>
      <c r="I916" s="94"/>
      <c r="J916" s="94"/>
      <c r="K916" s="93"/>
      <c r="L916" s="86"/>
      <c r="M916" s="86"/>
      <c r="N916" s="86"/>
      <c r="O916" s="86"/>
      <c r="P916" s="86"/>
      <c r="Q916" s="85"/>
      <c r="S916" s="85"/>
      <c r="T916" s="85"/>
      <c r="U916" s="85"/>
      <c r="V916" s="85"/>
      <c r="W916" s="85"/>
      <c r="X916" s="85"/>
    </row>
    <row r="917" spans="2:24" s="58" customFormat="1" ht="12" x14ac:dyDescent="0.2">
      <c r="B917" s="91"/>
      <c r="E917" s="92"/>
      <c r="F917" s="93"/>
      <c r="G917" s="94"/>
      <c r="H917" s="94"/>
      <c r="I917" s="94"/>
      <c r="J917" s="94"/>
      <c r="K917" s="93"/>
      <c r="L917" s="86"/>
      <c r="M917" s="86"/>
      <c r="N917" s="86"/>
      <c r="O917" s="86"/>
      <c r="P917" s="86"/>
      <c r="Q917" s="85"/>
      <c r="S917" s="85"/>
      <c r="T917" s="85"/>
      <c r="U917" s="85"/>
      <c r="V917" s="85"/>
      <c r="W917" s="85"/>
      <c r="X917" s="85"/>
    </row>
    <row r="918" spans="2:24" s="58" customFormat="1" ht="12" x14ac:dyDescent="0.2">
      <c r="B918" s="91"/>
      <c r="E918" s="92"/>
      <c r="F918" s="93"/>
      <c r="G918" s="94"/>
      <c r="H918" s="94"/>
      <c r="I918" s="94"/>
      <c r="J918" s="94"/>
      <c r="K918" s="93"/>
      <c r="L918" s="86"/>
      <c r="M918" s="86"/>
      <c r="N918" s="86"/>
      <c r="O918" s="86"/>
      <c r="P918" s="86"/>
      <c r="Q918" s="85"/>
      <c r="S918" s="85"/>
      <c r="T918" s="85"/>
      <c r="U918" s="85"/>
      <c r="V918" s="85"/>
      <c r="W918" s="85"/>
      <c r="X918" s="85"/>
    </row>
    <row r="919" spans="2:24" s="58" customFormat="1" ht="12" x14ac:dyDescent="0.2">
      <c r="B919" s="91"/>
      <c r="E919" s="92"/>
      <c r="F919" s="93"/>
      <c r="G919" s="94"/>
      <c r="H919" s="94"/>
      <c r="I919" s="94"/>
      <c r="J919" s="94"/>
      <c r="K919" s="93"/>
      <c r="L919" s="86"/>
      <c r="M919" s="86"/>
      <c r="N919" s="86"/>
      <c r="O919" s="86"/>
      <c r="P919" s="86"/>
      <c r="Q919" s="85"/>
      <c r="S919" s="85"/>
      <c r="T919" s="85"/>
      <c r="U919" s="85"/>
      <c r="V919" s="85"/>
      <c r="W919" s="85"/>
      <c r="X919" s="85"/>
    </row>
    <row r="920" spans="2:24" s="58" customFormat="1" ht="12" x14ac:dyDescent="0.2">
      <c r="B920" s="91"/>
      <c r="E920" s="92"/>
      <c r="F920" s="93"/>
      <c r="G920" s="94"/>
      <c r="H920" s="94"/>
      <c r="I920" s="94"/>
      <c r="J920" s="94"/>
      <c r="K920" s="93"/>
      <c r="L920" s="86"/>
      <c r="M920" s="86"/>
      <c r="N920" s="86"/>
      <c r="O920" s="86"/>
      <c r="P920" s="86"/>
      <c r="Q920" s="85"/>
      <c r="S920" s="85"/>
      <c r="T920" s="85"/>
      <c r="U920" s="85"/>
      <c r="V920" s="85"/>
      <c r="W920" s="85"/>
      <c r="X920" s="85"/>
    </row>
    <row r="921" spans="2:24" s="58" customFormat="1" ht="12" x14ac:dyDescent="0.2">
      <c r="B921" s="91"/>
      <c r="E921" s="92"/>
      <c r="F921" s="93"/>
      <c r="G921" s="94"/>
      <c r="H921" s="94"/>
      <c r="I921" s="94"/>
      <c r="J921" s="94"/>
      <c r="K921" s="93"/>
      <c r="L921" s="86"/>
      <c r="M921" s="86"/>
      <c r="N921" s="86"/>
      <c r="O921" s="86"/>
      <c r="P921" s="86"/>
      <c r="Q921" s="85"/>
      <c r="S921" s="85"/>
      <c r="T921" s="85"/>
      <c r="U921" s="85"/>
      <c r="V921" s="85"/>
      <c r="W921" s="85"/>
      <c r="X921" s="85"/>
    </row>
    <row r="922" spans="2:24" s="58" customFormat="1" ht="12" x14ac:dyDescent="0.2">
      <c r="B922" s="91"/>
      <c r="E922" s="92"/>
      <c r="F922" s="93"/>
      <c r="G922" s="94"/>
      <c r="H922" s="94"/>
      <c r="I922" s="94"/>
      <c r="J922" s="94"/>
      <c r="K922" s="93"/>
      <c r="L922" s="86"/>
      <c r="M922" s="86"/>
      <c r="N922" s="86"/>
      <c r="O922" s="86"/>
      <c r="P922" s="86"/>
      <c r="Q922" s="85"/>
      <c r="S922" s="85"/>
      <c r="T922" s="85"/>
      <c r="U922" s="85"/>
      <c r="V922" s="85"/>
      <c r="W922" s="85"/>
      <c r="X922" s="85"/>
    </row>
    <row r="923" spans="2:24" s="58" customFormat="1" ht="12" x14ac:dyDescent="0.2">
      <c r="B923" s="91"/>
      <c r="E923" s="92"/>
      <c r="F923" s="93"/>
      <c r="G923" s="94"/>
      <c r="H923" s="94"/>
      <c r="I923" s="94"/>
      <c r="J923" s="94"/>
      <c r="K923" s="93"/>
      <c r="L923" s="86"/>
      <c r="M923" s="86"/>
      <c r="N923" s="86"/>
      <c r="O923" s="86"/>
      <c r="P923" s="86"/>
      <c r="Q923" s="85"/>
      <c r="S923" s="85"/>
      <c r="T923" s="85"/>
      <c r="U923" s="85"/>
      <c r="V923" s="85"/>
      <c r="W923" s="85"/>
      <c r="X923" s="85"/>
    </row>
    <row r="924" spans="2:24" s="58" customFormat="1" ht="12" x14ac:dyDescent="0.2">
      <c r="B924" s="91"/>
      <c r="E924" s="92"/>
      <c r="F924" s="93"/>
      <c r="G924" s="94"/>
      <c r="H924" s="94"/>
      <c r="I924" s="94"/>
      <c r="J924" s="94"/>
      <c r="K924" s="93"/>
      <c r="L924" s="86"/>
      <c r="M924" s="86"/>
      <c r="N924" s="86"/>
      <c r="O924" s="86"/>
      <c r="P924" s="86"/>
      <c r="Q924" s="85"/>
      <c r="S924" s="85"/>
      <c r="T924" s="85"/>
      <c r="U924" s="85"/>
      <c r="V924" s="85"/>
      <c r="W924" s="85"/>
      <c r="X924" s="85"/>
    </row>
    <row r="925" spans="2:24" s="58" customFormat="1" ht="12" x14ac:dyDescent="0.2">
      <c r="B925" s="91"/>
      <c r="E925" s="92"/>
      <c r="F925" s="93"/>
      <c r="G925" s="94"/>
      <c r="H925" s="94"/>
      <c r="I925" s="94"/>
      <c r="J925" s="94"/>
      <c r="K925" s="93"/>
      <c r="L925" s="86"/>
      <c r="M925" s="86"/>
      <c r="N925" s="86"/>
      <c r="O925" s="86"/>
      <c r="P925" s="86"/>
      <c r="Q925" s="85"/>
      <c r="S925" s="85"/>
      <c r="T925" s="85"/>
      <c r="U925" s="85"/>
      <c r="V925" s="85"/>
      <c r="W925" s="85"/>
      <c r="X925" s="85"/>
    </row>
    <row r="926" spans="2:24" s="58" customFormat="1" ht="12" x14ac:dyDescent="0.2">
      <c r="B926" s="91"/>
      <c r="E926" s="92"/>
      <c r="F926" s="93"/>
      <c r="G926" s="94"/>
      <c r="H926" s="94"/>
      <c r="I926" s="94"/>
      <c r="J926" s="94"/>
      <c r="K926" s="93"/>
      <c r="L926" s="86"/>
      <c r="M926" s="86"/>
      <c r="N926" s="86"/>
      <c r="O926" s="86"/>
      <c r="P926" s="86"/>
      <c r="Q926" s="85"/>
      <c r="S926" s="85"/>
      <c r="T926" s="85"/>
      <c r="U926" s="85"/>
      <c r="V926" s="85"/>
      <c r="W926" s="85"/>
      <c r="X926" s="85"/>
    </row>
    <row r="927" spans="2:24" s="58" customFormat="1" ht="12" x14ac:dyDescent="0.2">
      <c r="B927" s="91"/>
      <c r="E927" s="92"/>
      <c r="F927" s="93"/>
      <c r="G927" s="94"/>
      <c r="H927" s="94"/>
      <c r="I927" s="94"/>
      <c r="J927" s="94"/>
      <c r="K927" s="93"/>
      <c r="L927" s="86"/>
      <c r="M927" s="86"/>
      <c r="N927" s="86"/>
      <c r="O927" s="86"/>
      <c r="P927" s="86"/>
      <c r="Q927" s="85"/>
      <c r="S927" s="85"/>
      <c r="T927" s="85"/>
      <c r="U927" s="85"/>
      <c r="V927" s="85"/>
      <c r="W927" s="85"/>
      <c r="X927" s="85"/>
    </row>
    <row r="928" spans="2:24" s="58" customFormat="1" ht="12" x14ac:dyDescent="0.2">
      <c r="B928" s="91"/>
      <c r="E928" s="92"/>
      <c r="F928" s="93"/>
      <c r="G928" s="94"/>
      <c r="H928" s="94"/>
      <c r="I928" s="94"/>
      <c r="J928" s="94"/>
      <c r="K928" s="93"/>
      <c r="L928" s="86"/>
      <c r="M928" s="86"/>
      <c r="N928" s="86"/>
      <c r="O928" s="86"/>
      <c r="P928" s="86"/>
      <c r="Q928" s="85"/>
      <c r="S928" s="85"/>
      <c r="T928" s="85"/>
      <c r="U928" s="85"/>
      <c r="V928" s="85"/>
      <c r="W928" s="85"/>
      <c r="X928" s="85"/>
    </row>
    <row r="929" spans="2:24" s="58" customFormat="1" ht="12" x14ac:dyDescent="0.2">
      <c r="B929" s="91"/>
      <c r="E929" s="92"/>
      <c r="F929" s="93"/>
      <c r="G929" s="94"/>
      <c r="H929" s="94"/>
      <c r="I929" s="94"/>
      <c r="J929" s="94"/>
      <c r="K929" s="93"/>
      <c r="L929" s="86"/>
      <c r="M929" s="86"/>
      <c r="N929" s="86"/>
      <c r="O929" s="86"/>
      <c r="P929" s="86"/>
      <c r="Q929" s="85"/>
      <c r="S929" s="85"/>
      <c r="T929" s="85"/>
      <c r="U929" s="85"/>
      <c r="V929" s="85"/>
      <c r="W929" s="85"/>
      <c r="X929" s="85"/>
    </row>
    <row r="930" spans="2:24" s="58" customFormat="1" ht="12" x14ac:dyDescent="0.2">
      <c r="B930" s="91"/>
      <c r="E930" s="92"/>
      <c r="F930" s="93"/>
      <c r="G930" s="94"/>
      <c r="H930" s="94"/>
      <c r="I930" s="94"/>
      <c r="J930" s="94"/>
      <c r="K930" s="93"/>
      <c r="L930" s="86"/>
      <c r="M930" s="86"/>
      <c r="N930" s="86"/>
      <c r="O930" s="86"/>
      <c r="P930" s="86"/>
      <c r="Q930" s="85"/>
      <c r="S930" s="85"/>
      <c r="T930" s="85"/>
      <c r="U930" s="85"/>
      <c r="V930" s="85"/>
      <c r="W930" s="85"/>
      <c r="X930" s="85"/>
    </row>
    <row r="931" spans="2:24" s="58" customFormat="1" ht="12" x14ac:dyDescent="0.2">
      <c r="B931" s="91"/>
      <c r="E931" s="92"/>
      <c r="F931" s="93"/>
      <c r="G931" s="94"/>
      <c r="H931" s="94"/>
      <c r="I931" s="94"/>
      <c r="J931" s="94"/>
      <c r="K931" s="93"/>
      <c r="L931" s="86"/>
      <c r="M931" s="86"/>
      <c r="N931" s="86"/>
      <c r="O931" s="86"/>
      <c r="P931" s="86"/>
      <c r="Q931" s="85"/>
      <c r="S931" s="85"/>
      <c r="T931" s="85"/>
      <c r="U931" s="85"/>
      <c r="V931" s="85"/>
      <c r="W931" s="85"/>
      <c r="X931" s="85"/>
    </row>
    <row r="932" spans="2:24" s="58" customFormat="1" ht="12" x14ac:dyDescent="0.2">
      <c r="B932" s="91"/>
      <c r="E932" s="92"/>
      <c r="F932" s="93"/>
      <c r="G932" s="94"/>
      <c r="H932" s="94"/>
      <c r="I932" s="94"/>
      <c r="J932" s="94"/>
      <c r="K932" s="93"/>
      <c r="L932" s="86"/>
      <c r="M932" s="86"/>
      <c r="N932" s="86"/>
      <c r="O932" s="86"/>
      <c r="P932" s="86"/>
      <c r="Q932" s="85"/>
      <c r="S932" s="85"/>
      <c r="T932" s="85"/>
      <c r="U932" s="85"/>
      <c r="V932" s="85"/>
      <c r="W932" s="85"/>
      <c r="X932" s="85"/>
    </row>
    <row r="933" spans="2:24" s="58" customFormat="1" ht="12" x14ac:dyDescent="0.2">
      <c r="B933" s="91"/>
      <c r="E933" s="92"/>
      <c r="F933" s="93"/>
      <c r="G933" s="94"/>
      <c r="H933" s="94"/>
      <c r="I933" s="94"/>
      <c r="J933" s="94"/>
      <c r="K933" s="93"/>
      <c r="L933" s="86"/>
      <c r="M933" s="86"/>
      <c r="N933" s="86"/>
      <c r="O933" s="86"/>
      <c r="P933" s="86"/>
      <c r="Q933" s="85"/>
      <c r="S933" s="85"/>
      <c r="T933" s="85"/>
      <c r="U933" s="85"/>
      <c r="V933" s="85"/>
      <c r="W933" s="85"/>
      <c r="X933" s="85"/>
    </row>
    <row r="934" spans="2:24" s="58" customFormat="1" ht="12" x14ac:dyDescent="0.2">
      <c r="B934" s="91"/>
      <c r="E934" s="92"/>
      <c r="F934" s="93"/>
      <c r="G934" s="94"/>
      <c r="H934" s="94"/>
      <c r="I934" s="94"/>
      <c r="J934" s="94"/>
      <c r="K934" s="93"/>
      <c r="L934" s="86"/>
      <c r="M934" s="86"/>
      <c r="N934" s="86"/>
      <c r="O934" s="86"/>
      <c r="P934" s="86"/>
      <c r="Q934" s="85"/>
      <c r="S934" s="85"/>
      <c r="T934" s="85"/>
      <c r="U934" s="85"/>
      <c r="V934" s="85"/>
      <c r="W934" s="85"/>
      <c r="X934" s="85"/>
    </row>
    <row r="935" spans="2:24" s="58" customFormat="1" ht="12" x14ac:dyDescent="0.2">
      <c r="B935" s="91"/>
      <c r="E935" s="92"/>
      <c r="F935" s="93"/>
      <c r="G935" s="94"/>
      <c r="H935" s="94"/>
      <c r="I935" s="94"/>
      <c r="J935" s="94"/>
      <c r="K935" s="93"/>
      <c r="L935" s="86"/>
      <c r="M935" s="86"/>
      <c r="N935" s="86"/>
      <c r="O935" s="86"/>
      <c r="P935" s="86"/>
      <c r="Q935" s="85"/>
      <c r="S935" s="85"/>
      <c r="T935" s="85"/>
      <c r="U935" s="85"/>
      <c r="V935" s="85"/>
      <c r="W935" s="85"/>
      <c r="X935" s="85"/>
    </row>
    <row r="936" spans="2:24" s="58" customFormat="1" ht="12" x14ac:dyDescent="0.2">
      <c r="B936" s="91"/>
      <c r="E936" s="92"/>
      <c r="F936" s="93"/>
      <c r="G936" s="94"/>
      <c r="H936" s="94"/>
      <c r="I936" s="94"/>
      <c r="J936" s="94"/>
      <c r="K936" s="93"/>
      <c r="L936" s="86"/>
      <c r="M936" s="86"/>
      <c r="N936" s="86"/>
      <c r="O936" s="86"/>
      <c r="P936" s="86"/>
      <c r="Q936" s="85"/>
      <c r="S936" s="85"/>
      <c r="T936" s="85"/>
      <c r="U936" s="85"/>
      <c r="V936" s="85"/>
      <c r="W936" s="85"/>
      <c r="X936" s="85"/>
    </row>
    <row r="937" spans="2:24" s="58" customFormat="1" ht="12" x14ac:dyDescent="0.2">
      <c r="B937" s="91"/>
      <c r="E937" s="92"/>
      <c r="F937" s="93"/>
      <c r="G937" s="94"/>
      <c r="H937" s="94"/>
      <c r="I937" s="94"/>
      <c r="J937" s="94"/>
      <c r="K937" s="93"/>
      <c r="L937" s="86"/>
      <c r="M937" s="86"/>
      <c r="N937" s="86"/>
      <c r="O937" s="86"/>
      <c r="P937" s="86"/>
      <c r="Q937" s="85"/>
      <c r="S937" s="85"/>
      <c r="T937" s="85"/>
      <c r="U937" s="85"/>
      <c r="V937" s="85"/>
      <c r="W937" s="85"/>
      <c r="X937" s="85"/>
    </row>
    <row r="938" spans="2:24" s="58" customFormat="1" ht="12" x14ac:dyDescent="0.2">
      <c r="B938" s="91"/>
      <c r="E938" s="92"/>
      <c r="F938" s="93"/>
      <c r="G938" s="94"/>
      <c r="H938" s="94"/>
      <c r="I938" s="94"/>
      <c r="J938" s="94"/>
      <c r="K938" s="93"/>
      <c r="L938" s="86"/>
      <c r="M938" s="86"/>
      <c r="N938" s="86"/>
      <c r="O938" s="86"/>
      <c r="P938" s="86"/>
      <c r="Q938" s="85"/>
      <c r="S938" s="85"/>
      <c r="T938" s="85"/>
      <c r="U938" s="85"/>
      <c r="V938" s="85"/>
      <c r="W938" s="85"/>
      <c r="X938" s="85"/>
    </row>
    <row r="939" spans="2:24" s="58" customFormat="1" ht="12" x14ac:dyDescent="0.2">
      <c r="B939" s="91"/>
      <c r="E939" s="92"/>
      <c r="F939" s="93"/>
      <c r="G939" s="94"/>
      <c r="H939" s="94"/>
      <c r="I939" s="94"/>
      <c r="J939" s="94"/>
      <c r="K939" s="93"/>
      <c r="L939" s="86"/>
      <c r="M939" s="86"/>
      <c r="N939" s="86"/>
      <c r="O939" s="86"/>
      <c r="P939" s="86"/>
      <c r="Q939" s="85"/>
      <c r="S939" s="85"/>
      <c r="T939" s="85"/>
      <c r="U939" s="85"/>
      <c r="V939" s="85"/>
      <c r="W939" s="85"/>
      <c r="X939" s="85"/>
    </row>
    <row r="940" spans="2:24" s="58" customFormat="1" ht="12" x14ac:dyDescent="0.2">
      <c r="B940" s="91"/>
      <c r="E940" s="92"/>
      <c r="F940" s="93"/>
      <c r="G940" s="94"/>
      <c r="H940" s="94"/>
      <c r="I940" s="94"/>
      <c r="J940" s="94"/>
      <c r="K940" s="93"/>
      <c r="L940" s="86"/>
      <c r="M940" s="86"/>
      <c r="N940" s="86"/>
      <c r="O940" s="86"/>
      <c r="P940" s="86"/>
      <c r="Q940" s="85"/>
      <c r="S940" s="85"/>
      <c r="T940" s="85"/>
      <c r="U940" s="85"/>
      <c r="V940" s="85"/>
      <c r="W940" s="85"/>
      <c r="X940" s="85"/>
    </row>
    <row r="941" spans="2:24" s="58" customFormat="1" ht="12" x14ac:dyDescent="0.2">
      <c r="B941" s="91"/>
      <c r="E941" s="92"/>
      <c r="F941" s="93"/>
      <c r="G941" s="94"/>
      <c r="H941" s="94"/>
      <c r="I941" s="94"/>
      <c r="J941" s="94"/>
      <c r="K941" s="93"/>
      <c r="L941" s="86"/>
      <c r="M941" s="86"/>
      <c r="N941" s="86"/>
      <c r="O941" s="86"/>
      <c r="P941" s="86"/>
      <c r="Q941" s="85"/>
      <c r="S941" s="85"/>
      <c r="T941" s="85"/>
      <c r="U941" s="85"/>
      <c r="V941" s="85"/>
      <c r="W941" s="85"/>
      <c r="X941" s="85"/>
    </row>
    <row r="942" spans="2:24" s="58" customFormat="1" ht="12" x14ac:dyDescent="0.2">
      <c r="B942" s="91"/>
      <c r="E942" s="92"/>
      <c r="F942" s="93"/>
      <c r="G942" s="94"/>
      <c r="H942" s="94"/>
      <c r="I942" s="94"/>
      <c r="J942" s="94"/>
      <c r="K942" s="93"/>
      <c r="L942" s="86"/>
      <c r="M942" s="86"/>
      <c r="N942" s="86"/>
      <c r="O942" s="86"/>
      <c r="P942" s="86"/>
      <c r="Q942" s="85"/>
      <c r="S942" s="85"/>
      <c r="T942" s="85"/>
      <c r="U942" s="85"/>
      <c r="V942" s="85"/>
      <c r="W942" s="85"/>
      <c r="X942" s="85"/>
    </row>
    <row r="943" spans="2:24" s="58" customFormat="1" ht="12" x14ac:dyDescent="0.2">
      <c r="B943" s="91"/>
      <c r="E943" s="92"/>
      <c r="F943" s="93"/>
      <c r="G943" s="94"/>
      <c r="H943" s="94"/>
      <c r="I943" s="94"/>
      <c r="J943" s="94"/>
      <c r="K943" s="93"/>
      <c r="L943" s="86"/>
      <c r="M943" s="86"/>
      <c r="N943" s="86"/>
      <c r="O943" s="86"/>
      <c r="P943" s="86"/>
      <c r="Q943" s="85"/>
      <c r="S943" s="85"/>
      <c r="T943" s="85"/>
      <c r="U943" s="85"/>
      <c r="V943" s="85"/>
      <c r="W943" s="85"/>
      <c r="X943" s="85"/>
    </row>
    <row r="944" spans="2:24" s="58" customFormat="1" ht="12" x14ac:dyDescent="0.2">
      <c r="B944" s="91"/>
      <c r="E944" s="92"/>
      <c r="F944" s="93"/>
      <c r="G944" s="94"/>
      <c r="H944" s="94"/>
      <c r="I944" s="94"/>
      <c r="J944" s="94"/>
      <c r="K944" s="93"/>
      <c r="L944" s="86"/>
      <c r="M944" s="86"/>
      <c r="N944" s="86"/>
      <c r="O944" s="86"/>
      <c r="P944" s="86"/>
      <c r="Q944" s="85"/>
      <c r="S944" s="85"/>
      <c r="T944" s="85"/>
      <c r="U944" s="85"/>
      <c r="V944" s="85"/>
      <c r="W944" s="85"/>
      <c r="X944" s="85"/>
    </row>
    <row r="945" spans="2:24" s="58" customFormat="1" ht="12" x14ac:dyDescent="0.2">
      <c r="B945" s="91"/>
      <c r="E945" s="92"/>
      <c r="F945" s="93"/>
      <c r="G945" s="94"/>
      <c r="H945" s="94"/>
      <c r="I945" s="94"/>
      <c r="J945" s="94"/>
      <c r="K945" s="93"/>
      <c r="L945" s="86"/>
      <c r="M945" s="86"/>
      <c r="N945" s="86"/>
      <c r="O945" s="86"/>
      <c r="P945" s="86"/>
      <c r="Q945" s="85"/>
      <c r="S945" s="85"/>
      <c r="T945" s="85"/>
      <c r="U945" s="85"/>
      <c r="V945" s="85"/>
      <c r="W945" s="85"/>
      <c r="X945" s="85"/>
    </row>
    <row r="946" spans="2:24" s="58" customFormat="1" ht="12" x14ac:dyDescent="0.2">
      <c r="B946" s="91"/>
      <c r="E946" s="92"/>
      <c r="F946" s="93"/>
      <c r="G946" s="94"/>
      <c r="H946" s="94"/>
      <c r="I946" s="94"/>
      <c r="J946" s="94"/>
      <c r="K946" s="93"/>
      <c r="L946" s="86"/>
      <c r="M946" s="86"/>
      <c r="N946" s="86"/>
      <c r="O946" s="86"/>
      <c r="P946" s="86"/>
      <c r="Q946" s="85"/>
      <c r="S946" s="85"/>
      <c r="T946" s="85"/>
      <c r="U946" s="85"/>
      <c r="V946" s="85"/>
      <c r="W946" s="85"/>
      <c r="X946" s="85"/>
    </row>
    <row r="947" spans="2:24" s="58" customFormat="1" ht="12" x14ac:dyDescent="0.2">
      <c r="B947" s="91"/>
      <c r="E947" s="92"/>
      <c r="F947" s="93"/>
      <c r="G947" s="94"/>
      <c r="H947" s="94"/>
      <c r="I947" s="94"/>
      <c r="J947" s="94"/>
      <c r="K947" s="93"/>
      <c r="L947" s="86"/>
      <c r="M947" s="86"/>
      <c r="N947" s="86"/>
      <c r="O947" s="86"/>
      <c r="P947" s="86"/>
      <c r="Q947" s="85"/>
      <c r="S947" s="85"/>
      <c r="T947" s="85"/>
      <c r="U947" s="85"/>
      <c r="V947" s="85"/>
      <c r="W947" s="85"/>
      <c r="X947" s="85"/>
    </row>
    <row r="948" spans="2:24" s="58" customFormat="1" ht="12" x14ac:dyDescent="0.2">
      <c r="B948" s="91"/>
      <c r="E948" s="92"/>
      <c r="F948" s="93"/>
      <c r="G948" s="94"/>
      <c r="H948" s="94"/>
      <c r="I948" s="94"/>
      <c r="J948" s="94"/>
      <c r="K948" s="93"/>
      <c r="L948" s="86"/>
      <c r="M948" s="86"/>
      <c r="N948" s="86"/>
      <c r="O948" s="86"/>
      <c r="P948" s="86"/>
      <c r="Q948" s="85"/>
      <c r="S948" s="85"/>
      <c r="T948" s="85"/>
      <c r="U948" s="85"/>
      <c r="V948" s="85"/>
      <c r="W948" s="85"/>
      <c r="X948" s="85"/>
    </row>
    <row r="949" spans="2:24" s="58" customFormat="1" ht="12" x14ac:dyDescent="0.2">
      <c r="B949" s="91"/>
      <c r="E949" s="92"/>
      <c r="F949" s="93"/>
      <c r="G949" s="94"/>
      <c r="H949" s="94"/>
      <c r="I949" s="94"/>
      <c r="J949" s="94"/>
      <c r="K949" s="93"/>
      <c r="L949" s="86"/>
      <c r="M949" s="86"/>
      <c r="N949" s="86"/>
      <c r="O949" s="86"/>
      <c r="P949" s="86"/>
      <c r="Q949" s="85"/>
      <c r="S949" s="85"/>
      <c r="T949" s="85"/>
      <c r="U949" s="85"/>
      <c r="V949" s="85"/>
      <c r="W949" s="85"/>
      <c r="X949" s="85"/>
    </row>
    <row r="950" spans="2:24" s="58" customFormat="1" ht="12" x14ac:dyDescent="0.2">
      <c r="B950" s="91"/>
      <c r="E950" s="92"/>
      <c r="F950" s="93"/>
      <c r="G950" s="94"/>
      <c r="H950" s="94"/>
      <c r="I950" s="94"/>
      <c r="J950" s="94"/>
      <c r="K950" s="93"/>
      <c r="L950" s="86"/>
      <c r="M950" s="86"/>
      <c r="N950" s="86"/>
      <c r="O950" s="86"/>
      <c r="P950" s="86"/>
      <c r="Q950" s="85"/>
      <c r="S950" s="85"/>
      <c r="T950" s="85"/>
      <c r="U950" s="85"/>
      <c r="V950" s="85"/>
      <c r="W950" s="85"/>
      <c r="X950" s="85"/>
    </row>
    <row r="951" spans="2:24" s="58" customFormat="1" ht="12" x14ac:dyDescent="0.2">
      <c r="B951" s="91"/>
      <c r="E951" s="92"/>
      <c r="F951" s="93"/>
      <c r="G951" s="94"/>
      <c r="H951" s="94"/>
      <c r="I951" s="94"/>
      <c r="J951" s="94"/>
      <c r="K951" s="93"/>
      <c r="L951" s="86"/>
      <c r="M951" s="86"/>
      <c r="N951" s="86"/>
      <c r="O951" s="86"/>
      <c r="P951" s="86"/>
      <c r="Q951" s="85"/>
      <c r="S951" s="85"/>
      <c r="T951" s="85"/>
      <c r="U951" s="85"/>
      <c r="V951" s="85"/>
      <c r="W951" s="85"/>
      <c r="X951" s="85"/>
    </row>
    <row r="952" spans="2:24" s="58" customFormat="1" ht="12" x14ac:dyDescent="0.2">
      <c r="B952" s="91"/>
      <c r="E952" s="92"/>
      <c r="F952" s="93"/>
      <c r="G952" s="94"/>
      <c r="H952" s="94"/>
      <c r="I952" s="94"/>
      <c r="J952" s="94"/>
      <c r="K952" s="93"/>
      <c r="L952" s="86"/>
      <c r="M952" s="86"/>
      <c r="N952" s="86"/>
      <c r="O952" s="86"/>
      <c r="P952" s="86"/>
      <c r="Q952" s="85"/>
      <c r="S952" s="85"/>
      <c r="T952" s="85"/>
      <c r="U952" s="85"/>
      <c r="V952" s="85"/>
      <c r="W952" s="85"/>
      <c r="X952" s="85"/>
    </row>
    <row r="953" spans="2:24" s="58" customFormat="1" ht="12" x14ac:dyDescent="0.2">
      <c r="B953" s="91"/>
      <c r="E953" s="92"/>
      <c r="F953" s="93"/>
      <c r="G953" s="94"/>
      <c r="H953" s="94"/>
      <c r="I953" s="94"/>
      <c r="J953" s="94"/>
      <c r="K953" s="93"/>
      <c r="L953" s="86"/>
      <c r="M953" s="86"/>
      <c r="N953" s="86"/>
      <c r="O953" s="86"/>
      <c r="P953" s="86"/>
      <c r="Q953" s="85"/>
      <c r="S953" s="85"/>
      <c r="T953" s="85"/>
      <c r="U953" s="85"/>
      <c r="V953" s="85"/>
      <c r="W953" s="85"/>
      <c r="X953" s="85"/>
    </row>
    <row r="954" spans="2:24" s="58" customFormat="1" ht="12" x14ac:dyDescent="0.2">
      <c r="B954" s="91"/>
      <c r="E954" s="92"/>
      <c r="F954" s="93"/>
      <c r="G954" s="94"/>
      <c r="H954" s="94"/>
      <c r="I954" s="94"/>
      <c r="J954" s="94"/>
      <c r="K954" s="93"/>
      <c r="L954" s="86"/>
      <c r="M954" s="86"/>
      <c r="N954" s="86"/>
      <c r="O954" s="86"/>
      <c r="P954" s="86"/>
      <c r="Q954" s="85"/>
      <c r="S954" s="85"/>
      <c r="T954" s="85"/>
      <c r="U954" s="85"/>
      <c r="V954" s="85"/>
      <c r="W954" s="85"/>
      <c r="X954" s="85"/>
    </row>
    <row r="955" spans="2:24" s="58" customFormat="1" ht="12" x14ac:dyDescent="0.2">
      <c r="B955" s="91"/>
      <c r="E955" s="92"/>
      <c r="F955" s="93"/>
      <c r="G955" s="94"/>
      <c r="H955" s="94"/>
      <c r="I955" s="94"/>
      <c r="J955" s="94"/>
      <c r="K955" s="93"/>
      <c r="L955" s="86"/>
      <c r="M955" s="86"/>
      <c r="N955" s="86"/>
      <c r="O955" s="86"/>
      <c r="P955" s="86"/>
      <c r="Q955" s="85"/>
      <c r="S955" s="85"/>
      <c r="T955" s="85"/>
      <c r="U955" s="85"/>
      <c r="V955" s="85"/>
      <c r="W955" s="85"/>
      <c r="X955" s="85"/>
    </row>
    <row r="956" spans="2:24" s="58" customFormat="1" ht="12" x14ac:dyDescent="0.2">
      <c r="B956" s="91"/>
      <c r="E956" s="92"/>
      <c r="F956" s="93"/>
      <c r="G956" s="94"/>
      <c r="H956" s="94"/>
      <c r="I956" s="94"/>
      <c r="J956" s="94"/>
      <c r="K956" s="93"/>
      <c r="L956" s="86"/>
      <c r="M956" s="86"/>
      <c r="N956" s="86"/>
      <c r="O956" s="86"/>
      <c r="P956" s="86"/>
      <c r="Q956" s="85"/>
      <c r="S956" s="85"/>
      <c r="T956" s="85"/>
      <c r="U956" s="85"/>
      <c r="V956" s="85"/>
      <c r="W956" s="85"/>
      <c r="X956" s="85"/>
    </row>
    <row r="957" spans="2:24" s="58" customFormat="1" ht="12" x14ac:dyDescent="0.2">
      <c r="B957" s="91"/>
      <c r="E957" s="92"/>
      <c r="F957" s="93"/>
      <c r="G957" s="94"/>
      <c r="H957" s="94"/>
      <c r="I957" s="94"/>
      <c r="J957" s="94"/>
      <c r="K957" s="93"/>
      <c r="L957" s="86"/>
      <c r="M957" s="86"/>
      <c r="N957" s="86"/>
      <c r="O957" s="86"/>
      <c r="P957" s="86"/>
      <c r="Q957" s="85"/>
      <c r="S957" s="85"/>
      <c r="T957" s="85"/>
      <c r="U957" s="85"/>
      <c r="V957" s="85"/>
      <c r="W957" s="85"/>
      <c r="X957" s="85"/>
    </row>
    <row r="958" spans="2:24" s="58" customFormat="1" ht="12" x14ac:dyDescent="0.2">
      <c r="B958" s="91"/>
      <c r="E958" s="92"/>
      <c r="F958" s="93"/>
      <c r="G958" s="94"/>
      <c r="H958" s="94"/>
      <c r="I958" s="94"/>
      <c r="J958" s="94"/>
      <c r="K958" s="93"/>
      <c r="L958" s="86"/>
      <c r="M958" s="86"/>
      <c r="N958" s="86"/>
      <c r="O958" s="86"/>
      <c r="P958" s="86"/>
      <c r="Q958" s="85"/>
      <c r="S958" s="85"/>
      <c r="T958" s="85"/>
      <c r="U958" s="85"/>
      <c r="V958" s="85"/>
      <c r="W958" s="85"/>
      <c r="X958" s="85"/>
    </row>
    <row r="959" spans="2:24" s="58" customFormat="1" ht="12" x14ac:dyDescent="0.2">
      <c r="B959" s="91"/>
      <c r="E959" s="92"/>
      <c r="F959" s="93"/>
      <c r="G959" s="94"/>
      <c r="H959" s="94"/>
      <c r="I959" s="94"/>
      <c r="J959" s="94"/>
      <c r="K959" s="93"/>
      <c r="L959" s="86"/>
      <c r="M959" s="86"/>
      <c r="N959" s="86"/>
      <c r="O959" s="86"/>
      <c r="P959" s="86"/>
      <c r="Q959" s="85"/>
      <c r="S959" s="85"/>
      <c r="T959" s="85"/>
      <c r="U959" s="85"/>
      <c r="V959" s="85"/>
      <c r="W959" s="85"/>
      <c r="X959" s="85"/>
    </row>
    <row r="960" spans="2:24" s="58" customFormat="1" ht="12" x14ac:dyDescent="0.2">
      <c r="B960" s="91"/>
      <c r="E960" s="92"/>
      <c r="F960" s="93"/>
      <c r="G960" s="94"/>
      <c r="H960" s="94"/>
      <c r="I960" s="94"/>
      <c r="J960" s="94"/>
      <c r="K960" s="93"/>
      <c r="L960" s="86"/>
      <c r="M960" s="86"/>
      <c r="N960" s="86"/>
      <c r="O960" s="86"/>
      <c r="P960" s="86"/>
      <c r="Q960" s="85"/>
      <c r="S960" s="85"/>
      <c r="T960" s="85"/>
      <c r="U960" s="85"/>
      <c r="V960" s="85"/>
      <c r="W960" s="85"/>
      <c r="X960" s="85"/>
    </row>
    <row r="961" spans="2:24" s="58" customFormat="1" ht="12" x14ac:dyDescent="0.2">
      <c r="B961" s="91"/>
      <c r="E961" s="92"/>
      <c r="F961" s="93"/>
      <c r="G961" s="94"/>
      <c r="H961" s="94"/>
      <c r="I961" s="94"/>
      <c r="J961" s="94"/>
      <c r="K961" s="93"/>
      <c r="L961" s="86"/>
      <c r="M961" s="86"/>
      <c r="N961" s="86"/>
      <c r="O961" s="86"/>
      <c r="P961" s="86"/>
      <c r="Q961" s="85"/>
      <c r="S961" s="85"/>
      <c r="T961" s="85"/>
      <c r="U961" s="85"/>
      <c r="V961" s="85"/>
      <c r="W961" s="85"/>
      <c r="X961" s="85"/>
    </row>
    <row r="962" spans="2:24" s="58" customFormat="1" ht="12" x14ac:dyDescent="0.2">
      <c r="B962" s="91"/>
      <c r="E962" s="92"/>
      <c r="F962" s="93"/>
      <c r="G962" s="94"/>
      <c r="H962" s="94"/>
      <c r="I962" s="94"/>
      <c r="J962" s="94"/>
      <c r="K962" s="93"/>
      <c r="L962" s="86"/>
      <c r="M962" s="86"/>
      <c r="N962" s="86"/>
      <c r="O962" s="86"/>
      <c r="P962" s="86"/>
      <c r="Q962" s="85"/>
      <c r="S962" s="85"/>
      <c r="T962" s="85"/>
      <c r="U962" s="85"/>
      <c r="V962" s="85"/>
      <c r="W962" s="85"/>
      <c r="X962" s="85"/>
    </row>
    <row r="963" spans="2:24" s="58" customFormat="1" ht="12" x14ac:dyDescent="0.2">
      <c r="B963" s="91"/>
      <c r="E963" s="92"/>
      <c r="F963" s="93"/>
      <c r="G963" s="94"/>
      <c r="H963" s="94"/>
      <c r="I963" s="94"/>
      <c r="J963" s="94"/>
      <c r="K963" s="93"/>
      <c r="L963" s="86"/>
      <c r="M963" s="86"/>
      <c r="N963" s="86"/>
      <c r="O963" s="86"/>
      <c r="P963" s="86"/>
      <c r="Q963" s="85"/>
      <c r="S963" s="85"/>
      <c r="T963" s="85"/>
      <c r="U963" s="85"/>
      <c r="V963" s="85"/>
      <c r="W963" s="85"/>
      <c r="X963" s="85"/>
    </row>
    <row r="964" spans="2:24" s="58" customFormat="1" ht="12" x14ac:dyDescent="0.2">
      <c r="B964" s="91"/>
      <c r="E964" s="92"/>
      <c r="F964" s="93"/>
      <c r="G964" s="94"/>
      <c r="H964" s="94"/>
      <c r="I964" s="94"/>
      <c r="J964" s="94"/>
      <c r="K964" s="93"/>
      <c r="L964" s="86"/>
      <c r="M964" s="86"/>
      <c r="N964" s="86"/>
      <c r="O964" s="86"/>
      <c r="P964" s="86"/>
      <c r="Q964" s="85"/>
      <c r="S964" s="85"/>
      <c r="T964" s="85"/>
      <c r="U964" s="85"/>
      <c r="V964" s="85"/>
      <c r="W964" s="85"/>
      <c r="X964" s="85"/>
    </row>
    <row r="965" spans="2:24" s="58" customFormat="1" ht="12" x14ac:dyDescent="0.2">
      <c r="B965" s="91"/>
      <c r="E965" s="92"/>
      <c r="F965" s="93"/>
      <c r="G965" s="94"/>
      <c r="H965" s="94"/>
      <c r="I965" s="94"/>
      <c r="J965" s="94"/>
      <c r="K965" s="93"/>
      <c r="L965" s="86"/>
      <c r="M965" s="86"/>
      <c r="N965" s="86"/>
      <c r="O965" s="86"/>
      <c r="P965" s="86"/>
      <c r="Q965" s="85"/>
      <c r="S965" s="85"/>
      <c r="T965" s="85"/>
      <c r="U965" s="85"/>
      <c r="V965" s="85"/>
      <c r="W965" s="85"/>
      <c r="X965" s="85"/>
    </row>
    <row r="966" spans="2:24" s="58" customFormat="1" ht="12" x14ac:dyDescent="0.2">
      <c r="B966" s="91"/>
      <c r="E966" s="92"/>
      <c r="F966" s="93"/>
      <c r="G966" s="94"/>
      <c r="H966" s="94"/>
      <c r="I966" s="94"/>
      <c r="J966" s="94"/>
      <c r="K966" s="93"/>
      <c r="L966" s="86"/>
      <c r="M966" s="86"/>
      <c r="N966" s="86"/>
      <c r="O966" s="86"/>
      <c r="P966" s="86"/>
      <c r="Q966" s="85"/>
      <c r="S966" s="85"/>
      <c r="T966" s="85"/>
      <c r="U966" s="85"/>
      <c r="V966" s="85"/>
      <c r="W966" s="85"/>
      <c r="X966" s="85"/>
    </row>
    <row r="967" spans="2:24" s="58" customFormat="1" ht="12" x14ac:dyDescent="0.2">
      <c r="B967" s="91"/>
      <c r="E967" s="92"/>
      <c r="F967" s="93"/>
      <c r="G967" s="94"/>
      <c r="H967" s="94"/>
      <c r="I967" s="94"/>
      <c r="J967" s="94"/>
      <c r="K967" s="93"/>
      <c r="L967" s="86"/>
      <c r="M967" s="86"/>
      <c r="N967" s="86"/>
      <c r="O967" s="86"/>
      <c r="P967" s="86"/>
      <c r="Q967" s="85"/>
      <c r="S967" s="85"/>
      <c r="T967" s="85"/>
      <c r="U967" s="85"/>
      <c r="V967" s="85"/>
      <c r="W967" s="85"/>
      <c r="X967" s="85"/>
    </row>
    <row r="968" spans="2:24" s="58" customFormat="1" ht="12" x14ac:dyDescent="0.2">
      <c r="B968" s="91"/>
      <c r="E968" s="92"/>
      <c r="F968" s="93"/>
      <c r="G968" s="94"/>
      <c r="H968" s="94"/>
      <c r="I968" s="94"/>
      <c r="J968" s="94"/>
      <c r="K968" s="93"/>
      <c r="L968" s="86"/>
      <c r="M968" s="86"/>
      <c r="N968" s="86"/>
      <c r="O968" s="86"/>
      <c r="P968" s="86"/>
      <c r="Q968" s="85"/>
      <c r="S968" s="85"/>
      <c r="T968" s="85"/>
      <c r="U968" s="85"/>
      <c r="V968" s="85"/>
      <c r="W968" s="85"/>
      <c r="X968" s="85"/>
    </row>
    <row r="969" spans="2:24" s="58" customFormat="1" ht="12" x14ac:dyDescent="0.2">
      <c r="B969" s="91"/>
      <c r="E969" s="92"/>
      <c r="F969" s="93"/>
      <c r="G969" s="94"/>
      <c r="H969" s="94"/>
      <c r="I969" s="94"/>
      <c r="J969" s="94"/>
      <c r="K969" s="93"/>
      <c r="L969" s="86"/>
      <c r="M969" s="86"/>
      <c r="N969" s="86"/>
      <c r="O969" s="86"/>
      <c r="P969" s="86"/>
      <c r="Q969" s="85"/>
      <c r="S969" s="85"/>
      <c r="T969" s="85"/>
      <c r="U969" s="85"/>
      <c r="V969" s="85"/>
      <c r="W969" s="85"/>
      <c r="X969" s="85"/>
    </row>
    <row r="970" spans="2:24" s="58" customFormat="1" ht="12" x14ac:dyDescent="0.2">
      <c r="B970" s="91"/>
      <c r="E970" s="92"/>
      <c r="F970" s="93"/>
      <c r="G970" s="94"/>
      <c r="H970" s="94"/>
      <c r="I970" s="94"/>
      <c r="J970" s="94"/>
      <c r="K970" s="93"/>
      <c r="L970" s="86"/>
      <c r="M970" s="86"/>
      <c r="N970" s="86"/>
      <c r="O970" s="86"/>
      <c r="P970" s="86"/>
      <c r="Q970" s="85"/>
      <c r="S970" s="85"/>
      <c r="T970" s="85"/>
      <c r="U970" s="85"/>
      <c r="V970" s="85"/>
      <c r="W970" s="85"/>
      <c r="X970" s="85"/>
    </row>
    <row r="971" spans="2:24" s="58" customFormat="1" ht="12" x14ac:dyDescent="0.2">
      <c r="B971" s="91"/>
      <c r="E971" s="92"/>
      <c r="F971" s="93"/>
      <c r="G971" s="94"/>
      <c r="H971" s="94"/>
      <c r="I971" s="94"/>
      <c r="J971" s="94"/>
      <c r="K971" s="93"/>
      <c r="L971" s="86"/>
      <c r="M971" s="86"/>
      <c r="N971" s="86"/>
      <c r="O971" s="86"/>
      <c r="P971" s="86"/>
      <c r="Q971" s="85"/>
      <c r="S971" s="85"/>
      <c r="T971" s="85"/>
      <c r="U971" s="85"/>
      <c r="V971" s="85"/>
      <c r="W971" s="85"/>
      <c r="X971" s="85"/>
    </row>
    <row r="972" spans="2:24" s="58" customFormat="1" ht="12" x14ac:dyDescent="0.2">
      <c r="B972" s="91"/>
      <c r="E972" s="92"/>
      <c r="F972" s="93"/>
      <c r="G972" s="94"/>
      <c r="H972" s="94"/>
      <c r="I972" s="94"/>
      <c r="J972" s="94"/>
      <c r="K972" s="93"/>
      <c r="L972" s="86"/>
      <c r="M972" s="86"/>
      <c r="N972" s="86"/>
      <c r="O972" s="86"/>
      <c r="P972" s="86"/>
      <c r="Q972" s="85"/>
      <c r="S972" s="85"/>
      <c r="T972" s="85"/>
      <c r="U972" s="85"/>
      <c r="V972" s="85"/>
      <c r="W972" s="85"/>
      <c r="X972" s="85"/>
    </row>
    <row r="973" spans="2:24" s="58" customFormat="1" ht="12" x14ac:dyDescent="0.2">
      <c r="B973" s="91"/>
      <c r="E973" s="92"/>
      <c r="F973" s="93"/>
      <c r="G973" s="94"/>
      <c r="H973" s="94"/>
      <c r="I973" s="94"/>
      <c r="J973" s="94"/>
      <c r="K973" s="93"/>
      <c r="L973" s="86"/>
      <c r="M973" s="86"/>
      <c r="N973" s="86"/>
      <c r="O973" s="86"/>
      <c r="P973" s="86"/>
      <c r="Q973" s="85"/>
      <c r="S973" s="85"/>
      <c r="T973" s="85"/>
      <c r="U973" s="85"/>
      <c r="V973" s="85"/>
      <c r="W973" s="85"/>
      <c r="X973" s="85"/>
    </row>
    <row r="974" spans="2:24" s="58" customFormat="1" ht="12" x14ac:dyDescent="0.2">
      <c r="B974" s="91"/>
      <c r="E974" s="92"/>
      <c r="F974" s="93"/>
      <c r="G974" s="94"/>
      <c r="H974" s="94"/>
      <c r="I974" s="94"/>
      <c r="J974" s="94"/>
      <c r="K974" s="93"/>
      <c r="L974" s="86"/>
      <c r="M974" s="86"/>
      <c r="N974" s="86"/>
      <c r="O974" s="86"/>
      <c r="P974" s="86"/>
      <c r="Q974" s="85"/>
      <c r="S974" s="85"/>
      <c r="T974" s="85"/>
      <c r="U974" s="85"/>
      <c r="V974" s="85"/>
      <c r="W974" s="85"/>
      <c r="X974" s="85"/>
    </row>
    <row r="975" spans="2:24" s="58" customFormat="1" ht="12" x14ac:dyDescent="0.2">
      <c r="B975" s="91"/>
      <c r="E975" s="92"/>
      <c r="F975" s="93"/>
      <c r="G975" s="94"/>
      <c r="H975" s="94"/>
      <c r="I975" s="94"/>
      <c r="J975" s="94"/>
      <c r="K975" s="93"/>
      <c r="L975" s="86"/>
      <c r="M975" s="86"/>
      <c r="N975" s="86"/>
      <c r="O975" s="86"/>
      <c r="P975" s="86"/>
      <c r="Q975" s="85"/>
      <c r="S975" s="85"/>
      <c r="T975" s="85"/>
      <c r="U975" s="85"/>
      <c r="V975" s="85"/>
      <c r="W975" s="85"/>
      <c r="X975" s="85"/>
    </row>
    <row r="976" spans="2:24" s="58" customFormat="1" ht="12" x14ac:dyDescent="0.2">
      <c r="B976" s="91"/>
      <c r="E976" s="92"/>
      <c r="F976" s="93"/>
      <c r="G976" s="94"/>
      <c r="H976" s="94"/>
      <c r="I976" s="94"/>
      <c r="J976" s="94"/>
      <c r="K976" s="93"/>
      <c r="L976" s="86"/>
      <c r="M976" s="86"/>
      <c r="N976" s="86"/>
      <c r="O976" s="86"/>
      <c r="P976" s="86"/>
      <c r="Q976" s="85"/>
      <c r="S976" s="85"/>
      <c r="T976" s="85"/>
      <c r="U976" s="85"/>
      <c r="V976" s="85"/>
      <c r="W976" s="85"/>
      <c r="X976" s="85"/>
    </row>
    <row r="977" spans="2:24" s="58" customFormat="1" ht="12" x14ac:dyDescent="0.2">
      <c r="B977" s="91"/>
      <c r="E977" s="92"/>
      <c r="F977" s="93"/>
      <c r="G977" s="94"/>
      <c r="H977" s="94"/>
      <c r="I977" s="94"/>
      <c r="J977" s="94"/>
      <c r="K977" s="93"/>
      <c r="L977" s="86"/>
      <c r="M977" s="86"/>
      <c r="N977" s="86"/>
      <c r="O977" s="86"/>
      <c r="P977" s="86"/>
      <c r="Q977" s="85"/>
      <c r="S977" s="85"/>
      <c r="T977" s="85"/>
      <c r="U977" s="85"/>
      <c r="V977" s="85"/>
      <c r="W977" s="85"/>
      <c r="X977" s="85"/>
    </row>
    <row r="978" spans="2:24" s="58" customFormat="1" ht="12" x14ac:dyDescent="0.2">
      <c r="B978" s="91"/>
      <c r="E978" s="92"/>
      <c r="F978" s="93"/>
      <c r="G978" s="94"/>
      <c r="H978" s="94"/>
      <c r="I978" s="94"/>
      <c r="J978" s="94"/>
      <c r="K978" s="93"/>
      <c r="L978" s="86"/>
      <c r="M978" s="86"/>
      <c r="N978" s="86"/>
      <c r="O978" s="86"/>
      <c r="P978" s="86"/>
      <c r="Q978" s="85"/>
      <c r="S978" s="85"/>
      <c r="T978" s="85"/>
      <c r="U978" s="85"/>
      <c r="V978" s="85"/>
      <c r="W978" s="85"/>
      <c r="X978" s="85"/>
    </row>
    <row r="979" spans="2:24" s="58" customFormat="1" ht="12" x14ac:dyDescent="0.2">
      <c r="B979" s="91"/>
      <c r="E979" s="92"/>
      <c r="F979" s="93"/>
      <c r="G979" s="94"/>
      <c r="H979" s="94"/>
      <c r="I979" s="94"/>
      <c r="J979" s="94"/>
      <c r="K979" s="93"/>
      <c r="L979" s="86"/>
      <c r="M979" s="86"/>
      <c r="N979" s="86"/>
      <c r="O979" s="86"/>
      <c r="P979" s="86"/>
      <c r="Q979" s="85"/>
      <c r="S979" s="85"/>
      <c r="T979" s="85"/>
      <c r="U979" s="85"/>
      <c r="V979" s="85"/>
      <c r="W979" s="85"/>
      <c r="X979" s="85"/>
    </row>
    <row r="980" spans="2:24" s="58" customFormat="1" ht="12" x14ac:dyDescent="0.2">
      <c r="B980" s="91"/>
      <c r="E980" s="92"/>
      <c r="F980" s="93"/>
      <c r="G980" s="94"/>
      <c r="H980" s="94"/>
      <c r="I980" s="94"/>
      <c r="J980" s="94"/>
      <c r="K980" s="93"/>
      <c r="L980" s="86"/>
      <c r="M980" s="86"/>
      <c r="N980" s="86"/>
      <c r="O980" s="86"/>
      <c r="P980" s="86"/>
      <c r="Q980" s="85"/>
      <c r="S980" s="85"/>
      <c r="T980" s="85"/>
      <c r="U980" s="85"/>
      <c r="V980" s="85"/>
      <c r="W980" s="85"/>
      <c r="X980" s="85"/>
    </row>
    <row r="981" spans="2:24" s="58" customFormat="1" ht="12" x14ac:dyDescent="0.2">
      <c r="B981" s="91"/>
      <c r="E981" s="92"/>
      <c r="F981" s="93"/>
      <c r="G981" s="94"/>
      <c r="H981" s="94"/>
      <c r="I981" s="94"/>
      <c r="J981" s="94"/>
      <c r="K981" s="93"/>
      <c r="L981" s="86"/>
      <c r="M981" s="86"/>
      <c r="N981" s="86"/>
      <c r="O981" s="86"/>
      <c r="P981" s="86"/>
      <c r="Q981" s="85"/>
      <c r="S981" s="85"/>
      <c r="T981" s="85"/>
      <c r="U981" s="85"/>
      <c r="V981" s="85"/>
      <c r="W981" s="85"/>
      <c r="X981" s="85"/>
    </row>
    <row r="982" spans="2:24" s="58" customFormat="1" ht="12" x14ac:dyDescent="0.2">
      <c r="B982" s="91"/>
      <c r="E982" s="92"/>
      <c r="F982" s="93"/>
      <c r="G982" s="94"/>
      <c r="H982" s="94"/>
      <c r="I982" s="94"/>
      <c r="J982" s="94"/>
      <c r="K982" s="93"/>
      <c r="L982" s="86"/>
      <c r="M982" s="86"/>
      <c r="N982" s="86"/>
      <c r="O982" s="86"/>
      <c r="P982" s="86"/>
      <c r="Q982" s="85"/>
      <c r="S982" s="85"/>
      <c r="T982" s="85"/>
      <c r="U982" s="85"/>
      <c r="V982" s="85"/>
      <c r="W982" s="85"/>
      <c r="X982" s="85"/>
    </row>
    <row r="983" spans="2:24" s="58" customFormat="1" ht="12" x14ac:dyDescent="0.2">
      <c r="B983" s="91"/>
      <c r="E983" s="92"/>
      <c r="F983" s="93"/>
      <c r="G983" s="94"/>
      <c r="H983" s="94"/>
      <c r="I983" s="94"/>
      <c r="J983" s="94"/>
      <c r="K983" s="93"/>
      <c r="L983" s="86"/>
      <c r="M983" s="86"/>
      <c r="N983" s="86"/>
      <c r="O983" s="86"/>
      <c r="P983" s="86"/>
      <c r="Q983" s="85"/>
      <c r="S983" s="85"/>
      <c r="T983" s="85"/>
      <c r="U983" s="85"/>
      <c r="V983" s="85"/>
      <c r="W983" s="85"/>
      <c r="X983" s="85"/>
    </row>
    <row r="984" spans="2:24" s="58" customFormat="1" ht="12" x14ac:dyDescent="0.2">
      <c r="B984" s="91"/>
      <c r="E984" s="92"/>
      <c r="F984" s="93"/>
      <c r="G984" s="94"/>
      <c r="H984" s="94"/>
      <c r="I984" s="94"/>
      <c r="J984" s="94"/>
      <c r="K984" s="93"/>
      <c r="L984" s="86"/>
      <c r="M984" s="86"/>
      <c r="N984" s="86"/>
      <c r="O984" s="86"/>
      <c r="P984" s="86"/>
      <c r="Q984" s="85"/>
      <c r="S984" s="85"/>
      <c r="T984" s="85"/>
      <c r="U984" s="85"/>
      <c r="V984" s="85"/>
      <c r="W984" s="85"/>
      <c r="X984" s="85"/>
    </row>
    <row r="985" spans="2:24" s="58" customFormat="1" ht="12" x14ac:dyDescent="0.2">
      <c r="B985" s="91"/>
      <c r="E985" s="92"/>
      <c r="F985" s="93"/>
      <c r="G985" s="94"/>
      <c r="H985" s="94"/>
      <c r="I985" s="94"/>
      <c r="J985" s="94"/>
      <c r="K985" s="93"/>
      <c r="L985" s="86"/>
      <c r="M985" s="86"/>
      <c r="N985" s="86"/>
      <c r="O985" s="86"/>
      <c r="P985" s="86"/>
      <c r="Q985" s="85"/>
      <c r="S985" s="85"/>
      <c r="T985" s="85"/>
      <c r="U985" s="85"/>
      <c r="V985" s="85"/>
      <c r="W985" s="85"/>
      <c r="X985" s="85"/>
    </row>
    <row r="986" spans="2:24" s="58" customFormat="1" ht="12" x14ac:dyDescent="0.2">
      <c r="B986" s="91"/>
      <c r="E986" s="92"/>
      <c r="F986" s="93"/>
      <c r="G986" s="94"/>
      <c r="H986" s="94"/>
      <c r="I986" s="94"/>
      <c r="J986" s="94"/>
      <c r="K986" s="93"/>
      <c r="L986" s="86"/>
      <c r="M986" s="86"/>
      <c r="N986" s="86"/>
      <c r="O986" s="86"/>
      <c r="P986" s="86"/>
      <c r="Q986" s="85"/>
      <c r="S986" s="85"/>
      <c r="T986" s="85"/>
      <c r="U986" s="85"/>
      <c r="V986" s="85"/>
      <c r="W986" s="85"/>
      <c r="X986" s="85"/>
    </row>
    <row r="987" spans="2:24" s="58" customFormat="1" ht="12" x14ac:dyDescent="0.2">
      <c r="B987" s="91"/>
      <c r="E987" s="92"/>
      <c r="F987" s="93"/>
      <c r="G987" s="94"/>
      <c r="H987" s="94"/>
      <c r="I987" s="94"/>
      <c r="J987" s="94"/>
      <c r="K987" s="93"/>
      <c r="L987" s="86"/>
      <c r="M987" s="86"/>
      <c r="N987" s="86"/>
      <c r="O987" s="86"/>
      <c r="P987" s="86"/>
      <c r="Q987" s="85"/>
      <c r="S987" s="85"/>
      <c r="T987" s="85"/>
      <c r="U987" s="85"/>
      <c r="V987" s="85"/>
      <c r="W987" s="85"/>
      <c r="X987" s="85"/>
    </row>
    <row r="988" spans="2:24" s="58" customFormat="1" ht="12" x14ac:dyDescent="0.2">
      <c r="B988" s="91"/>
      <c r="E988" s="92"/>
      <c r="F988" s="93"/>
      <c r="G988" s="94"/>
      <c r="H988" s="94"/>
      <c r="I988" s="94"/>
      <c r="J988" s="94"/>
      <c r="K988" s="93"/>
      <c r="L988" s="86"/>
      <c r="M988" s="86"/>
      <c r="N988" s="86"/>
      <c r="O988" s="86"/>
      <c r="P988" s="86"/>
      <c r="Q988" s="85"/>
      <c r="S988" s="85"/>
      <c r="T988" s="85"/>
      <c r="U988" s="85"/>
      <c r="V988" s="85"/>
      <c r="W988" s="85"/>
      <c r="X988" s="85"/>
    </row>
    <row r="989" spans="2:24" s="58" customFormat="1" ht="12" x14ac:dyDescent="0.2">
      <c r="B989" s="91"/>
      <c r="E989" s="92"/>
      <c r="F989" s="93"/>
      <c r="G989" s="94"/>
      <c r="H989" s="94"/>
      <c r="I989" s="94"/>
      <c r="J989" s="94"/>
      <c r="K989" s="93"/>
      <c r="L989" s="86"/>
      <c r="M989" s="86"/>
      <c r="N989" s="86"/>
      <c r="O989" s="86"/>
      <c r="P989" s="86"/>
      <c r="Q989" s="85"/>
      <c r="S989" s="85"/>
      <c r="T989" s="85"/>
      <c r="U989" s="85"/>
      <c r="V989" s="85"/>
      <c r="W989" s="85"/>
      <c r="X989" s="85"/>
    </row>
    <row r="990" spans="2:24" s="58" customFormat="1" ht="12" x14ac:dyDescent="0.2">
      <c r="B990" s="91"/>
      <c r="E990" s="92"/>
      <c r="F990" s="93"/>
      <c r="G990" s="94"/>
      <c r="H990" s="94"/>
      <c r="I990" s="94"/>
      <c r="J990" s="94"/>
      <c r="K990" s="93"/>
      <c r="L990" s="86"/>
      <c r="M990" s="86"/>
      <c r="N990" s="86"/>
      <c r="O990" s="86"/>
      <c r="P990" s="86"/>
      <c r="Q990" s="85"/>
      <c r="S990" s="85"/>
      <c r="T990" s="85"/>
      <c r="U990" s="85"/>
      <c r="V990" s="85"/>
      <c r="W990" s="85"/>
      <c r="X990" s="85"/>
    </row>
    <row r="991" spans="2:24" s="58" customFormat="1" ht="12" x14ac:dyDescent="0.2">
      <c r="B991" s="91"/>
      <c r="E991" s="92"/>
      <c r="F991" s="93"/>
      <c r="G991" s="94"/>
      <c r="H991" s="94"/>
      <c r="I991" s="94"/>
      <c r="J991" s="94"/>
      <c r="K991" s="93"/>
      <c r="L991" s="86"/>
      <c r="M991" s="86"/>
      <c r="N991" s="86"/>
      <c r="O991" s="86"/>
      <c r="P991" s="86"/>
      <c r="Q991" s="85"/>
      <c r="S991" s="85"/>
      <c r="T991" s="85"/>
      <c r="U991" s="85"/>
      <c r="V991" s="85"/>
      <c r="W991" s="85"/>
      <c r="X991" s="85"/>
    </row>
    <row r="992" spans="2:24" s="58" customFormat="1" ht="12" x14ac:dyDescent="0.2">
      <c r="B992" s="91"/>
      <c r="E992" s="92"/>
      <c r="F992" s="93"/>
      <c r="G992" s="94"/>
      <c r="H992" s="94"/>
      <c r="I992" s="94"/>
      <c r="J992" s="94"/>
      <c r="K992" s="93"/>
      <c r="L992" s="86"/>
      <c r="M992" s="86"/>
      <c r="N992" s="86"/>
      <c r="O992" s="86"/>
      <c r="P992" s="86"/>
      <c r="Q992" s="85"/>
      <c r="S992" s="85"/>
      <c r="T992" s="85"/>
      <c r="U992" s="85"/>
      <c r="V992" s="85"/>
      <c r="W992" s="85"/>
      <c r="X992" s="85"/>
    </row>
    <row r="993" spans="2:24" s="58" customFormat="1" ht="12" x14ac:dyDescent="0.2">
      <c r="B993" s="91"/>
      <c r="E993" s="92"/>
      <c r="F993" s="93"/>
      <c r="G993" s="94"/>
      <c r="H993" s="94"/>
      <c r="I993" s="94"/>
      <c r="J993" s="94"/>
      <c r="K993" s="93"/>
      <c r="L993" s="86"/>
      <c r="M993" s="86"/>
      <c r="N993" s="86"/>
      <c r="O993" s="86"/>
      <c r="P993" s="86"/>
      <c r="Q993" s="85"/>
      <c r="S993" s="85"/>
      <c r="T993" s="85"/>
      <c r="U993" s="85"/>
      <c r="V993" s="85"/>
      <c r="W993" s="85"/>
      <c r="X993" s="85"/>
    </row>
    <row r="994" spans="2:24" s="58" customFormat="1" ht="12" x14ac:dyDescent="0.2">
      <c r="B994" s="91"/>
      <c r="E994" s="92"/>
      <c r="F994" s="93"/>
      <c r="G994" s="94"/>
      <c r="H994" s="94"/>
      <c r="I994" s="94"/>
      <c r="J994" s="94"/>
      <c r="K994" s="93"/>
      <c r="L994" s="86"/>
      <c r="M994" s="86"/>
      <c r="N994" s="86"/>
      <c r="O994" s="86"/>
      <c r="P994" s="86"/>
      <c r="Q994" s="85"/>
      <c r="S994" s="85"/>
      <c r="T994" s="85"/>
      <c r="U994" s="85"/>
      <c r="V994" s="85"/>
      <c r="W994" s="85"/>
      <c r="X994" s="85"/>
    </row>
    <row r="995" spans="2:24" s="58" customFormat="1" ht="12" x14ac:dyDescent="0.2">
      <c r="B995" s="91"/>
      <c r="E995" s="92"/>
      <c r="F995" s="93"/>
      <c r="G995" s="94"/>
      <c r="H995" s="94"/>
      <c r="I995" s="94"/>
      <c r="J995" s="94"/>
      <c r="K995" s="93"/>
      <c r="L995" s="86"/>
      <c r="M995" s="86"/>
      <c r="N995" s="86"/>
      <c r="O995" s="86"/>
      <c r="P995" s="86"/>
      <c r="Q995" s="85"/>
      <c r="S995" s="85"/>
      <c r="T995" s="85"/>
      <c r="U995" s="85"/>
      <c r="V995" s="85"/>
      <c r="W995" s="85"/>
      <c r="X995" s="85"/>
    </row>
    <row r="996" spans="2:24" s="58" customFormat="1" ht="12" x14ac:dyDescent="0.2">
      <c r="B996" s="91"/>
      <c r="E996" s="92"/>
      <c r="F996" s="93"/>
      <c r="G996" s="94"/>
      <c r="H996" s="94"/>
      <c r="I996" s="94"/>
      <c r="J996" s="94"/>
      <c r="K996" s="93"/>
      <c r="L996" s="86"/>
      <c r="M996" s="86"/>
      <c r="N996" s="86"/>
      <c r="O996" s="86"/>
      <c r="P996" s="86"/>
      <c r="Q996" s="85"/>
      <c r="S996" s="85"/>
      <c r="T996" s="85"/>
      <c r="U996" s="85"/>
      <c r="V996" s="85"/>
      <c r="W996" s="85"/>
      <c r="X996" s="85"/>
    </row>
    <row r="997" spans="2:24" s="58" customFormat="1" ht="12" x14ac:dyDescent="0.2">
      <c r="B997" s="91"/>
      <c r="E997" s="92"/>
      <c r="F997" s="93"/>
      <c r="G997" s="94"/>
      <c r="H997" s="94"/>
      <c r="I997" s="94"/>
      <c r="J997" s="94"/>
      <c r="K997" s="93"/>
      <c r="L997" s="86"/>
      <c r="M997" s="86"/>
      <c r="N997" s="86"/>
      <c r="O997" s="86"/>
      <c r="P997" s="86"/>
      <c r="Q997" s="85"/>
      <c r="S997" s="85"/>
      <c r="T997" s="85"/>
      <c r="U997" s="85"/>
      <c r="V997" s="85"/>
      <c r="W997" s="85"/>
      <c r="X997" s="85"/>
    </row>
    <row r="998" spans="2:24" s="58" customFormat="1" ht="12" x14ac:dyDescent="0.2">
      <c r="B998" s="91"/>
      <c r="E998" s="92"/>
      <c r="F998" s="93"/>
      <c r="G998" s="94"/>
      <c r="H998" s="94"/>
      <c r="I998" s="94"/>
      <c r="J998" s="94"/>
      <c r="K998" s="93"/>
      <c r="L998" s="86"/>
      <c r="M998" s="86"/>
      <c r="N998" s="86"/>
      <c r="O998" s="86"/>
      <c r="P998" s="86"/>
      <c r="Q998" s="85"/>
      <c r="S998" s="85"/>
      <c r="T998" s="85"/>
      <c r="U998" s="85"/>
      <c r="V998" s="85"/>
      <c r="W998" s="85"/>
      <c r="X998" s="85"/>
    </row>
    <row r="999" spans="2:24" s="58" customFormat="1" ht="12" x14ac:dyDescent="0.2">
      <c r="B999" s="91"/>
      <c r="E999" s="92"/>
      <c r="F999" s="93"/>
      <c r="G999" s="94"/>
      <c r="H999" s="94"/>
      <c r="I999" s="94"/>
      <c r="J999" s="94"/>
      <c r="K999" s="93"/>
      <c r="L999" s="86"/>
      <c r="M999" s="86"/>
      <c r="N999" s="86"/>
      <c r="O999" s="86"/>
      <c r="P999" s="86"/>
      <c r="Q999" s="85"/>
      <c r="S999" s="85"/>
      <c r="T999" s="85"/>
      <c r="U999" s="85"/>
      <c r="V999" s="85"/>
      <c r="W999" s="85"/>
      <c r="X999" s="85"/>
    </row>
    <row r="1000" spans="2:24" s="58" customFormat="1" ht="12" x14ac:dyDescent="0.2">
      <c r="B1000" s="91"/>
      <c r="E1000" s="92"/>
      <c r="F1000" s="93"/>
      <c r="G1000" s="94"/>
      <c r="H1000" s="94"/>
      <c r="I1000" s="94"/>
      <c r="J1000" s="94"/>
      <c r="K1000" s="93"/>
      <c r="L1000" s="86"/>
      <c r="M1000" s="86"/>
      <c r="N1000" s="86"/>
      <c r="O1000" s="86"/>
      <c r="P1000" s="86"/>
      <c r="Q1000" s="85"/>
      <c r="S1000" s="85"/>
      <c r="T1000" s="85"/>
      <c r="U1000" s="85"/>
      <c r="V1000" s="85"/>
      <c r="W1000" s="85"/>
      <c r="X1000" s="85"/>
    </row>
    <row r="1001" spans="2:24" s="58" customFormat="1" ht="12" x14ac:dyDescent="0.2">
      <c r="B1001" s="91"/>
      <c r="E1001" s="92"/>
      <c r="F1001" s="93"/>
      <c r="G1001" s="94"/>
      <c r="H1001" s="94"/>
      <c r="I1001" s="94"/>
      <c r="J1001" s="94"/>
      <c r="K1001" s="93"/>
      <c r="L1001" s="86"/>
      <c r="M1001" s="86"/>
      <c r="N1001" s="86"/>
      <c r="O1001" s="86"/>
      <c r="P1001" s="86"/>
      <c r="Q1001" s="85"/>
      <c r="S1001" s="85"/>
      <c r="T1001" s="85"/>
      <c r="U1001" s="85"/>
      <c r="V1001" s="85"/>
      <c r="W1001" s="85"/>
      <c r="X1001" s="85"/>
    </row>
    <row r="1002" spans="2:24" s="58" customFormat="1" ht="12" x14ac:dyDescent="0.2">
      <c r="B1002" s="91"/>
      <c r="E1002" s="92"/>
      <c r="F1002" s="93"/>
      <c r="G1002" s="94"/>
      <c r="H1002" s="94"/>
      <c r="I1002" s="94"/>
      <c r="J1002" s="94"/>
      <c r="K1002" s="93"/>
      <c r="L1002" s="86"/>
      <c r="M1002" s="86"/>
      <c r="N1002" s="86"/>
      <c r="O1002" s="86"/>
      <c r="P1002" s="86"/>
      <c r="Q1002" s="85"/>
      <c r="S1002" s="85"/>
      <c r="T1002" s="85"/>
      <c r="U1002" s="85"/>
      <c r="V1002" s="85"/>
      <c r="W1002" s="85"/>
      <c r="X1002" s="85"/>
    </row>
    <row r="1003" spans="2:24" s="58" customFormat="1" ht="12" x14ac:dyDescent="0.2">
      <c r="B1003" s="91"/>
      <c r="E1003" s="92"/>
      <c r="F1003" s="93"/>
      <c r="G1003" s="94"/>
      <c r="H1003" s="94"/>
      <c r="I1003" s="94"/>
      <c r="J1003" s="94"/>
      <c r="K1003" s="93"/>
      <c r="L1003" s="86"/>
      <c r="M1003" s="86"/>
      <c r="N1003" s="86"/>
      <c r="O1003" s="86"/>
      <c r="P1003" s="86"/>
      <c r="Q1003" s="85"/>
      <c r="S1003" s="85"/>
      <c r="T1003" s="85"/>
      <c r="U1003" s="85"/>
      <c r="V1003" s="85"/>
      <c r="W1003" s="85"/>
      <c r="X1003" s="85"/>
    </row>
    <row r="1004" spans="2:24" s="58" customFormat="1" ht="12" x14ac:dyDescent="0.2">
      <c r="B1004" s="91"/>
      <c r="E1004" s="92"/>
      <c r="F1004" s="93"/>
      <c r="G1004" s="94"/>
      <c r="H1004" s="94"/>
      <c r="I1004" s="94"/>
      <c r="J1004" s="94"/>
      <c r="K1004" s="93"/>
      <c r="L1004" s="86"/>
      <c r="M1004" s="86"/>
      <c r="N1004" s="86"/>
      <c r="O1004" s="86"/>
      <c r="P1004" s="86"/>
      <c r="Q1004" s="85"/>
      <c r="S1004" s="85"/>
      <c r="T1004" s="85"/>
      <c r="U1004" s="85"/>
      <c r="V1004" s="85"/>
      <c r="W1004" s="85"/>
      <c r="X1004" s="85"/>
    </row>
    <row r="1005" spans="2:24" s="58" customFormat="1" ht="12" x14ac:dyDescent="0.2">
      <c r="B1005" s="91"/>
      <c r="E1005" s="92"/>
      <c r="F1005" s="93"/>
      <c r="G1005" s="94"/>
      <c r="H1005" s="94"/>
      <c r="I1005" s="94"/>
      <c r="J1005" s="94"/>
      <c r="K1005" s="93"/>
      <c r="L1005" s="86"/>
      <c r="M1005" s="86"/>
      <c r="N1005" s="86"/>
      <c r="O1005" s="86"/>
      <c r="P1005" s="86"/>
      <c r="Q1005" s="85"/>
      <c r="S1005" s="85"/>
      <c r="T1005" s="85"/>
      <c r="U1005" s="85"/>
      <c r="V1005" s="85"/>
      <c r="W1005" s="85"/>
      <c r="X1005" s="85"/>
    </row>
    <row r="1006" spans="2:24" s="58" customFormat="1" ht="12" x14ac:dyDescent="0.2">
      <c r="B1006" s="91"/>
      <c r="E1006" s="92"/>
      <c r="F1006" s="93"/>
      <c r="G1006" s="94"/>
      <c r="H1006" s="94"/>
      <c r="I1006" s="94"/>
      <c r="J1006" s="94"/>
      <c r="K1006" s="93"/>
      <c r="L1006" s="86"/>
      <c r="M1006" s="86"/>
      <c r="N1006" s="86"/>
      <c r="O1006" s="86"/>
      <c r="P1006" s="86"/>
      <c r="Q1006" s="85"/>
      <c r="S1006" s="85"/>
      <c r="T1006" s="85"/>
      <c r="U1006" s="85"/>
      <c r="V1006" s="85"/>
      <c r="W1006" s="85"/>
      <c r="X1006" s="85"/>
    </row>
    <row r="1007" spans="2:24" s="58" customFormat="1" ht="12" x14ac:dyDescent="0.2">
      <c r="B1007" s="91"/>
      <c r="E1007" s="92"/>
      <c r="F1007" s="93"/>
      <c r="G1007" s="94"/>
      <c r="H1007" s="94"/>
      <c r="I1007" s="94"/>
      <c r="J1007" s="94"/>
      <c r="K1007" s="93"/>
      <c r="L1007" s="86"/>
      <c r="M1007" s="86"/>
      <c r="N1007" s="86"/>
      <c r="O1007" s="86"/>
      <c r="P1007" s="86"/>
      <c r="Q1007" s="85"/>
      <c r="S1007" s="85"/>
      <c r="T1007" s="85"/>
      <c r="U1007" s="85"/>
      <c r="V1007" s="85"/>
      <c r="W1007" s="85"/>
      <c r="X1007" s="85"/>
    </row>
    <row r="1008" spans="2:24" s="58" customFormat="1" ht="12" x14ac:dyDescent="0.2">
      <c r="B1008" s="91"/>
      <c r="E1008" s="92"/>
      <c r="F1008" s="93"/>
      <c r="G1008" s="94"/>
      <c r="H1008" s="94"/>
      <c r="I1008" s="94"/>
      <c r="J1008" s="94"/>
      <c r="K1008" s="93"/>
      <c r="L1008" s="86"/>
      <c r="M1008" s="86"/>
      <c r="N1008" s="86"/>
      <c r="O1008" s="86"/>
      <c r="P1008" s="86"/>
      <c r="Q1008" s="85"/>
      <c r="S1008" s="85"/>
      <c r="T1008" s="85"/>
      <c r="U1008" s="85"/>
      <c r="V1008" s="85"/>
      <c r="W1008" s="85"/>
      <c r="X1008" s="85"/>
    </row>
    <row r="1009" spans="2:24" s="58" customFormat="1" ht="12" x14ac:dyDescent="0.2">
      <c r="B1009" s="91"/>
      <c r="E1009" s="92"/>
      <c r="F1009" s="93"/>
      <c r="G1009" s="94"/>
      <c r="H1009" s="94"/>
      <c r="I1009" s="94"/>
      <c r="J1009" s="94"/>
      <c r="K1009" s="93"/>
      <c r="L1009" s="86"/>
      <c r="M1009" s="86"/>
      <c r="N1009" s="86"/>
      <c r="O1009" s="86"/>
      <c r="P1009" s="86"/>
      <c r="Q1009" s="85"/>
      <c r="S1009" s="85"/>
      <c r="T1009" s="85"/>
      <c r="U1009" s="85"/>
      <c r="V1009" s="85"/>
      <c r="W1009" s="85"/>
      <c r="X1009" s="85"/>
    </row>
    <row r="1010" spans="2:24" s="58" customFormat="1" ht="12" x14ac:dyDescent="0.2">
      <c r="B1010" s="91"/>
      <c r="E1010" s="92"/>
      <c r="F1010" s="93"/>
      <c r="G1010" s="94"/>
      <c r="H1010" s="94"/>
      <c r="I1010" s="94"/>
      <c r="J1010" s="94"/>
      <c r="K1010" s="93"/>
      <c r="L1010" s="86"/>
      <c r="M1010" s="86"/>
      <c r="N1010" s="86"/>
      <c r="O1010" s="86"/>
      <c r="P1010" s="86"/>
      <c r="Q1010" s="85"/>
      <c r="S1010" s="85"/>
      <c r="T1010" s="85"/>
      <c r="U1010" s="85"/>
      <c r="V1010" s="85"/>
      <c r="W1010" s="85"/>
      <c r="X1010" s="85"/>
    </row>
    <row r="1011" spans="2:24" s="58" customFormat="1" ht="12" x14ac:dyDescent="0.2">
      <c r="B1011" s="91"/>
      <c r="E1011" s="92"/>
      <c r="F1011" s="93"/>
      <c r="G1011" s="94"/>
      <c r="H1011" s="94"/>
      <c r="I1011" s="94"/>
      <c r="J1011" s="94"/>
      <c r="K1011" s="93"/>
      <c r="L1011" s="86"/>
      <c r="M1011" s="86"/>
      <c r="N1011" s="86"/>
      <c r="O1011" s="86"/>
      <c r="P1011" s="86"/>
      <c r="Q1011" s="85"/>
      <c r="S1011" s="85"/>
      <c r="T1011" s="85"/>
      <c r="U1011" s="85"/>
      <c r="V1011" s="85"/>
      <c r="W1011" s="85"/>
      <c r="X1011" s="85"/>
    </row>
    <row r="1012" spans="2:24" s="58" customFormat="1" ht="12" x14ac:dyDescent="0.2">
      <c r="B1012" s="91"/>
      <c r="E1012" s="92"/>
      <c r="F1012" s="93"/>
      <c r="G1012" s="94"/>
      <c r="H1012" s="94"/>
      <c r="I1012" s="94"/>
      <c r="J1012" s="94"/>
      <c r="K1012" s="93"/>
      <c r="L1012" s="86"/>
      <c r="M1012" s="86"/>
      <c r="N1012" s="86"/>
      <c r="O1012" s="86"/>
      <c r="P1012" s="86"/>
      <c r="Q1012" s="85"/>
      <c r="S1012" s="85"/>
      <c r="T1012" s="85"/>
      <c r="U1012" s="85"/>
      <c r="V1012" s="85"/>
      <c r="W1012" s="85"/>
      <c r="X1012" s="85"/>
    </row>
    <row r="1013" spans="2:24" s="58" customFormat="1" ht="12" x14ac:dyDescent="0.2">
      <c r="B1013" s="91"/>
      <c r="E1013" s="92"/>
      <c r="F1013" s="93"/>
      <c r="G1013" s="94"/>
      <c r="H1013" s="94"/>
      <c r="I1013" s="94"/>
      <c r="J1013" s="94"/>
      <c r="K1013" s="93"/>
      <c r="L1013" s="86"/>
      <c r="M1013" s="86"/>
      <c r="N1013" s="86"/>
      <c r="O1013" s="86"/>
      <c r="P1013" s="86"/>
      <c r="Q1013" s="85"/>
      <c r="S1013" s="85"/>
      <c r="T1013" s="85"/>
      <c r="U1013" s="85"/>
      <c r="V1013" s="85"/>
      <c r="W1013" s="85"/>
      <c r="X1013" s="85"/>
    </row>
    <row r="1014" spans="2:24" s="58" customFormat="1" ht="12" x14ac:dyDescent="0.2">
      <c r="B1014" s="91"/>
      <c r="E1014" s="92"/>
      <c r="F1014" s="93"/>
      <c r="G1014" s="94"/>
      <c r="H1014" s="94"/>
      <c r="I1014" s="94"/>
      <c r="J1014" s="94"/>
      <c r="K1014" s="93"/>
      <c r="L1014" s="86"/>
      <c r="M1014" s="86"/>
      <c r="N1014" s="86"/>
      <c r="O1014" s="86"/>
      <c r="P1014" s="86"/>
      <c r="Q1014" s="85"/>
      <c r="S1014" s="85"/>
      <c r="T1014" s="85"/>
      <c r="U1014" s="85"/>
      <c r="V1014" s="85"/>
      <c r="W1014" s="85"/>
      <c r="X1014" s="85"/>
    </row>
    <row r="1015" spans="2:24" s="58" customFormat="1" ht="12" x14ac:dyDescent="0.2">
      <c r="B1015" s="91"/>
      <c r="E1015" s="92"/>
      <c r="F1015" s="93"/>
      <c r="G1015" s="94"/>
      <c r="H1015" s="94"/>
      <c r="I1015" s="94"/>
      <c r="J1015" s="94"/>
      <c r="K1015" s="93"/>
      <c r="L1015" s="86"/>
      <c r="M1015" s="86"/>
      <c r="N1015" s="86"/>
      <c r="O1015" s="86"/>
      <c r="P1015" s="86"/>
      <c r="Q1015" s="85"/>
      <c r="S1015" s="85"/>
      <c r="T1015" s="85"/>
      <c r="U1015" s="85"/>
      <c r="V1015" s="85"/>
      <c r="W1015" s="85"/>
      <c r="X1015" s="85"/>
    </row>
    <row r="1016" spans="2:24" s="58" customFormat="1" ht="12" x14ac:dyDescent="0.2">
      <c r="B1016" s="91"/>
      <c r="E1016" s="92"/>
      <c r="F1016" s="93"/>
      <c r="G1016" s="94"/>
      <c r="H1016" s="94"/>
      <c r="I1016" s="94"/>
      <c r="J1016" s="94"/>
      <c r="K1016" s="93"/>
      <c r="L1016" s="86"/>
      <c r="M1016" s="86"/>
      <c r="N1016" s="86"/>
      <c r="O1016" s="86"/>
      <c r="P1016" s="86"/>
      <c r="Q1016" s="85"/>
      <c r="S1016" s="85"/>
      <c r="T1016" s="85"/>
      <c r="U1016" s="85"/>
      <c r="V1016" s="85"/>
      <c r="W1016" s="85"/>
      <c r="X1016" s="85"/>
    </row>
    <row r="1017" spans="2:24" s="58" customFormat="1" ht="12" x14ac:dyDescent="0.2">
      <c r="B1017" s="91"/>
      <c r="E1017" s="92"/>
      <c r="F1017" s="93"/>
      <c r="G1017" s="94"/>
      <c r="H1017" s="94"/>
      <c r="I1017" s="94"/>
      <c r="J1017" s="94"/>
      <c r="K1017" s="93"/>
      <c r="L1017" s="86"/>
      <c r="M1017" s="86"/>
      <c r="N1017" s="86"/>
      <c r="O1017" s="86"/>
      <c r="P1017" s="86"/>
      <c r="Q1017" s="85"/>
      <c r="S1017" s="85"/>
      <c r="T1017" s="85"/>
      <c r="U1017" s="85"/>
      <c r="V1017" s="85"/>
      <c r="W1017" s="85"/>
      <c r="X1017" s="85"/>
    </row>
    <row r="1018" spans="2:24" s="58" customFormat="1" ht="12" x14ac:dyDescent="0.2">
      <c r="B1018" s="91"/>
      <c r="E1018" s="92"/>
      <c r="F1018" s="93"/>
      <c r="G1018" s="94"/>
      <c r="H1018" s="94"/>
      <c r="I1018" s="94"/>
      <c r="J1018" s="94"/>
      <c r="K1018" s="93"/>
      <c r="L1018" s="86"/>
      <c r="M1018" s="86"/>
      <c r="N1018" s="86"/>
      <c r="O1018" s="86"/>
      <c r="P1018" s="86"/>
      <c r="Q1018" s="85"/>
      <c r="S1018" s="85"/>
      <c r="T1018" s="85"/>
      <c r="U1018" s="85"/>
      <c r="V1018" s="85"/>
      <c r="W1018" s="85"/>
      <c r="X1018" s="85"/>
    </row>
    <row r="1019" spans="2:24" s="58" customFormat="1" ht="12" x14ac:dyDescent="0.2">
      <c r="B1019" s="91"/>
      <c r="E1019" s="92"/>
      <c r="F1019" s="93"/>
      <c r="G1019" s="94"/>
      <c r="H1019" s="94"/>
      <c r="I1019" s="94"/>
      <c r="J1019" s="94"/>
      <c r="K1019" s="93"/>
      <c r="L1019" s="86"/>
      <c r="M1019" s="86"/>
      <c r="N1019" s="86"/>
      <c r="O1019" s="86"/>
      <c r="P1019" s="86"/>
      <c r="Q1019" s="85"/>
      <c r="S1019" s="85"/>
      <c r="T1019" s="85"/>
      <c r="U1019" s="85"/>
      <c r="V1019" s="85"/>
      <c r="W1019" s="85"/>
      <c r="X1019" s="85"/>
    </row>
    <row r="1020" spans="2:24" s="58" customFormat="1" ht="12" x14ac:dyDescent="0.2">
      <c r="B1020" s="91"/>
      <c r="E1020" s="92"/>
      <c r="F1020" s="93"/>
      <c r="G1020" s="94"/>
      <c r="H1020" s="94"/>
      <c r="I1020" s="94"/>
      <c r="J1020" s="94"/>
      <c r="K1020" s="93"/>
      <c r="L1020" s="86"/>
      <c r="M1020" s="86"/>
      <c r="N1020" s="86"/>
      <c r="O1020" s="86"/>
      <c r="P1020" s="86"/>
      <c r="Q1020" s="85"/>
      <c r="S1020" s="85"/>
      <c r="T1020" s="85"/>
      <c r="U1020" s="85"/>
      <c r="V1020" s="85"/>
      <c r="W1020" s="85"/>
      <c r="X1020" s="85"/>
    </row>
    <row r="1021" spans="2:24" s="58" customFormat="1" ht="12" x14ac:dyDescent="0.2">
      <c r="B1021" s="91"/>
      <c r="E1021" s="92"/>
      <c r="F1021" s="93"/>
      <c r="G1021" s="94"/>
      <c r="H1021" s="94"/>
      <c r="I1021" s="94"/>
      <c r="J1021" s="94"/>
      <c r="K1021" s="93"/>
      <c r="L1021" s="86"/>
      <c r="M1021" s="86"/>
      <c r="N1021" s="86"/>
      <c r="O1021" s="86"/>
      <c r="P1021" s="86"/>
      <c r="Q1021" s="85"/>
      <c r="S1021" s="85"/>
      <c r="T1021" s="85"/>
      <c r="U1021" s="85"/>
      <c r="V1021" s="85"/>
      <c r="W1021" s="85"/>
      <c r="X1021" s="85"/>
    </row>
    <row r="1022" spans="2:24" s="58" customFormat="1" ht="12" x14ac:dyDescent="0.2">
      <c r="B1022" s="91"/>
      <c r="E1022" s="92"/>
      <c r="F1022" s="93"/>
      <c r="G1022" s="94"/>
      <c r="H1022" s="94"/>
      <c r="I1022" s="94"/>
      <c r="J1022" s="94"/>
      <c r="K1022" s="93"/>
      <c r="L1022" s="86"/>
      <c r="M1022" s="86"/>
      <c r="N1022" s="86"/>
      <c r="O1022" s="86"/>
      <c r="P1022" s="86"/>
      <c r="Q1022" s="85"/>
      <c r="S1022" s="85"/>
      <c r="T1022" s="85"/>
      <c r="U1022" s="85"/>
      <c r="V1022" s="85"/>
      <c r="W1022" s="85"/>
      <c r="X1022" s="85"/>
    </row>
    <row r="1023" spans="2:24" s="58" customFormat="1" ht="12" x14ac:dyDescent="0.2">
      <c r="B1023" s="91"/>
      <c r="E1023" s="92"/>
      <c r="F1023" s="93"/>
      <c r="G1023" s="94"/>
      <c r="H1023" s="94"/>
      <c r="I1023" s="94"/>
      <c r="J1023" s="94"/>
      <c r="K1023" s="93"/>
      <c r="L1023" s="86"/>
      <c r="M1023" s="86"/>
      <c r="N1023" s="86"/>
      <c r="O1023" s="86"/>
      <c r="P1023" s="86"/>
      <c r="Q1023" s="85"/>
      <c r="S1023" s="85"/>
      <c r="T1023" s="85"/>
      <c r="U1023" s="85"/>
      <c r="V1023" s="85"/>
      <c r="W1023" s="85"/>
      <c r="X1023" s="85"/>
    </row>
    <row r="1024" spans="2:24" s="58" customFormat="1" ht="12" x14ac:dyDescent="0.2">
      <c r="B1024" s="91"/>
      <c r="E1024" s="92"/>
      <c r="F1024" s="93"/>
      <c r="G1024" s="94"/>
      <c r="H1024" s="94"/>
      <c r="I1024" s="94"/>
      <c r="J1024" s="94"/>
      <c r="K1024" s="93"/>
      <c r="L1024" s="86"/>
      <c r="M1024" s="86"/>
      <c r="N1024" s="86"/>
      <c r="O1024" s="86"/>
      <c r="P1024" s="86"/>
      <c r="Q1024" s="85"/>
      <c r="S1024" s="85"/>
      <c r="T1024" s="85"/>
      <c r="U1024" s="85"/>
      <c r="V1024" s="85"/>
      <c r="W1024" s="85"/>
      <c r="X1024" s="85"/>
    </row>
    <row r="1025" spans="2:24" s="58" customFormat="1" ht="12" x14ac:dyDescent="0.2">
      <c r="B1025" s="91"/>
      <c r="E1025" s="92"/>
      <c r="F1025" s="93"/>
      <c r="G1025" s="94"/>
      <c r="H1025" s="94"/>
      <c r="I1025" s="94"/>
      <c r="J1025" s="94"/>
      <c r="K1025" s="93"/>
      <c r="L1025" s="86"/>
      <c r="M1025" s="86"/>
      <c r="N1025" s="86"/>
      <c r="O1025" s="86"/>
      <c r="P1025" s="86"/>
      <c r="Q1025" s="85"/>
      <c r="S1025" s="85"/>
      <c r="T1025" s="85"/>
      <c r="U1025" s="85"/>
      <c r="V1025" s="85"/>
      <c r="W1025" s="85"/>
      <c r="X1025" s="85"/>
    </row>
    <row r="1026" spans="2:24" s="58" customFormat="1" ht="12" x14ac:dyDescent="0.2">
      <c r="B1026" s="91"/>
      <c r="E1026" s="92"/>
      <c r="F1026" s="93"/>
      <c r="G1026" s="94"/>
      <c r="H1026" s="94"/>
      <c r="I1026" s="94"/>
      <c r="J1026" s="94"/>
      <c r="K1026" s="93"/>
      <c r="L1026" s="86"/>
      <c r="M1026" s="86"/>
      <c r="N1026" s="86"/>
      <c r="O1026" s="86"/>
      <c r="P1026" s="86"/>
      <c r="Q1026" s="85"/>
      <c r="S1026" s="85"/>
      <c r="T1026" s="85"/>
      <c r="U1026" s="85"/>
      <c r="V1026" s="85"/>
      <c r="W1026" s="85"/>
      <c r="X1026" s="85"/>
    </row>
    <row r="1027" spans="2:24" s="58" customFormat="1" ht="12" x14ac:dyDescent="0.2">
      <c r="B1027" s="91"/>
      <c r="E1027" s="92"/>
      <c r="F1027" s="93"/>
      <c r="G1027" s="94"/>
      <c r="H1027" s="94"/>
      <c r="I1027" s="94"/>
      <c r="J1027" s="94"/>
      <c r="K1027" s="93"/>
      <c r="L1027" s="86"/>
      <c r="M1027" s="86"/>
      <c r="N1027" s="86"/>
      <c r="O1027" s="86"/>
      <c r="P1027" s="86"/>
      <c r="Q1027" s="85"/>
      <c r="S1027" s="85"/>
      <c r="T1027" s="85"/>
      <c r="U1027" s="85"/>
      <c r="V1027" s="85"/>
      <c r="W1027" s="85"/>
      <c r="X1027" s="85"/>
    </row>
    <row r="1028" spans="2:24" s="58" customFormat="1" ht="12" x14ac:dyDescent="0.2">
      <c r="B1028" s="91"/>
      <c r="E1028" s="92"/>
      <c r="F1028" s="93"/>
      <c r="G1028" s="94"/>
      <c r="H1028" s="94"/>
      <c r="I1028" s="94"/>
      <c r="J1028" s="94"/>
      <c r="K1028" s="93"/>
      <c r="L1028" s="86"/>
      <c r="M1028" s="86"/>
      <c r="N1028" s="86"/>
      <c r="O1028" s="86"/>
      <c r="P1028" s="86"/>
      <c r="Q1028" s="85"/>
      <c r="S1028" s="85"/>
      <c r="T1028" s="85"/>
      <c r="U1028" s="85"/>
      <c r="V1028" s="85"/>
      <c r="W1028" s="85"/>
      <c r="X1028" s="85"/>
    </row>
    <row r="1029" spans="2:24" s="58" customFormat="1" ht="12" x14ac:dyDescent="0.2">
      <c r="B1029" s="91"/>
      <c r="E1029" s="92"/>
      <c r="F1029" s="93"/>
      <c r="G1029" s="94"/>
      <c r="H1029" s="94"/>
      <c r="I1029" s="94"/>
      <c r="J1029" s="94"/>
      <c r="K1029" s="93"/>
      <c r="L1029" s="86"/>
      <c r="M1029" s="86"/>
      <c r="N1029" s="86"/>
      <c r="O1029" s="86"/>
      <c r="P1029" s="86"/>
      <c r="Q1029" s="85"/>
      <c r="S1029" s="85"/>
      <c r="T1029" s="85"/>
      <c r="U1029" s="85"/>
      <c r="V1029" s="85"/>
      <c r="W1029" s="85"/>
      <c r="X1029" s="85"/>
    </row>
    <row r="1030" spans="2:24" s="58" customFormat="1" ht="12" x14ac:dyDescent="0.2">
      <c r="B1030" s="91"/>
      <c r="E1030" s="92"/>
      <c r="F1030" s="93"/>
      <c r="G1030" s="94"/>
      <c r="H1030" s="94"/>
      <c r="I1030" s="94"/>
      <c r="J1030" s="94"/>
      <c r="K1030" s="93"/>
      <c r="L1030" s="86"/>
      <c r="M1030" s="86"/>
      <c r="N1030" s="86"/>
      <c r="O1030" s="86"/>
      <c r="P1030" s="86"/>
      <c r="Q1030" s="85"/>
      <c r="S1030" s="85"/>
      <c r="T1030" s="85"/>
      <c r="U1030" s="85"/>
      <c r="V1030" s="85"/>
      <c r="W1030" s="85"/>
      <c r="X1030" s="85"/>
    </row>
    <row r="1031" spans="2:24" s="58" customFormat="1" ht="12" x14ac:dyDescent="0.2">
      <c r="B1031" s="91"/>
      <c r="E1031" s="92"/>
      <c r="F1031" s="93"/>
      <c r="G1031" s="94"/>
      <c r="H1031" s="94"/>
      <c r="I1031" s="94"/>
      <c r="J1031" s="94"/>
      <c r="K1031" s="93"/>
      <c r="L1031" s="86"/>
      <c r="M1031" s="86"/>
      <c r="N1031" s="86"/>
      <c r="O1031" s="86"/>
      <c r="P1031" s="86"/>
      <c r="Q1031" s="85"/>
      <c r="S1031" s="85"/>
      <c r="T1031" s="85"/>
      <c r="U1031" s="85"/>
      <c r="V1031" s="85"/>
      <c r="W1031" s="85"/>
      <c r="X1031" s="85"/>
    </row>
    <row r="1032" spans="2:24" s="58" customFormat="1" ht="12" x14ac:dyDescent="0.2">
      <c r="B1032" s="91"/>
      <c r="E1032" s="92"/>
      <c r="F1032" s="93"/>
      <c r="G1032" s="94"/>
      <c r="H1032" s="94"/>
      <c r="I1032" s="94"/>
      <c r="J1032" s="94"/>
      <c r="K1032" s="93"/>
      <c r="L1032" s="86"/>
      <c r="M1032" s="86"/>
      <c r="N1032" s="86"/>
      <c r="O1032" s="86"/>
      <c r="P1032" s="86"/>
      <c r="Q1032" s="85"/>
      <c r="S1032" s="85"/>
      <c r="T1032" s="85"/>
      <c r="U1032" s="85"/>
      <c r="V1032" s="85"/>
      <c r="W1032" s="85"/>
      <c r="X1032" s="85"/>
    </row>
    <row r="1033" spans="2:24" s="58" customFormat="1" ht="12" x14ac:dyDescent="0.2">
      <c r="B1033" s="91"/>
      <c r="E1033" s="92"/>
      <c r="F1033" s="93"/>
      <c r="G1033" s="94"/>
      <c r="H1033" s="94"/>
      <c r="I1033" s="94"/>
      <c r="J1033" s="94"/>
      <c r="K1033" s="93"/>
      <c r="L1033" s="86"/>
      <c r="M1033" s="86"/>
      <c r="N1033" s="86"/>
      <c r="O1033" s="86"/>
      <c r="P1033" s="86"/>
      <c r="Q1033" s="85"/>
      <c r="S1033" s="85"/>
      <c r="T1033" s="85"/>
      <c r="U1033" s="85"/>
      <c r="V1033" s="85"/>
      <c r="W1033" s="85"/>
      <c r="X1033" s="85"/>
    </row>
    <row r="1034" spans="2:24" s="58" customFormat="1" ht="12" x14ac:dyDescent="0.2">
      <c r="B1034" s="91"/>
      <c r="E1034" s="92"/>
      <c r="F1034" s="93"/>
      <c r="G1034" s="94"/>
      <c r="H1034" s="94"/>
      <c r="I1034" s="94"/>
      <c r="J1034" s="94"/>
      <c r="K1034" s="93"/>
      <c r="L1034" s="86"/>
      <c r="M1034" s="86"/>
      <c r="N1034" s="86"/>
      <c r="O1034" s="86"/>
      <c r="P1034" s="86"/>
      <c r="Q1034" s="85"/>
      <c r="S1034" s="85"/>
      <c r="T1034" s="85"/>
      <c r="U1034" s="85"/>
      <c r="V1034" s="85"/>
      <c r="W1034" s="85"/>
      <c r="X1034" s="85"/>
    </row>
    <row r="1035" spans="2:24" s="58" customFormat="1" ht="12" x14ac:dyDescent="0.2">
      <c r="B1035" s="91"/>
      <c r="E1035" s="92"/>
      <c r="F1035" s="93"/>
      <c r="G1035" s="94"/>
      <c r="H1035" s="94"/>
      <c r="I1035" s="94"/>
      <c r="J1035" s="94"/>
      <c r="K1035" s="93"/>
      <c r="L1035" s="86"/>
      <c r="M1035" s="86"/>
      <c r="N1035" s="86"/>
      <c r="O1035" s="86"/>
      <c r="P1035" s="86"/>
      <c r="Q1035" s="85"/>
      <c r="S1035" s="85"/>
      <c r="T1035" s="85"/>
      <c r="U1035" s="85"/>
      <c r="V1035" s="85"/>
      <c r="W1035" s="85"/>
      <c r="X1035" s="85"/>
    </row>
    <row r="1036" spans="2:24" s="58" customFormat="1" ht="12" x14ac:dyDescent="0.2">
      <c r="B1036" s="91"/>
      <c r="E1036" s="92"/>
      <c r="F1036" s="93"/>
      <c r="G1036" s="94"/>
      <c r="H1036" s="94"/>
      <c r="I1036" s="94"/>
      <c r="J1036" s="94"/>
      <c r="K1036" s="93"/>
      <c r="L1036" s="86"/>
      <c r="M1036" s="86"/>
      <c r="N1036" s="86"/>
      <c r="O1036" s="86"/>
      <c r="P1036" s="86"/>
      <c r="Q1036" s="85"/>
      <c r="S1036" s="85"/>
      <c r="T1036" s="85"/>
      <c r="U1036" s="85"/>
      <c r="V1036" s="85"/>
      <c r="W1036" s="85"/>
      <c r="X1036" s="85"/>
    </row>
    <row r="1037" spans="2:24" s="58" customFormat="1" ht="12" x14ac:dyDescent="0.2">
      <c r="B1037" s="91"/>
      <c r="E1037" s="92"/>
      <c r="F1037" s="93"/>
      <c r="G1037" s="94"/>
      <c r="H1037" s="94"/>
      <c r="I1037" s="94"/>
      <c r="J1037" s="94"/>
      <c r="K1037" s="93"/>
      <c r="L1037" s="86"/>
      <c r="M1037" s="86"/>
      <c r="N1037" s="86"/>
      <c r="O1037" s="86"/>
      <c r="P1037" s="86"/>
      <c r="Q1037" s="85"/>
      <c r="S1037" s="85"/>
      <c r="T1037" s="85"/>
      <c r="U1037" s="85"/>
      <c r="V1037" s="85"/>
      <c r="W1037" s="85"/>
      <c r="X1037" s="85"/>
    </row>
    <row r="1038" spans="2:24" s="58" customFormat="1" ht="12" x14ac:dyDescent="0.2">
      <c r="B1038" s="91"/>
      <c r="E1038" s="92"/>
      <c r="F1038" s="93"/>
      <c r="G1038" s="94"/>
      <c r="H1038" s="94"/>
      <c r="I1038" s="94"/>
      <c r="J1038" s="94"/>
      <c r="K1038" s="93"/>
      <c r="L1038" s="86"/>
      <c r="M1038" s="86"/>
      <c r="N1038" s="86"/>
      <c r="O1038" s="86"/>
      <c r="P1038" s="86"/>
      <c r="Q1038" s="85"/>
      <c r="S1038" s="85"/>
      <c r="T1038" s="85"/>
      <c r="U1038" s="85"/>
      <c r="V1038" s="85"/>
      <c r="W1038" s="85"/>
      <c r="X1038" s="85"/>
    </row>
    <row r="1039" spans="2:24" s="58" customFormat="1" ht="12" x14ac:dyDescent="0.2">
      <c r="B1039" s="91"/>
      <c r="E1039" s="92"/>
      <c r="F1039" s="93"/>
      <c r="G1039" s="94"/>
      <c r="H1039" s="94"/>
      <c r="I1039" s="94"/>
      <c r="J1039" s="94"/>
      <c r="K1039" s="93"/>
      <c r="L1039" s="86"/>
      <c r="M1039" s="86"/>
      <c r="N1039" s="86"/>
      <c r="O1039" s="86"/>
      <c r="P1039" s="86"/>
      <c r="Q1039" s="85"/>
      <c r="S1039" s="85"/>
      <c r="T1039" s="85"/>
      <c r="U1039" s="85"/>
      <c r="V1039" s="85"/>
      <c r="W1039" s="85"/>
      <c r="X1039" s="85"/>
    </row>
    <row r="1040" spans="2:24" s="58" customFormat="1" ht="12" x14ac:dyDescent="0.2">
      <c r="B1040" s="91"/>
      <c r="E1040" s="92"/>
      <c r="F1040" s="93"/>
      <c r="G1040" s="94"/>
      <c r="H1040" s="94"/>
      <c r="I1040" s="94"/>
      <c r="J1040" s="94"/>
      <c r="K1040" s="93"/>
      <c r="L1040" s="86"/>
      <c r="M1040" s="86"/>
      <c r="N1040" s="86"/>
      <c r="O1040" s="86"/>
      <c r="P1040" s="86"/>
      <c r="Q1040" s="85"/>
      <c r="S1040" s="85"/>
      <c r="T1040" s="85"/>
      <c r="U1040" s="85"/>
      <c r="V1040" s="85"/>
      <c r="W1040" s="85"/>
      <c r="X1040" s="85"/>
    </row>
    <row r="1041" spans="2:24" s="58" customFormat="1" ht="12" x14ac:dyDescent="0.2">
      <c r="B1041" s="91"/>
      <c r="E1041" s="92"/>
      <c r="F1041" s="93"/>
      <c r="G1041" s="94"/>
      <c r="H1041" s="94"/>
      <c r="I1041" s="94"/>
      <c r="J1041" s="94"/>
      <c r="K1041" s="93"/>
      <c r="L1041" s="86"/>
      <c r="M1041" s="86"/>
      <c r="N1041" s="86"/>
      <c r="O1041" s="86"/>
      <c r="P1041" s="86"/>
      <c r="Q1041" s="85"/>
      <c r="S1041" s="85"/>
      <c r="T1041" s="85"/>
      <c r="U1041" s="85"/>
      <c r="V1041" s="85"/>
      <c r="W1041" s="85"/>
      <c r="X1041" s="85"/>
    </row>
    <row r="1042" spans="2:24" s="58" customFormat="1" ht="12" x14ac:dyDescent="0.2">
      <c r="B1042" s="91"/>
      <c r="E1042" s="92"/>
      <c r="F1042" s="93"/>
      <c r="G1042" s="94"/>
      <c r="H1042" s="94"/>
      <c r="I1042" s="94"/>
      <c r="J1042" s="94"/>
      <c r="K1042" s="93"/>
      <c r="L1042" s="86"/>
      <c r="M1042" s="86"/>
      <c r="N1042" s="86"/>
      <c r="O1042" s="86"/>
      <c r="P1042" s="86"/>
      <c r="Q1042" s="85"/>
      <c r="S1042" s="85"/>
      <c r="T1042" s="85"/>
      <c r="U1042" s="85"/>
      <c r="V1042" s="85"/>
      <c r="W1042" s="85"/>
      <c r="X1042" s="85"/>
    </row>
    <row r="1043" spans="2:24" s="58" customFormat="1" ht="12" x14ac:dyDescent="0.2">
      <c r="B1043" s="91"/>
      <c r="E1043" s="92"/>
      <c r="F1043" s="93"/>
      <c r="G1043" s="94"/>
      <c r="H1043" s="94"/>
      <c r="I1043" s="94"/>
      <c r="J1043" s="94"/>
      <c r="K1043" s="93"/>
      <c r="L1043" s="86"/>
      <c r="M1043" s="86"/>
      <c r="N1043" s="86"/>
      <c r="O1043" s="86"/>
      <c r="P1043" s="86"/>
      <c r="Q1043" s="85"/>
      <c r="S1043" s="85"/>
      <c r="T1043" s="85"/>
      <c r="U1043" s="85"/>
      <c r="V1043" s="85"/>
      <c r="W1043" s="85"/>
      <c r="X1043" s="85"/>
    </row>
    <row r="1044" spans="2:24" s="58" customFormat="1" ht="12" x14ac:dyDescent="0.2">
      <c r="B1044" s="91"/>
      <c r="E1044" s="92"/>
      <c r="F1044" s="93"/>
      <c r="G1044" s="94"/>
      <c r="H1044" s="94"/>
      <c r="I1044" s="94"/>
      <c r="J1044" s="94"/>
      <c r="K1044" s="93"/>
      <c r="L1044" s="86"/>
      <c r="M1044" s="86"/>
      <c r="N1044" s="86"/>
      <c r="O1044" s="86"/>
      <c r="P1044" s="86"/>
      <c r="Q1044" s="85"/>
      <c r="S1044" s="85"/>
      <c r="T1044" s="85"/>
      <c r="U1044" s="85"/>
      <c r="V1044" s="85"/>
      <c r="W1044" s="85"/>
      <c r="X1044" s="85"/>
    </row>
    <row r="1045" spans="2:24" s="58" customFormat="1" ht="12" x14ac:dyDescent="0.2">
      <c r="B1045" s="91"/>
      <c r="E1045" s="92"/>
      <c r="F1045" s="93"/>
      <c r="G1045" s="94"/>
      <c r="H1045" s="94"/>
      <c r="I1045" s="94"/>
      <c r="J1045" s="94"/>
      <c r="K1045" s="93"/>
      <c r="L1045" s="86"/>
      <c r="M1045" s="86"/>
      <c r="N1045" s="86"/>
      <c r="O1045" s="86"/>
      <c r="P1045" s="86"/>
      <c r="Q1045" s="85"/>
      <c r="S1045" s="85"/>
      <c r="T1045" s="85"/>
      <c r="U1045" s="85"/>
      <c r="V1045" s="85"/>
      <c r="W1045" s="85"/>
      <c r="X1045" s="85"/>
    </row>
    <row r="1046" spans="2:24" s="58" customFormat="1" ht="12" x14ac:dyDescent="0.2">
      <c r="B1046" s="91"/>
      <c r="E1046" s="92"/>
      <c r="F1046" s="93"/>
      <c r="G1046" s="94"/>
      <c r="H1046" s="94"/>
      <c r="I1046" s="94"/>
      <c r="J1046" s="94"/>
      <c r="K1046" s="93"/>
      <c r="L1046" s="86"/>
      <c r="M1046" s="86"/>
      <c r="N1046" s="86"/>
      <c r="O1046" s="86"/>
      <c r="P1046" s="86"/>
      <c r="Q1046" s="85"/>
      <c r="S1046" s="85"/>
      <c r="T1046" s="85"/>
      <c r="U1046" s="85"/>
      <c r="V1046" s="85"/>
      <c r="W1046" s="85"/>
      <c r="X1046" s="85"/>
    </row>
    <row r="1047" spans="2:24" s="58" customFormat="1" ht="12" x14ac:dyDescent="0.2">
      <c r="B1047" s="91"/>
      <c r="E1047" s="92"/>
      <c r="F1047" s="93"/>
      <c r="G1047" s="94"/>
      <c r="H1047" s="94"/>
      <c r="I1047" s="94"/>
      <c r="J1047" s="94"/>
      <c r="K1047" s="93"/>
      <c r="L1047" s="86"/>
      <c r="M1047" s="86"/>
      <c r="N1047" s="86"/>
      <c r="O1047" s="86"/>
      <c r="P1047" s="86"/>
      <c r="Q1047" s="85"/>
      <c r="S1047" s="85"/>
      <c r="T1047" s="85"/>
      <c r="U1047" s="85"/>
      <c r="V1047" s="85"/>
      <c r="W1047" s="85"/>
      <c r="X1047" s="85"/>
    </row>
    <row r="1048" spans="2:24" s="58" customFormat="1" ht="12" x14ac:dyDescent="0.2">
      <c r="B1048" s="91"/>
      <c r="E1048" s="92"/>
      <c r="F1048" s="93"/>
      <c r="G1048" s="94"/>
      <c r="H1048" s="94"/>
      <c r="I1048" s="94"/>
      <c r="J1048" s="94"/>
      <c r="K1048" s="93"/>
      <c r="L1048" s="86"/>
      <c r="M1048" s="86"/>
      <c r="N1048" s="86"/>
      <c r="O1048" s="86"/>
      <c r="P1048" s="86"/>
      <c r="Q1048" s="85"/>
      <c r="S1048" s="85"/>
      <c r="T1048" s="85"/>
      <c r="U1048" s="85"/>
      <c r="V1048" s="85"/>
      <c r="W1048" s="85"/>
      <c r="X1048" s="85"/>
    </row>
    <row r="1049" spans="2:24" s="58" customFormat="1" ht="12" x14ac:dyDescent="0.2">
      <c r="B1049" s="91"/>
      <c r="E1049" s="92"/>
      <c r="F1049" s="93"/>
      <c r="G1049" s="94"/>
      <c r="H1049" s="94"/>
      <c r="I1049" s="94"/>
      <c r="J1049" s="94"/>
      <c r="K1049" s="93"/>
      <c r="L1049" s="86"/>
      <c r="M1049" s="86"/>
      <c r="N1049" s="86"/>
      <c r="O1049" s="86"/>
      <c r="P1049" s="86"/>
      <c r="Q1049" s="85"/>
      <c r="S1049" s="85"/>
      <c r="T1049" s="85"/>
      <c r="U1049" s="85"/>
      <c r="V1049" s="85"/>
      <c r="W1049" s="85"/>
      <c r="X1049" s="85"/>
    </row>
    <row r="1050" spans="2:24" s="58" customFormat="1" ht="12" x14ac:dyDescent="0.2">
      <c r="B1050" s="91"/>
      <c r="E1050" s="92"/>
      <c r="F1050" s="93"/>
      <c r="G1050" s="94"/>
      <c r="H1050" s="94"/>
      <c r="I1050" s="94"/>
      <c r="J1050" s="94"/>
      <c r="K1050" s="93"/>
      <c r="L1050" s="86"/>
      <c r="M1050" s="86"/>
      <c r="N1050" s="86"/>
      <c r="O1050" s="86"/>
      <c r="P1050" s="86"/>
      <c r="Q1050" s="85"/>
      <c r="S1050" s="85"/>
      <c r="T1050" s="85"/>
      <c r="U1050" s="85"/>
      <c r="V1050" s="85"/>
      <c r="W1050" s="85"/>
      <c r="X1050" s="85"/>
    </row>
    <row r="1051" spans="2:24" s="58" customFormat="1" ht="12" x14ac:dyDescent="0.2">
      <c r="B1051" s="91"/>
      <c r="E1051" s="92"/>
      <c r="F1051" s="93"/>
      <c r="G1051" s="94"/>
      <c r="H1051" s="94"/>
      <c r="I1051" s="94"/>
      <c r="J1051" s="94"/>
      <c r="K1051" s="93"/>
      <c r="L1051" s="86"/>
      <c r="M1051" s="86"/>
      <c r="N1051" s="86"/>
      <c r="O1051" s="86"/>
      <c r="P1051" s="86"/>
      <c r="Q1051" s="85"/>
      <c r="S1051" s="85"/>
      <c r="T1051" s="85"/>
      <c r="U1051" s="85"/>
      <c r="V1051" s="85"/>
      <c r="W1051" s="85"/>
      <c r="X1051" s="85"/>
    </row>
    <row r="1052" spans="2:24" s="58" customFormat="1" ht="12" x14ac:dyDescent="0.2">
      <c r="B1052" s="91"/>
      <c r="E1052" s="92"/>
      <c r="F1052" s="93"/>
      <c r="G1052" s="94"/>
      <c r="H1052" s="94"/>
      <c r="I1052" s="94"/>
      <c r="J1052" s="94"/>
      <c r="K1052" s="93"/>
      <c r="L1052" s="86"/>
      <c r="M1052" s="86"/>
      <c r="N1052" s="86"/>
      <c r="O1052" s="86"/>
      <c r="P1052" s="86"/>
      <c r="Q1052" s="85"/>
      <c r="S1052" s="85"/>
      <c r="T1052" s="85"/>
      <c r="U1052" s="85"/>
      <c r="V1052" s="85"/>
      <c r="W1052" s="85"/>
      <c r="X1052" s="85"/>
    </row>
    <row r="1053" spans="2:24" s="58" customFormat="1" ht="12" x14ac:dyDescent="0.2">
      <c r="B1053" s="91"/>
      <c r="E1053" s="92"/>
      <c r="F1053" s="93"/>
      <c r="G1053" s="94"/>
      <c r="H1053" s="94"/>
      <c r="I1053" s="94"/>
      <c r="J1053" s="94"/>
      <c r="K1053" s="93"/>
      <c r="L1053" s="86"/>
      <c r="M1053" s="86"/>
      <c r="N1053" s="86"/>
      <c r="O1053" s="86"/>
      <c r="P1053" s="86"/>
      <c r="Q1053" s="85"/>
      <c r="S1053" s="85"/>
      <c r="T1053" s="85"/>
      <c r="U1053" s="85"/>
      <c r="V1053" s="85"/>
      <c r="W1053" s="85"/>
      <c r="X1053" s="85"/>
    </row>
    <row r="1054" spans="2:24" s="58" customFormat="1" ht="12" x14ac:dyDescent="0.2">
      <c r="B1054" s="91"/>
      <c r="E1054" s="92"/>
      <c r="F1054" s="93"/>
      <c r="G1054" s="94"/>
      <c r="H1054" s="94"/>
      <c r="I1054" s="94"/>
      <c r="J1054" s="94"/>
      <c r="K1054" s="93"/>
      <c r="L1054" s="86"/>
      <c r="M1054" s="86"/>
      <c r="N1054" s="86"/>
      <c r="O1054" s="86"/>
      <c r="P1054" s="86"/>
      <c r="Q1054" s="85"/>
      <c r="S1054" s="85"/>
      <c r="T1054" s="85"/>
      <c r="U1054" s="85"/>
      <c r="V1054" s="85"/>
      <c r="W1054" s="85"/>
      <c r="X1054" s="85"/>
    </row>
    <row r="1055" spans="2:24" s="58" customFormat="1" ht="12" x14ac:dyDescent="0.2">
      <c r="B1055" s="91"/>
      <c r="E1055" s="92"/>
      <c r="F1055" s="93"/>
      <c r="G1055" s="94"/>
      <c r="H1055" s="94"/>
      <c r="I1055" s="94"/>
      <c r="J1055" s="94"/>
      <c r="K1055" s="93"/>
      <c r="L1055" s="86"/>
      <c r="M1055" s="86"/>
      <c r="N1055" s="86"/>
      <c r="O1055" s="86"/>
      <c r="P1055" s="86"/>
      <c r="Q1055" s="85"/>
      <c r="S1055" s="85"/>
      <c r="T1055" s="85"/>
      <c r="U1055" s="85"/>
      <c r="V1055" s="85"/>
      <c r="W1055" s="85"/>
      <c r="X1055" s="85"/>
    </row>
    <row r="1056" spans="2:24" s="58" customFormat="1" ht="12" x14ac:dyDescent="0.2">
      <c r="B1056" s="91"/>
      <c r="E1056" s="92"/>
      <c r="F1056" s="93"/>
      <c r="G1056" s="94"/>
      <c r="H1056" s="94"/>
      <c r="I1056" s="94"/>
      <c r="J1056" s="94"/>
      <c r="K1056" s="93"/>
      <c r="L1056" s="86"/>
      <c r="M1056" s="86"/>
      <c r="N1056" s="86"/>
      <c r="O1056" s="86"/>
      <c r="P1056" s="86"/>
      <c r="Q1056" s="85"/>
      <c r="S1056" s="85"/>
      <c r="T1056" s="85"/>
      <c r="U1056" s="85"/>
      <c r="V1056" s="85"/>
      <c r="W1056" s="85"/>
      <c r="X1056" s="85"/>
    </row>
    <row r="1057" spans="2:24" s="58" customFormat="1" ht="12" x14ac:dyDescent="0.2">
      <c r="B1057" s="91"/>
      <c r="E1057" s="92"/>
      <c r="F1057" s="93"/>
      <c r="G1057" s="94"/>
      <c r="H1057" s="94"/>
      <c r="I1057" s="94"/>
      <c r="J1057" s="94"/>
      <c r="K1057" s="93"/>
      <c r="L1057" s="86"/>
      <c r="M1057" s="86"/>
      <c r="N1057" s="86"/>
      <c r="O1057" s="86"/>
      <c r="P1057" s="86"/>
      <c r="Q1057" s="85"/>
      <c r="S1057" s="85"/>
      <c r="T1057" s="85"/>
      <c r="U1057" s="85"/>
      <c r="V1057" s="85"/>
      <c r="W1057" s="85"/>
      <c r="X1057" s="85"/>
    </row>
    <row r="1058" spans="2:24" s="58" customFormat="1" ht="12" x14ac:dyDescent="0.2">
      <c r="B1058" s="91"/>
      <c r="E1058" s="92"/>
      <c r="F1058" s="93"/>
      <c r="G1058" s="94"/>
      <c r="H1058" s="94"/>
      <c r="I1058" s="94"/>
      <c r="J1058" s="94"/>
      <c r="K1058" s="93"/>
      <c r="L1058" s="86"/>
      <c r="M1058" s="86"/>
      <c r="N1058" s="86"/>
      <c r="O1058" s="86"/>
      <c r="P1058" s="86"/>
      <c r="Q1058" s="85"/>
      <c r="S1058" s="85"/>
      <c r="T1058" s="85"/>
      <c r="U1058" s="85"/>
      <c r="V1058" s="85"/>
      <c r="W1058" s="85"/>
      <c r="X1058" s="85"/>
    </row>
    <row r="1059" spans="2:24" s="58" customFormat="1" ht="12" x14ac:dyDescent="0.2">
      <c r="B1059" s="91"/>
      <c r="E1059" s="92"/>
      <c r="F1059" s="93"/>
      <c r="G1059" s="94"/>
      <c r="H1059" s="94"/>
      <c r="I1059" s="94"/>
      <c r="J1059" s="94"/>
      <c r="K1059" s="93"/>
      <c r="L1059" s="86"/>
      <c r="M1059" s="86"/>
      <c r="N1059" s="86"/>
      <c r="O1059" s="86"/>
      <c r="P1059" s="86"/>
      <c r="Q1059" s="85"/>
      <c r="S1059" s="85"/>
      <c r="T1059" s="85"/>
      <c r="U1059" s="85"/>
      <c r="V1059" s="85"/>
      <c r="W1059" s="85"/>
      <c r="X1059" s="85"/>
    </row>
    <row r="1060" spans="2:24" s="58" customFormat="1" ht="12" x14ac:dyDescent="0.2">
      <c r="B1060" s="91"/>
      <c r="E1060" s="92"/>
      <c r="F1060" s="93"/>
      <c r="G1060" s="94"/>
      <c r="H1060" s="94"/>
      <c r="I1060" s="94"/>
      <c r="J1060" s="94"/>
      <c r="K1060" s="93"/>
      <c r="L1060" s="86"/>
      <c r="M1060" s="86"/>
      <c r="N1060" s="86"/>
      <c r="O1060" s="86"/>
      <c r="P1060" s="86"/>
      <c r="Q1060" s="85"/>
      <c r="S1060" s="85"/>
      <c r="T1060" s="85"/>
      <c r="U1060" s="85"/>
      <c r="V1060" s="85"/>
      <c r="W1060" s="85"/>
      <c r="X1060" s="85"/>
    </row>
    <row r="1061" spans="2:24" s="58" customFormat="1" ht="12" x14ac:dyDescent="0.2">
      <c r="B1061" s="91"/>
      <c r="E1061" s="92"/>
      <c r="F1061" s="93"/>
      <c r="G1061" s="94"/>
      <c r="H1061" s="94"/>
      <c r="I1061" s="94"/>
      <c r="J1061" s="94"/>
      <c r="K1061" s="93"/>
      <c r="L1061" s="86"/>
      <c r="M1061" s="86"/>
      <c r="N1061" s="86"/>
      <c r="O1061" s="86"/>
      <c r="P1061" s="86"/>
      <c r="Q1061" s="85"/>
      <c r="S1061" s="85"/>
      <c r="T1061" s="85"/>
      <c r="U1061" s="85"/>
      <c r="V1061" s="85"/>
      <c r="W1061" s="85"/>
      <c r="X1061" s="85"/>
    </row>
    <row r="1062" spans="2:24" s="58" customFormat="1" ht="12" x14ac:dyDescent="0.2">
      <c r="B1062" s="91"/>
      <c r="E1062" s="92"/>
      <c r="F1062" s="93"/>
      <c r="G1062" s="94"/>
      <c r="H1062" s="94"/>
      <c r="I1062" s="94"/>
      <c r="J1062" s="94"/>
      <c r="K1062" s="93"/>
      <c r="L1062" s="86"/>
      <c r="M1062" s="86"/>
      <c r="N1062" s="86"/>
      <c r="O1062" s="86"/>
      <c r="P1062" s="86"/>
      <c r="Q1062" s="85"/>
      <c r="S1062" s="85"/>
      <c r="T1062" s="85"/>
      <c r="U1062" s="85"/>
      <c r="V1062" s="85"/>
      <c r="W1062" s="85"/>
      <c r="X1062" s="85"/>
    </row>
    <row r="1063" spans="2:24" s="58" customFormat="1" ht="12" x14ac:dyDescent="0.2">
      <c r="B1063" s="91"/>
      <c r="E1063" s="92"/>
      <c r="F1063" s="93"/>
      <c r="G1063" s="94"/>
      <c r="H1063" s="94"/>
      <c r="I1063" s="94"/>
      <c r="J1063" s="94"/>
      <c r="K1063" s="93"/>
      <c r="L1063" s="86"/>
      <c r="M1063" s="86"/>
      <c r="N1063" s="86"/>
      <c r="O1063" s="86"/>
      <c r="P1063" s="86"/>
      <c r="Q1063" s="85"/>
      <c r="S1063" s="85"/>
      <c r="T1063" s="85"/>
      <c r="U1063" s="85"/>
      <c r="V1063" s="85"/>
      <c r="W1063" s="85"/>
      <c r="X1063" s="85"/>
    </row>
    <row r="1064" spans="2:24" s="58" customFormat="1" ht="12" x14ac:dyDescent="0.2">
      <c r="B1064" s="91"/>
      <c r="E1064" s="92"/>
      <c r="F1064" s="93"/>
      <c r="G1064" s="94"/>
      <c r="H1064" s="94"/>
      <c r="I1064" s="94"/>
      <c r="J1064" s="94"/>
      <c r="K1064" s="93"/>
      <c r="L1064" s="86"/>
      <c r="M1064" s="86"/>
      <c r="N1064" s="86"/>
      <c r="O1064" s="86"/>
      <c r="P1064" s="86"/>
      <c r="Q1064" s="85"/>
      <c r="S1064" s="85"/>
      <c r="T1064" s="85"/>
      <c r="U1064" s="85"/>
      <c r="V1064" s="85"/>
      <c r="W1064" s="85"/>
      <c r="X1064" s="85"/>
    </row>
    <row r="1065" spans="2:24" s="58" customFormat="1" ht="12" x14ac:dyDescent="0.2">
      <c r="B1065" s="91"/>
      <c r="E1065" s="92"/>
      <c r="F1065" s="93"/>
      <c r="G1065" s="94"/>
      <c r="H1065" s="94"/>
      <c r="I1065" s="94"/>
      <c r="J1065" s="94"/>
      <c r="K1065" s="93"/>
      <c r="L1065" s="86"/>
      <c r="M1065" s="86"/>
      <c r="N1065" s="86"/>
      <c r="O1065" s="86"/>
      <c r="P1065" s="86"/>
      <c r="Q1065" s="85"/>
      <c r="S1065" s="85"/>
      <c r="T1065" s="85"/>
      <c r="U1065" s="85"/>
      <c r="V1065" s="85"/>
      <c r="W1065" s="85"/>
      <c r="X1065" s="85"/>
    </row>
    <row r="1066" spans="2:24" s="58" customFormat="1" ht="12" x14ac:dyDescent="0.2">
      <c r="B1066" s="91"/>
      <c r="E1066" s="92"/>
      <c r="F1066" s="93"/>
      <c r="G1066" s="94"/>
      <c r="H1066" s="94"/>
      <c r="I1066" s="94"/>
      <c r="J1066" s="94"/>
      <c r="K1066" s="93"/>
      <c r="L1066" s="86"/>
      <c r="M1066" s="86"/>
      <c r="N1066" s="86"/>
      <c r="O1066" s="86"/>
      <c r="P1066" s="86"/>
      <c r="Q1066" s="85"/>
      <c r="S1066" s="85"/>
      <c r="T1066" s="85"/>
      <c r="U1066" s="85"/>
      <c r="V1066" s="85"/>
      <c r="W1066" s="85"/>
      <c r="X1066" s="85"/>
    </row>
    <row r="1067" spans="2:24" s="58" customFormat="1" ht="12" x14ac:dyDescent="0.2">
      <c r="B1067" s="91"/>
      <c r="E1067" s="92"/>
      <c r="F1067" s="93"/>
      <c r="G1067" s="94"/>
      <c r="H1067" s="94"/>
      <c r="I1067" s="94"/>
      <c r="J1067" s="94"/>
      <c r="K1067" s="93"/>
      <c r="L1067" s="86"/>
      <c r="M1067" s="86"/>
      <c r="N1067" s="86"/>
      <c r="O1067" s="86"/>
      <c r="P1067" s="86"/>
      <c r="Q1067" s="85"/>
      <c r="S1067" s="85"/>
      <c r="T1067" s="85"/>
      <c r="U1067" s="85"/>
      <c r="V1067" s="85"/>
      <c r="W1067" s="85"/>
      <c r="X1067" s="85"/>
    </row>
    <row r="1068" spans="2:24" s="58" customFormat="1" ht="12" x14ac:dyDescent="0.2">
      <c r="B1068" s="91"/>
      <c r="E1068" s="92"/>
      <c r="F1068" s="93"/>
      <c r="G1068" s="94"/>
      <c r="H1068" s="94"/>
      <c r="I1068" s="94"/>
      <c r="J1068" s="94"/>
      <c r="K1068" s="93"/>
      <c r="L1068" s="86"/>
      <c r="M1068" s="86"/>
      <c r="N1068" s="86"/>
      <c r="O1068" s="86"/>
      <c r="P1068" s="86"/>
      <c r="Q1068" s="85"/>
      <c r="S1068" s="85"/>
      <c r="T1068" s="85"/>
      <c r="U1068" s="85"/>
      <c r="V1068" s="85"/>
      <c r="W1068" s="85"/>
      <c r="X1068" s="85"/>
    </row>
    <row r="1069" spans="2:24" s="58" customFormat="1" ht="12" x14ac:dyDescent="0.2">
      <c r="B1069" s="91"/>
      <c r="E1069" s="92"/>
      <c r="F1069" s="93"/>
      <c r="G1069" s="94"/>
      <c r="H1069" s="94"/>
      <c r="I1069" s="94"/>
      <c r="J1069" s="94"/>
      <c r="K1069" s="93"/>
      <c r="L1069" s="86"/>
      <c r="M1069" s="86"/>
      <c r="N1069" s="86"/>
      <c r="O1069" s="86"/>
      <c r="P1069" s="86"/>
      <c r="Q1069" s="85"/>
      <c r="S1069" s="85"/>
      <c r="T1069" s="85"/>
      <c r="U1069" s="85"/>
      <c r="V1069" s="85"/>
      <c r="W1069" s="85"/>
      <c r="X1069" s="85"/>
    </row>
    <row r="1070" spans="2:24" s="58" customFormat="1" ht="12" x14ac:dyDescent="0.2">
      <c r="B1070" s="91"/>
      <c r="E1070" s="92"/>
      <c r="F1070" s="93"/>
      <c r="G1070" s="94"/>
      <c r="H1070" s="94"/>
      <c r="I1070" s="94"/>
      <c r="J1070" s="94"/>
      <c r="K1070" s="93"/>
      <c r="L1070" s="86"/>
      <c r="M1070" s="86"/>
      <c r="N1070" s="86"/>
      <c r="O1070" s="86"/>
      <c r="P1070" s="86"/>
      <c r="Q1070" s="85"/>
      <c r="S1070" s="85"/>
      <c r="T1070" s="85"/>
      <c r="U1070" s="85"/>
      <c r="V1070" s="85"/>
      <c r="W1070" s="85"/>
      <c r="X1070" s="85"/>
    </row>
    <row r="1071" spans="2:24" s="58" customFormat="1" ht="12" x14ac:dyDescent="0.2">
      <c r="B1071" s="91"/>
      <c r="E1071" s="92"/>
      <c r="F1071" s="93"/>
      <c r="G1071" s="94"/>
      <c r="H1071" s="94"/>
      <c r="I1071" s="94"/>
      <c r="J1071" s="94"/>
      <c r="K1071" s="93"/>
      <c r="L1071" s="86"/>
      <c r="M1071" s="86"/>
      <c r="N1071" s="86"/>
      <c r="O1071" s="86"/>
      <c r="P1071" s="86"/>
      <c r="Q1071" s="85"/>
      <c r="S1071" s="85"/>
      <c r="T1071" s="85"/>
      <c r="U1071" s="85"/>
      <c r="V1071" s="85"/>
      <c r="W1071" s="85"/>
      <c r="X1071" s="85"/>
    </row>
    <row r="1072" spans="2:24" s="58" customFormat="1" ht="12" x14ac:dyDescent="0.2">
      <c r="B1072" s="91"/>
      <c r="E1072" s="92"/>
      <c r="F1072" s="93"/>
      <c r="G1072" s="94"/>
      <c r="H1072" s="94"/>
      <c r="I1072" s="94"/>
      <c r="J1072" s="94"/>
      <c r="K1072" s="93"/>
      <c r="L1072" s="86"/>
      <c r="M1072" s="86"/>
      <c r="N1072" s="86"/>
      <c r="O1072" s="86"/>
      <c r="P1072" s="86"/>
      <c r="Q1072" s="85"/>
      <c r="S1072" s="85"/>
      <c r="T1072" s="85"/>
      <c r="U1072" s="85"/>
      <c r="V1072" s="85"/>
      <c r="W1072" s="85"/>
      <c r="X1072" s="85"/>
    </row>
    <row r="1073" spans="2:24" s="58" customFormat="1" ht="12" x14ac:dyDescent="0.2">
      <c r="B1073" s="91"/>
      <c r="E1073" s="92"/>
      <c r="F1073" s="93"/>
      <c r="G1073" s="94"/>
      <c r="H1073" s="94"/>
      <c r="I1073" s="94"/>
      <c r="J1073" s="94"/>
      <c r="K1073" s="93"/>
      <c r="L1073" s="86"/>
      <c r="M1073" s="86"/>
      <c r="N1073" s="86"/>
      <c r="O1073" s="86"/>
      <c r="P1073" s="86"/>
      <c r="Q1073" s="85"/>
      <c r="S1073" s="85"/>
      <c r="T1073" s="85"/>
      <c r="U1073" s="85"/>
      <c r="V1073" s="85"/>
      <c r="W1073" s="85"/>
      <c r="X1073" s="85"/>
    </row>
    <row r="1074" spans="2:24" s="58" customFormat="1" ht="12" x14ac:dyDescent="0.2">
      <c r="B1074" s="91"/>
      <c r="E1074" s="92"/>
      <c r="F1074" s="93"/>
      <c r="G1074" s="94"/>
      <c r="H1074" s="94"/>
      <c r="I1074" s="94"/>
      <c r="J1074" s="94"/>
      <c r="K1074" s="93"/>
      <c r="L1074" s="86"/>
      <c r="M1074" s="86"/>
      <c r="N1074" s="86"/>
      <c r="O1074" s="86"/>
      <c r="P1074" s="86"/>
      <c r="Q1074" s="85"/>
      <c r="S1074" s="85"/>
      <c r="T1074" s="85"/>
      <c r="U1074" s="85"/>
      <c r="V1074" s="85"/>
      <c r="W1074" s="85"/>
      <c r="X1074" s="85"/>
    </row>
    <row r="1075" spans="2:24" s="58" customFormat="1" ht="12" x14ac:dyDescent="0.2">
      <c r="B1075" s="91"/>
      <c r="E1075" s="92"/>
      <c r="F1075" s="93"/>
      <c r="G1075" s="94"/>
      <c r="H1075" s="94"/>
      <c r="I1075" s="94"/>
      <c r="J1075" s="94"/>
      <c r="K1075" s="93"/>
      <c r="L1075" s="86"/>
      <c r="M1075" s="86"/>
      <c r="N1075" s="86"/>
      <c r="O1075" s="86"/>
      <c r="P1075" s="86"/>
      <c r="Q1075" s="85"/>
      <c r="S1075" s="85"/>
      <c r="T1075" s="85"/>
      <c r="U1075" s="85"/>
      <c r="V1075" s="85"/>
      <c r="W1075" s="85"/>
      <c r="X1075" s="85"/>
    </row>
    <row r="1076" spans="2:24" s="58" customFormat="1" ht="12" x14ac:dyDescent="0.2">
      <c r="B1076" s="91"/>
      <c r="E1076" s="92"/>
      <c r="F1076" s="93"/>
      <c r="G1076" s="94"/>
      <c r="H1076" s="94"/>
      <c r="I1076" s="94"/>
      <c r="J1076" s="94"/>
      <c r="K1076" s="93"/>
      <c r="L1076" s="86"/>
      <c r="M1076" s="86"/>
      <c r="N1076" s="86"/>
      <c r="O1076" s="86"/>
      <c r="P1076" s="86"/>
      <c r="Q1076" s="85"/>
      <c r="S1076" s="85"/>
      <c r="T1076" s="85"/>
      <c r="U1076" s="85"/>
      <c r="V1076" s="85"/>
      <c r="W1076" s="85"/>
      <c r="X1076" s="85"/>
    </row>
    <row r="1077" spans="2:24" s="58" customFormat="1" ht="12" x14ac:dyDescent="0.2">
      <c r="B1077" s="91"/>
      <c r="E1077" s="92"/>
      <c r="F1077" s="93"/>
      <c r="G1077" s="94"/>
      <c r="H1077" s="94"/>
      <c r="I1077" s="94"/>
      <c r="J1077" s="94"/>
      <c r="K1077" s="93"/>
      <c r="L1077" s="86"/>
      <c r="M1077" s="86"/>
      <c r="N1077" s="86"/>
      <c r="O1077" s="86"/>
      <c r="P1077" s="86"/>
      <c r="Q1077" s="85"/>
      <c r="S1077" s="85"/>
      <c r="T1077" s="85"/>
      <c r="U1077" s="85"/>
      <c r="V1077" s="85"/>
      <c r="W1077" s="85"/>
      <c r="X1077" s="85"/>
    </row>
    <row r="1078" spans="2:24" s="58" customFormat="1" ht="12" x14ac:dyDescent="0.2">
      <c r="B1078" s="91"/>
      <c r="E1078" s="92"/>
      <c r="F1078" s="93"/>
      <c r="G1078" s="94"/>
      <c r="H1078" s="94"/>
      <c r="I1078" s="94"/>
      <c r="J1078" s="94"/>
      <c r="K1078" s="93"/>
      <c r="L1078" s="86"/>
      <c r="M1078" s="86"/>
      <c r="N1078" s="86"/>
      <c r="O1078" s="86"/>
      <c r="P1078" s="86"/>
      <c r="Q1078" s="85"/>
      <c r="S1078" s="85"/>
      <c r="T1078" s="85"/>
      <c r="U1078" s="85"/>
      <c r="V1078" s="85"/>
      <c r="W1078" s="85"/>
      <c r="X1078" s="85"/>
    </row>
    <row r="1079" spans="2:24" s="58" customFormat="1" ht="12" x14ac:dyDescent="0.2">
      <c r="B1079" s="91"/>
      <c r="E1079" s="92"/>
      <c r="F1079" s="93"/>
      <c r="G1079" s="94"/>
      <c r="H1079" s="94"/>
      <c r="I1079" s="94"/>
      <c r="J1079" s="94"/>
      <c r="K1079" s="93"/>
      <c r="L1079" s="86"/>
      <c r="M1079" s="86"/>
      <c r="N1079" s="86"/>
      <c r="O1079" s="86"/>
      <c r="P1079" s="86"/>
      <c r="Q1079" s="85"/>
      <c r="S1079" s="85"/>
      <c r="T1079" s="85"/>
      <c r="U1079" s="85"/>
      <c r="V1079" s="85"/>
      <c r="W1079" s="85"/>
      <c r="X1079" s="85"/>
    </row>
    <row r="1080" spans="2:24" s="58" customFormat="1" ht="12" x14ac:dyDescent="0.2">
      <c r="B1080" s="91"/>
      <c r="E1080" s="92"/>
      <c r="F1080" s="93"/>
      <c r="G1080" s="94"/>
      <c r="H1080" s="94"/>
      <c r="I1080" s="94"/>
      <c r="J1080" s="94"/>
      <c r="K1080" s="93"/>
      <c r="L1080" s="86"/>
      <c r="M1080" s="86"/>
      <c r="N1080" s="86"/>
      <c r="O1080" s="86"/>
      <c r="P1080" s="86"/>
      <c r="Q1080" s="85"/>
      <c r="S1080" s="85"/>
      <c r="T1080" s="85"/>
      <c r="U1080" s="85"/>
      <c r="V1080" s="85"/>
      <c r="W1080" s="85"/>
      <c r="X1080" s="85"/>
    </row>
    <row r="1081" spans="2:24" s="58" customFormat="1" ht="12" x14ac:dyDescent="0.2">
      <c r="B1081" s="91"/>
      <c r="E1081" s="92"/>
      <c r="F1081" s="93"/>
      <c r="G1081" s="94"/>
      <c r="H1081" s="94"/>
      <c r="I1081" s="94"/>
      <c r="J1081" s="94"/>
      <c r="K1081" s="93"/>
      <c r="L1081" s="86"/>
      <c r="M1081" s="86"/>
      <c r="N1081" s="86"/>
      <c r="O1081" s="86"/>
      <c r="P1081" s="86"/>
      <c r="Q1081" s="85"/>
      <c r="S1081" s="85"/>
      <c r="T1081" s="85"/>
      <c r="U1081" s="85"/>
      <c r="V1081" s="85"/>
      <c r="W1081" s="85"/>
      <c r="X1081" s="85"/>
    </row>
    <row r="1082" spans="2:24" s="58" customFormat="1" ht="12" x14ac:dyDescent="0.2">
      <c r="B1082" s="91"/>
      <c r="E1082" s="92"/>
      <c r="F1082" s="93"/>
      <c r="G1082" s="94"/>
      <c r="H1082" s="94"/>
      <c r="I1082" s="94"/>
      <c r="J1082" s="94"/>
      <c r="K1082" s="93"/>
      <c r="L1082" s="86"/>
      <c r="M1082" s="86"/>
      <c r="N1082" s="86"/>
      <c r="O1082" s="86"/>
      <c r="P1082" s="86"/>
      <c r="Q1082" s="85"/>
      <c r="S1082" s="85"/>
      <c r="T1082" s="85"/>
      <c r="U1082" s="85"/>
      <c r="V1082" s="85"/>
      <c r="W1082" s="85"/>
      <c r="X1082" s="85"/>
    </row>
    <row r="1083" spans="2:24" s="58" customFormat="1" ht="12" x14ac:dyDescent="0.2">
      <c r="B1083" s="91"/>
      <c r="E1083" s="92"/>
      <c r="F1083" s="93"/>
      <c r="G1083" s="94"/>
      <c r="H1083" s="94"/>
      <c r="I1083" s="94"/>
      <c r="J1083" s="94"/>
      <c r="K1083" s="93"/>
      <c r="L1083" s="86"/>
      <c r="M1083" s="86"/>
      <c r="N1083" s="86"/>
      <c r="O1083" s="86"/>
      <c r="P1083" s="86"/>
      <c r="Q1083" s="85"/>
      <c r="S1083" s="85"/>
      <c r="T1083" s="85"/>
      <c r="U1083" s="85"/>
      <c r="V1083" s="85"/>
      <c r="W1083" s="85"/>
      <c r="X1083" s="85"/>
    </row>
    <row r="1084" spans="2:24" s="58" customFormat="1" ht="12" x14ac:dyDescent="0.2">
      <c r="B1084" s="91"/>
      <c r="E1084" s="92"/>
      <c r="F1084" s="93"/>
      <c r="G1084" s="94"/>
      <c r="H1084" s="94"/>
      <c r="I1084" s="94"/>
      <c r="J1084" s="94"/>
      <c r="K1084" s="93"/>
      <c r="L1084" s="86"/>
      <c r="M1084" s="86"/>
      <c r="N1084" s="86"/>
      <c r="O1084" s="86"/>
      <c r="P1084" s="86"/>
      <c r="Q1084" s="85"/>
      <c r="S1084" s="85"/>
      <c r="T1084" s="85"/>
      <c r="U1084" s="85"/>
      <c r="V1084" s="85"/>
      <c r="W1084" s="85"/>
      <c r="X1084" s="85"/>
    </row>
    <row r="1085" spans="2:24" s="58" customFormat="1" ht="12" x14ac:dyDescent="0.2">
      <c r="B1085" s="91"/>
      <c r="E1085" s="92"/>
      <c r="F1085" s="93"/>
      <c r="G1085" s="94"/>
      <c r="H1085" s="94"/>
      <c r="I1085" s="94"/>
      <c r="J1085" s="94"/>
      <c r="K1085" s="93"/>
      <c r="L1085" s="86"/>
      <c r="M1085" s="86"/>
      <c r="N1085" s="86"/>
      <c r="O1085" s="86"/>
      <c r="P1085" s="86"/>
      <c r="Q1085" s="85"/>
      <c r="S1085" s="85"/>
      <c r="T1085" s="85"/>
      <c r="U1085" s="85"/>
      <c r="V1085" s="85"/>
      <c r="W1085" s="85"/>
      <c r="X1085" s="85"/>
    </row>
    <row r="1086" spans="2:24" s="58" customFormat="1" ht="12" x14ac:dyDescent="0.2">
      <c r="B1086" s="91"/>
      <c r="E1086" s="92"/>
      <c r="F1086" s="93"/>
      <c r="G1086" s="94"/>
      <c r="H1086" s="94"/>
      <c r="I1086" s="94"/>
      <c r="J1086" s="94"/>
      <c r="K1086" s="93"/>
      <c r="L1086" s="86"/>
      <c r="M1086" s="86"/>
      <c r="N1086" s="86"/>
      <c r="O1086" s="86"/>
      <c r="P1086" s="86"/>
      <c r="Q1086" s="85"/>
      <c r="S1086" s="85"/>
      <c r="T1086" s="85"/>
      <c r="U1086" s="85"/>
      <c r="V1086" s="85"/>
      <c r="W1086" s="85"/>
      <c r="X1086" s="85"/>
    </row>
    <row r="1087" spans="2:24" s="58" customFormat="1" ht="12" x14ac:dyDescent="0.2">
      <c r="B1087" s="91"/>
      <c r="E1087" s="92"/>
      <c r="F1087" s="93"/>
      <c r="G1087" s="94"/>
      <c r="H1087" s="94"/>
      <c r="I1087" s="94"/>
      <c r="J1087" s="94"/>
      <c r="K1087" s="93"/>
      <c r="L1087" s="86"/>
      <c r="M1087" s="86"/>
      <c r="N1087" s="86"/>
      <c r="O1087" s="86"/>
      <c r="P1087" s="86"/>
      <c r="Q1087" s="85"/>
      <c r="S1087" s="85"/>
      <c r="T1087" s="85"/>
      <c r="U1087" s="85"/>
      <c r="V1087" s="85"/>
      <c r="W1087" s="85"/>
      <c r="X1087" s="85"/>
    </row>
    <row r="1088" spans="2:24" s="58" customFormat="1" ht="12" x14ac:dyDescent="0.2">
      <c r="B1088" s="91"/>
      <c r="E1088" s="92"/>
      <c r="F1088" s="93"/>
      <c r="G1088" s="94"/>
      <c r="H1088" s="94"/>
      <c r="I1088" s="94"/>
      <c r="J1088" s="94"/>
      <c r="K1088" s="93"/>
      <c r="L1088" s="86"/>
      <c r="M1088" s="86"/>
      <c r="N1088" s="86"/>
      <c r="O1088" s="86"/>
      <c r="P1088" s="86"/>
      <c r="Q1088" s="85"/>
      <c r="S1088" s="85"/>
      <c r="T1088" s="85"/>
      <c r="U1088" s="85"/>
      <c r="V1088" s="85"/>
      <c r="W1088" s="85"/>
      <c r="X1088" s="85"/>
    </row>
    <row r="1089" spans="2:24" s="58" customFormat="1" ht="12" x14ac:dyDescent="0.2">
      <c r="B1089" s="91"/>
      <c r="E1089" s="92"/>
      <c r="F1089" s="93"/>
      <c r="G1089" s="94"/>
      <c r="H1089" s="94"/>
      <c r="I1089" s="94"/>
      <c r="J1089" s="94"/>
      <c r="K1089" s="93"/>
      <c r="L1089" s="86"/>
      <c r="M1089" s="86"/>
      <c r="N1089" s="86"/>
      <c r="O1089" s="86"/>
      <c r="P1089" s="86"/>
      <c r="Q1089" s="85"/>
      <c r="S1089" s="85"/>
      <c r="T1089" s="85"/>
      <c r="U1089" s="85"/>
      <c r="V1089" s="85"/>
      <c r="W1089" s="85"/>
      <c r="X1089" s="85"/>
    </row>
    <row r="1090" spans="2:24" s="58" customFormat="1" ht="12" x14ac:dyDescent="0.2">
      <c r="B1090" s="91"/>
      <c r="E1090" s="92"/>
      <c r="F1090" s="93"/>
      <c r="G1090" s="94"/>
      <c r="H1090" s="94"/>
      <c r="I1090" s="94"/>
      <c r="J1090" s="94"/>
      <c r="K1090" s="93"/>
      <c r="L1090" s="86"/>
      <c r="M1090" s="86"/>
      <c r="N1090" s="86"/>
      <c r="O1090" s="86"/>
      <c r="P1090" s="86"/>
      <c r="Q1090" s="85"/>
      <c r="S1090" s="85"/>
      <c r="T1090" s="85"/>
      <c r="U1090" s="85"/>
      <c r="V1090" s="85"/>
      <c r="W1090" s="85"/>
      <c r="X1090" s="85"/>
    </row>
    <row r="1091" spans="2:24" s="58" customFormat="1" ht="12" x14ac:dyDescent="0.2">
      <c r="B1091" s="91"/>
      <c r="E1091" s="92"/>
      <c r="F1091" s="93"/>
      <c r="G1091" s="94"/>
      <c r="H1091" s="94"/>
      <c r="I1091" s="94"/>
      <c r="J1091" s="94"/>
      <c r="K1091" s="93"/>
      <c r="L1091" s="86"/>
      <c r="M1091" s="86"/>
      <c r="N1091" s="86"/>
      <c r="O1091" s="86"/>
      <c r="P1091" s="86"/>
      <c r="Q1091" s="85"/>
      <c r="S1091" s="85"/>
      <c r="T1091" s="85"/>
      <c r="U1091" s="85"/>
      <c r="V1091" s="85"/>
      <c r="W1091" s="85"/>
      <c r="X1091" s="85"/>
    </row>
    <row r="1092" spans="2:24" s="58" customFormat="1" ht="12" x14ac:dyDescent="0.2">
      <c r="B1092" s="91"/>
      <c r="E1092" s="92"/>
      <c r="F1092" s="93"/>
      <c r="G1092" s="94"/>
      <c r="H1092" s="94"/>
      <c r="I1092" s="94"/>
      <c r="J1092" s="94"/>
      <c r="K1092" s="93"/>
      <c r="L1092" s="86"/>
      <c r="M1092" s="86"/>
      <c r="N1092" s="86"/>
      <c r="O1092" s="86"/>
      <c r="P1092" s="86"/>
      <c r="Q1092" s="85"/>
      <c r="S1092" s="85"/>
      <c r="T1092" s="85"/>
      <c r="U1092" s="85"/>
      <c r="V1092" s="85"/>
      <c r="W1092" s="85"/>
      <c r="X1092" s="85"/>
    </row>
    <row r="1093" spans="2:24" s="58" customFormat="1" ht="12" x14ac:dyDescent="0.2">
      <c r="B1093" s="91"/>
      <c r="E1093" s="92"/>
      <c r="F1093" s="93"/>
      <c r="G1093" s="94"/>
      <c r="H1093" s="94"/>
      <c r="I1093" s="94"/>
      <c r="J1093" s="94"/>
      <c r="K1093" s="93"/>
      <c r="L1093" s="86"/>
      <c r="M1093" s="86"/>
      <c r="N1093" s="86"/>
      <c r="O1093" s="86"/>
      <c r="P1093" s="86"/>
      <c r="Q1093" s="85"/>
      <c r="S1093" s="85"/>
      <c r="T1093" s="85"/>
      <c r="U1093" s="85"/>
      <c r="V1093" s="85"/>
      <c r="W1093" s="85"/>
      <c r="X1093" s="85"/>
    </row>
    <row r="1094" spans="2:24" s="58" customFormat="1" ht="12" x14ac:dyDescent="0.2">
      <c r="B1094" s="91"/>
      <c r="E1094" s="92"/>
      <c r="F1094" s="93"/>
      <c r="G1094" s="94"/>
      <c r="H1094" s="94"/>
      <c r="I1094" s="94"/>
      <c r="J1094" s="94"/>
      <c r="K1094" s="93"/>
      <c r="L1094" s="86"/>
      <c r="M1094" s="86"/>
      <c r="N1094" s="86"/>
      <c r="O1094" s="86"/>
      <c r="P1094" s="86"/>
      <c r="Q1094" s="85"/>
      <c r="S1094" s="85"/>
      <c r="T1094" s="85"/>
      <c r="U1094" s="85"/>
      <c r="V1094" s="85"/>
      <c r="W1094" s="85"/>
      <c r="X1094" s="85"/>
    </row>
    <row r="1095" spans="2:24" s="58" customFormat="1" ht="12" x14ac:dyDescent="0.2">
      <c r="B1095" s="91"/>
      <c r="E1095" s="92"/>
      <c r="F1095" s="93"/>
      <c r="G1095" s="94"/>
      <c r="H1095" s="94"/>
      <c r="I1095" s="94"/>
      <c r="J1095" s="94"/>
      <c r="K1095" s="93"/>
      <c r="L1095" s="86"/>
      <c r="M1095" s="86"/>
      <c r="N1095" s="86"/>
      <c r="O1095" s="86"/>
      <c r="P1095" s="86"/>
      <c r="Q1095" s="85"/>
      <c r="S1095" s="85"/>
      <c r="T1095" s="85"/>
      <c r="U1095" s="85"/>
      <c r="V1095" s="85"/>
      <c r="W1095" s="85"/>
      <c r="X1095" s="85"/>
    </row>
    <row r="1096" spans="2:24" s="58" customFormat="1" ht="12" x14ac:dyDescent="0.2">
      <c r="B1096" s="91"/>
      <c r="E1096" s="92"/>
      <c r="F1096" s="93"/>
      <c r="G1096" s="94"/>
      <c r="H1096" s="94"/>
      <c r="I1096" s="94"/>
      <c r="J1096" s="94"/>
      <c r="K1096" s="93"/>
      <c r="L1096" s="86"/>
      <c r="M1096" s="86"/>
      <c r="N1096" s="86"/>
      <c r="O1096" s="86"/>
      <c r="P1096" s="86"/>
      <c r="Q1096" s="85"/>
      <c r="S1096" s="85"/>
      <c r="T1096" s="85"/>
      <c r="U1096" s="85"/>
      <c r="V1096" s="85"/>
      <c r="W1096" s="85"/>
      <c r="X1096" s="85"/>
    </row>
    <row r="1097" spans="2:24" s="58" customFormat="1" ht="12" x14ac:dyDescent="0.2">
      <c r="B1097" s="91"/>
      <c r="E1097" s="92"/>
      <c r="F1097" s="93"/>
      <c r="G1097" s="94"/>
      <c r="H1097" s="94"/>
      <c r="I1097" s="94"/>
      <c r="J1097" s="94"/>
      <c r="K1097" s="93"/>
      <c r="L1097" s="86"/>
      <c r="M1097" s="86"/>
      <c r="N1097" s="86"/>
      <c r="O1097" s="86"/>
      <c r="P1097" s="86"/>
      <c r="Q1097" s="85"/>
      <c r="S1097" s="85"/>
      <c r="T1097" s="85"/>
      <c r="U1097" s="85"/>
      <c r="V1097" s="85"/>
      <c r="W1097" s="85"/>
      <c r="X1097" s="85"/>
    </row>
    <row r="1098" spans="2:24" s="58" customFormat="1" ht="12" x14ac:dyDescent="0.2">
      <c r="B1098" s="91"/>
      <c r="E1098" s="92"/>
      <c r="F1098" s="93"/>
      <c r="G1098" s="94"/>
      <c r="H1098" s="94"/>
      <c r="I1098" s="94"/>
      <c r="J1098" s="94"/>
      <c r="K1098" s="93"/>
      <c r="L1098" s="86"/>
      <c r="M1098" s="86"/>
      <c r="N1098" s="86"/>
      <c r="O1098" s="86"/>
      <c r="P1098" s="86"/>
      <c r="Q1098" s="85"/>
      <c r="S1098" s="85"/>
      <c r="T1098" s="85"/>
      <c r="U1098" s="85"/>
      <c r="V1098" s="85"/>
      <c r="W1098" s="85"/>
      <c r="X1098" s="85"/>
    </row>
    <row r="1099" spans="2:24" s="58" customFormat="1" ht="12" x14ac:dyDescent="0.2">
      <c r="B1099" s="91"/>
      <c r="E1099" s="92"/>
      <c r="F1099" s="93"/>
      <c r="G1099" s="94"/>
      <c r="H1099" s="94"/>
      <c r="I1099" s="94"/>
      <c r="J1099" s="94"/>
      <c r="K1099" s="93"/>
      <c r="L1099" s="86"/>
      <c r="M1099" s="86"/>
      <c r="N1099" s="86"/>
      <c r="O1099" s="86"/>
      <c r="P1099" s="86"/>
      <c r="Q1099" s="85"/>
      <c r="S1099" s="85"/>
      <c r="T1099" s="85"/>
      <c r="U1099" s="85"/>
      <c r="V1099" s="85"/>
      <c r="W1099" s="85"/>
      <c r="X1099" s="85"/>
    </row>
    <row r="1100" spans="2:24" s="58" customFormat="1" ht="12" x14ac:dyDescent="0.2">
      <c r="B1100" s="91"/>
      <c r="E1100" s="92"/>
      <c r="F1100" s="93"/>
      <c r="G1100" s="94"/>
      <c r="H1100" s="94"/>
      <c r="I1100" s="94"/>
      <c r="J1100" s="94"/>
      <c r="K1100" s="93"/>
      <c r="L1100" s="86"/>
      <c r="M1100" s="86"/>
      <c r="N1100" s="86"/>
      <c r="O1100" s="86"/>
      <c r="P1100" s="86"/>
      <c r="Q1100" s="85"/>
      <c r="S1100" s="85"/>
      <c r="T1100" s="85"/>
      <c r="U1100" s="85"/>
      <c r="V1100" s="85"/>
      <c r="W1100" s="85"/>
      <c r="X1100" s="85"/>
    </row>
    <row r="1101" spans="2:24" s="58" customFormat="1" ht="12" x14ac:dyDescent="0.2">
      <c r="B1101" s="91"/>
      <c r="E1101" s="92"/>
      <c r="F1101" s="93"/>
      <c r="G1101" s="94"/>
      <c r="H1101" s="94"/>
      <c r="I1101" s="94"/>
      <c r="J1101" s="94"/>
      <c r="K1101" s="93"/>
      <c r="L1101" s="86"/>
      <c r="M1101" s="86"/>
      <c r="N1101" s="86"/>
      <c r="O1101" s="86"/>
      <c r="P1101" s="86"/>
      <c r="Q1101" s="85"/>
      <c r="S1101" s="85"/>
      <c r="T1101" s="85"/>
      <c r="U1101" s="85"/>
      <c r="V1101" s="85"/>
      <c r="W1101" s="85"/>
      <c r="X1101" s="85"/>
    </row>
    <row r="1102" spans="2:24" s="58" customFormat="1" ht="12" x14ac:dyDescent="0.2">
      <c r="B1102" s="91"/>
      <c r="E1102" s="92"/>
      <c r="F1102" s="93"/>
      <c r="G1102" s="94"/>
      <c r="H1102" s="94"/>
      <c r="I1102" s="94"/>
      <c r="J1102" s="94"/>
      <c r="K1102" s="93"/>
      <c r="L1102" s="86"/>
      <c r="M1102" s="86"/>
      <c r="N1102" s="86"/>
      <c r="O1102" s="86"/>
      <c r="P1102" s="86"/>
      <c r="Q1102" s="85"/>
      <c r="S1102" s="85"/>
      <c r="T1102" s="85"/>
      <c r="U1102" s="85"/>
      <c r="V1102" s="85"/>
      <c r="W1102" s="85"/>
      <c r="X1102" s="85"/>
    </row>
    <row r="1103" spans="2:24" s="58" customFormat="1" ht="12" x14ac:dyDescent="0.2">
      <c r="B1103" s="91"/>
      <c r="E1103" s="92"/>
      <c r="F1103" s="93"/>
      <c r="G1103" s="94"/>
      <c r="H1103" s="94"/>
      <c r="I1103" s="94"/>
      <c r="J1103" s="94"/>
      <c r="K1103" s="93"/>
      <c r="L1103" s="86"/>
      <c r="M1103" s="86"/>
      <c r="N1103" s="86"/>
      <c r="O1103" s="86"/>
      <c r="P1103" s="86"/>
      <c r="Q1103" s="85"/>
      <c r="S1103" s="85"/>
      <c r="T1103" s="85"/>
      <c r="U1103" s="85"/>
      <c r="V1103" s="85"/>
      <c r="W1103" s="85"/>
      <c r="X1103" s="85"/>
    </row>
    <row r="1104" spans="2:24" s="58" customFormat="1" ht="12" x14ac:dyDescent="0.2">
      <c r="B1104" s="91"/>
      <c r="E1104" s="92"/>
      <c r="F1104" s="93"/>
      <c r="G1104" s="94"/>
      <c r="H1104" s="94"/>
      <c r="I1104" s="94"/>
      <c r="J1104" s="94"/>
      <c r="K1104" s="93"/>
      <c r="L1104" s="86"/>
      <c r="M1104" s="86"/>
      <c r="N1104" s="86"/>
      <c r="O1104" s="86"/>
      <c r="P1104" s="86"/>
      <c r="Q1104" s="85"/>
      <c r="S1104" s="85"/>
      <c r="T1104" s="85"/>
      <c r="U1104" s="85"/>
      <c r="V1104" s="85"/>
      <c r="W1104" s="85"/>
      <c r="X1104" s="85"/>
    </row>
    <row r="1105" spans="2:24" s="58" customFormat="1" ht="12" x14ac:dyDescent="0.2">
      <c r="B1105" s="91"/>
      <c r="E1105" s="92"/>
      <c r="F1105" s="93"/>
      <c r="G1105" s="94"/>
      <c r="H1105" s="94"/>
      <c r="I1105" s="94"/>
      <c r="J1105" s="94"/>
      <c r="K1105" s="93"/>
      <c r="L1105" s="86"/>
      <c r="M1105" s="86"/>
      <c r="N1105" s="86"/>
      <c r="O1105" s="86"/>
      <c r="P1105" s="86"/>
      <c r="Q1105" s="85"/>
      <c r="S1105" s="85"/>
      <c r="T1105" s="85"/>
      <c r="U1105" s="85"/>
      <c r="V1105" s="85"/>
      <c r="W1105" s="85"/>
      <c r="X1105" s="85"/>
    </row>
    <row r="1106" spans="2:24" s="58" customFormat="1" ht="12" x14ac:dyDescent="0.2">
      <c r="B1106" s="91"/>
      <c r="E1106" s="92"/>
      <c r="F1106" s="93"/>
      <c r="G1106" s="94"/>
      <c r="H1106" s="94"/>
      <c r="I1106" s="94"/>
      <c r="J1106" s="94"/>
      <c r="K1106" s="93"/>
      <c r="L1106" s="86"/>
      <c r="M1106" s="86"/>
      <c r="N1106" s="86"/>
      <c r="O1106" s="86"/>
      <c r="P1106" s="86"/>
      <c r="Q1106" s="85"/>
      <c r="S1106" s="85"/>
      <c r="T1106" s="85"/>
      <c r="U1106" s="85"/>
      <c r="V1106" s="85"/>
      <c r="W1106" s="85"/>
      <c r="X1106" s="85"/>
    </row>
    <row r="1107" spans="2:24" s="58" customFormat="1" ht="12" x14ac:dyDescent="0.2">
      <c r="B1107" s="91"/>
      <c r="E1107" s="92"/>
      <c r="F1107" s="93"/>
      <c r="G1107" s="94"/>
      <c r="H1107" s="94"/>
      <c r="I1107" s="94"/>
      <c r="J1107" s="94"/>
      <c r="K1107" s="93"/>
      <c r="L1107" s="86"/>
      <c r="M1107" s="86"/>
      <c r="N1107" s="86"/>
      <c r="O1107" s="86"/>
      <c r="P1107" s="86"/>
      <c r="Q1107" s="85"/>
      <c r="S1107" s="85"/>
      <c r="T1107" s="85"/>
      <c r="U1107" s="85"/>
      <c r="V1107" s="85"/>
      <c r="W1107" s="85"/>
      <c r="X1107" s="85"/>
    </row>
    <row r="1108" spans="2:24" s="58" customFormat="1" ht="12" x14ac:dyDescent="0.2">
      <c r="B1108" s="91"/>
      <c r="E1108" s="92"/>
      <c r="F1108" s="93"/>
      <c r="G1108" s="94"/>
      <c r="H1108" s="94"/>
      <c r="I1108" s="94"/>
      <c r="J1108" s="94"/>
      <c r="K1108" s="93"/>
      <c r="L1108" s="86"/>
      <c r="M1108" s="86"/>
      <c r="N1108" s="86"/>
      <c r="O1108" s="86"/>
      <c r="P1108" s="86"/>
      <c r="Q1108" s="85"/>
      <c r="S1108" s="85"/>
      <c r="T1108" s="85"/>
      <c r="U1108" s="85"/>
      <c r="V1108" s="85"/>
      <c r="W1108" s="85"/>
      <c r="X1108" s="85"/>
    </row>
    <row r="1109" spans="2:24" s="58" customFormat="1" ht="12" x14ac:dyDescent="0.2">
      <c r="B1109" s="91"/>
      <c r="E1109" s="92"/>
      <c r="F1109" s="93"/>
      <c r="G1109" s="94"/>
      <c r="H1109" s="94"/>
      <c r="I1109" s="94"/>
      <c r="J1109" s="94"/>
      <c r="K1109" s="93"/>
      <c r="L1109" s="86"/>
      <c r="M1109" s="86"/>
      <c r="N1109" s="86"/>
      <c r="O1109" s="86"/>
      <c r="P1109" s="86"/>
      <c r="Q1109" s="85"/>
      <c r="S1109" s="85"/>
      <c r="T1109" s="85"/>
      <c r="U1109" s="85"/>
      <c r="V1109" s="85"/>
      <c r="W1109" s="85"/>
      <c r="X1109" s="85"/>
    </row>
    <row r="1110" spans="2:24" s="58" customFormat="1" ht="12" x14ac:dyDescent="0.2">
      <c r="B1110" s="91"/>
      <c r="E1110" s="92"/>
      <c r="F1110" s="93"/>
      <c r="G1110" s="94"/>
      <c r="H1110" s="94"/>
      <c r="I1110" s="94"/>
      <c r="J1110" s="94"/>
      <c r="K1110" s="93"/>
      <c r="L1110" s="86"/>
      <c r="M1110" s="86"/>
      <c r="N1110" s="86"/>
      <c r="O1110" s="86"/>
      <c r="P1110" s="86"/>
      <c r="Q1110" s="85"/>
      <c r="S1110" s="85"/>
      <c r="T1110" s="85"/>
      <c r="U1110" s="85"/>
      <c r="V1110" s="85"/>
      <c r="W1110" s="85"/>
      <c r="X1110" s="85"/>
    </row>
    <row r="1111" spans="2:24" s="58" customFormat="1" ht="12" x14ac:dyDescent="0.2">
      <c r="B1111" s="91"/>
      <c r="E1111" s="92"/>
      <c r="F1111" s="93"/>
      <c r="G1111" s="94"/>
      <c r="H1111" s="94"/>
      <c r="I1111" s="94"/>
      <c r="J1111" s="94"/>
      <c r="K1111" s="93"/>
      <c r="L1111" s="86"/>
      <c r="M1111" s="86"/>
      <c r="N1111" s="86"/>
      <c r="O1111" s="86"/>
      <c r="P1111" s="86"/>
      <c r="Q1111" s="85"/>
      <c r="S1111" s="85"/>
      <c r="T1111" s="85"/>
      <c r="U1111" s="85"/>
      <c r="V1111" s="85"/>
      <c r="W1111" s="85"/>
      <c r="X1111" s="85"/>
    </row>
    <row r="1112" spans="2:24" s="58" customFormat="1" ht="12" x14ac:dyDescent="0.2">
      <c r="B1112" s="91"/>
      <c r="E1112" s="92"/>
      <c r="F1112" s="93"/>
      <c r="G1112" s="94"/>
      <c r="H1112" s="94"/>
      <c r="I1112" s="94"/>
      <c r="J1112" s="94"/>
      <c r="K1112" s="93"/>
      <c r="L1112" s="86"/>
      <c r="M1112" s="86"/>
      <c r="N1112" s="86"/>
      <c r="O1112" s="86"/>
      <c r="P1112" s="86"/>
      <c r="Q1112" s="85"/>
      <c r="S1112" s="85"/>
      <c r="T1112" s="85"/>
      <c r="U1112" s="85"/>
      <c r="V1112" s="85"/>
      <c r="W1112" s="85"/>
      <c r="X1112" s="85"/>
    </row>
    <row r="1113" spans="2:24" s="58" customFormat="1" ht="12" x14ac:dyDescent="0.2">
      <c r="B1113" s="91"/>
      <c r="E1113" s="92"/>
      <c r="F1113" s="93"/>
      <c r="G1113" s="94"/>
      <c r="H1113" s="94"/>
      <c r="I1113" s="94"/>
      <c r="J1113" s="94"/>
      <c r="K1113" s="93"/>
      <c r="L1113" s="86"/>
      <c r="M1113" s="86"/>
      <c r="N1113" s="86"/>
      <c r="O1113" s="86"/>
      <c r="P1113" s="86"/>
      <c r="Q1113" s="85"/>
      <c r="S1113" s="85"/>
      <c r="T1113" s="85"/>
      <c r="U1113" s="85"/>
      <c r="V1113" s="85"/>
      <c r="W1113" s="85"/>
      <c r="X1113" s="85"/>
    </row>
    <row r="1114" spans="2:24" s="58" customFormat="1" ht="12" x14ac:dyDescent="0.2">
      <c r="B1114" s="91"/>
      <c r="E1114" s="92"/>
      <c r="F1114" s="93"/>
      <c r="G1114" s="94"/>
      <c r="H1114" s="94"/>
      <c r="I1114" s="94"/>
      <c r="J1114" s="94"/>
      <c r="K1114" s="93"/>
      <c r="L1114" s="86"/>
      <c r="M1114" s="86"/>
      <c r="N1114" s="86"/>
      <c r="O1114" s="86"/>
      <c r="P1114" s="86"/>
      <c r="Q1114" s="85"/>
      <c r="S1114" s="85"/>
      <c r="T1114" s="85"/>
      <c r="U1114" s="85"/>
      <c r="V1114" s="85"/>
      <c r="W1114" s="85"/>
      <c r="X1114" s="85"/>
    </row>
    <row r="1115" spans="2:24" s="58" customFormat="1" ht="12" x14ac:dyDescent="0.2">
      <c r="B1115" s="91"/>
      <c r="E1115" s="92"/>
      <c r="F1115" s="93"/>
      <c r="G1115" s="94"/>
      <c r="H1115" s="94"/>
      <c r="I1115" s="94"/>
      <c r="J1115" s="94"/>
      <c r="K1115" s="93"/>
      <c r="L1115" s="86"/>
      <c r="M1115" s="86"/>
      <c r="N1115" s="86"/>
      <c r="O1115" s="86"/>
      <c r="P1115" s="86"/>
      <c r="Q1115" s="85"/>
      <c r="S1115" s="85"/>
      <c r="T1115" s="85"/>
      <c r="U1115" s="85"/>
      <c r="V1115" s="85"/>
      <c r="W1115" s="85"/>
      <c r="X1115" s="85"/>
    </row>
    <row r="1116" spans="2:24" s="58" customFormat="1" ht="12" x14ac:dyDescent="0.2">
      <c r="B1116" s="91"/>
      <c r="E1116" s="92"/>
      <c r="F1116" s="93"/>
      <c r="G1116" s="94"/>
      <c r="H1116" s="94"/>
      <c r="I1116" s="94"/>
      <c r="J1116" s="94"/>
      <c r="K1116" s="93"/>
      <c r="L1116" s="86"/>
      <c r="M1116" s="86"/>
      <c r="N1116" s="86"/>
      <c r="O1116" s="86"/>
      <c r="P1116" s="86"/>
      <c r="Q1116" s="85"/>
      <c r="S1116" s="85"/>
      <c r="T1116" s="85"/>
      <c r="U1116" s="85"/>
      <c r="V1116" s="85"/>
      <c r="W1116" s="85"/>
      <c r="X1116" s="85"/>
    </row>
    <row r="1117" spans="2:24" s="58" customFormat="1" ht="12" x14ac:dyDescent="0.2">
      <c r="B1117" s="91"/>
      <c r="E1117" s="92"/>
      <c r="F1117" s="93"/>
      <c r="G1117" s="94"/>
      <c r="H1117" s="94"/>
      <c r="I1117" s="94"/>
      <c r="J1117" s="94"/>
      <c r="K1117" s="93"/>
      <c r="L1117" s="86"/>
      <c r="M1117" s="86"/>
      <c r="N1117" s="86"/>
      <c r="O1117" s="86"/>
      <c r="P1117" s="86"/>
      <c r="Q1117" s="85"/>
      <c r="S1117" s="85"/>
      <c r="T1117" s="85"/>
      <c r="U1117" s="85"/>
      <c r="V1117" s="85"/>
      <c r="W1117" s="85"/>
      <c r="X1117" s="85"/>
    </row>
    <row r="1118" spans="2:24" s="58" customFormat="1" ht="12" x14ac:dyDescent="0.2">
      <c r="B1118" s="91"/>
      <c r="E1118" s="92"/>
      <c r="F1118" s="93"/>
      <c r="G1118" s="94"/>
      <c r="H1118" s="94"/>
      <c r="I1118" s="94"/>
      <c r="J1118" s="94"/>
      <c r="K1118" s="93"/>
      <c r="L1118" s="86"/>
      <c r="M1118" s="86"/>
      <c r="N1118" s="86"/>
      <c r="O1118" s="86"/>
      <c r="P1118" s="86"/>
      <c r="Q1118" s="85"/>
      <c r="S1118" s="85"/>
      <c r="T1118" s="85"/>
      <c r="U1118" s="85"/>
      <c r="V1118" s="85"/>
      <c r="W1118" s="85"/>
      <c r="X1118" s="85"/>
    </row>
    <row r="1119" spans="2:24" s="58" customFormat="1" ht="12" x14ac:dyDescent="0.2">
      <c r="B1119" s="91"/>
      <c r="E1119" s="92"/>
      <c r="F1119" s="93"/>
      <c r="G1119" s="94"/>
      <c r="H1119" s="94"/>
      <c r="I1119" s="94"/>
      <c r="J1119" s="94"/>
      <c r="K1119" s="93"/>
      <c r="L1119" s="86"/>
      <c r="M1119" s="86"/>
      <c r="N1119" s="86"/>
      <c r="O1119" s="86"/>
      <c r="P1119" s="86"/>
      <c r="Q1119" s="85"/>
      <c r="S1119" s="85"/>
      <c r="T1119" s="85"/>
      <c r="U1119" s="85"/>
      <c r="V1119" s="85"/>
      <c r="W1119" s="85"/>
      <c r="X1119" s="85"/>
    </row>
    <row r="1120" spans="2:24" s="58" customFormat="1" ht="12" x14ac:dyDescent="0.2">
      <c r="B1120" s="91"/>
      <c r="E1120" s="92"/>
      <c r="F1120" s="93"/>
      <c r="G1120" s="94"/>
      <c r="H1120" s="94"/>
      <c r="I1120" s="94"/>
      <c r="J1120" s="94"/>
      <c r="K1120" s="93"/>
      <c r="L1120" s="86"/>
      <c r="M1120" s="86"/>
      <c r="N1120" s="86"/>
      <c r="O1120" s="86"/>
      <c r="P1120" s="86"/>
      <c r="Q1120" s="85"/>
      <c r="S1120" s="85"/>
      <c r="T1120" s="85"/>
      <c r="U1120" s="85"/>
      <c r="V1120" s="85"/>
      <c r="W1120" s="85"/>
      <c r="X1120" s="85"/>
    </row>
    <row r="1121" spans="2:24" s="58" customFormat="1" ht="12" x14ac:dyDescent="0.2">
      <c r="B1121" s="91"/>
      <c r="E1121" s="92"/>
      <c r="F1121" s="93"/>
      <c r="G1121" s="94"/>
      <c r="H1121" s="94"/>
      <c r="I1121" s="94"/>
      <c r="J1121" s="94"/>
      <c r="K1121" s="93"/>
      <c r="L1121" s="86"/>
      <c r="M1121" s="86"/>
      <c r="N1121" s="86"/>
      <c r="O1121" s="86"/>
      <c r="P1121" s="86"/>
      <c r="Q1121" s="85"/>
      <c r="S1121" s="85"/>
      <c r="T1121" s="85"/>
      <c r="U1121" s="85"/>
      <c r="V1121" s="85"/>
      <c r="W1121" s="85"/>
      <c r="X1121" s="85"/>
    </row>
    <row r="1122" spans="2:24" s="58" customFormat="1" ht="12" x14ac:dyDescent="0.2">
      <c r="B1122" s="91"/>
      <c r="E1122" s="92"/>
      <c r="F1122" s="93"/>
      <c r="G1122" s="94"/>
      <c r="H1122" s="94"/>
      <c r="I1122" s="94"/>
      <c r="J1122" s="94"/>
      <c r="K1122" s="93"/>
      <c r="L1122" s="86"/>
      <c r="M1122" s="86"/>
      <c r="N1122" s="86"/>
      <c r="O1122" s="86"/>
      <c r="P1122" s="86"/>
      <c r="Q1122" s="85"/>
      <c r="S1122" s="85"/>
      <c r="T1122" s="85"/>
      <c r="U1122" s="85"/>
      <c r="V1122" s="85"/>
      <c r="W1122" s="85"/>
      <c r="X1122" s="85"/>
    </row>
    <row r="1123" spans="2:24" s="58" customFormat="1" ht="12" x14ac:dyDescent="0.2">
      <c r="B1123" s="91"/>
      <c r="E1123" s="92"/>
      <c r="F1123" s="93"/>
      <c r="G1123" s="94"/>
      <c r="H1123" s="94"/>
      <c r="I1123" s="94"/>
      <c r="J1123" s="94"/>
      <c r="K1123" s="93"/>
      <c r="L1123" s="86"/>
      <c r="M1123" s="86"/>
      <c r="N1123" s="86"/>
      <c r="O1123" s="86"/>
      <c r="P1123" s="86"/>
      <c r="Q1123" s="85"/>
      <c r="S1123" s="85"/>
      <c r="T1123" s="85"/>
      <c r="U1123" s="85"/>
      <c r="V1123" s="85"/>
      <c r="W1123" s="85"/>
      <c r="X1123" s="85"/>
    </row>
    <row r="1124" spans="2:24" s="58" customFormat="1" ht="12" x14ac:dyDescent="0.2">
      <c r="B1124" s="91"/>
      <c r="E1124" s="92"/>
      <c r="F1124" s="93"/>
      <c r="G1124" s="94"/>
      <c r="H1124" s="94"/>
      <c r="I1124" s="94"/>
      <c r="J1124" s="94"/>
      <c r="K1124" s="93"/>
      <c r="L1124" s="86"/>
      <c r="M1124" s="86"/>
      <c r="N1124" s="86"/>
      <c r="O1124" s="86"/>
      <c r="P1124" s="86"/>
      <c r="Q1124" s="85"/>
      <c r="S1124" s="85"/>
      <c r="T1124" s="85"/>
      <c r="U1124" s="85"/>
      <c r="V1124" s="85"/>
      <c r="W1124" s="85"/>
      <c r="X1124" s="85"/>
    </row>
    <row r="1125" spans="2:24" s="58" customFormat="1" ht="12" x14ac:dyDescent="0.2">
      <c r="B1125" s="91"/>
      <c r="E1125" s="92"/>
      <c r="F1125" s="93"/>
      <c r="G1125" s="94"/>
      <c r="H1125" s="94"/>
      <c r="I1125" s="94"/>
      <c r="J1125" s="94"/>
      <c r="K1125" s="93"/>
      <c r="L1125" s="86"/>
      <c r="M1125" s="86"/>
      <c r="N1125" s="86"/>
      <c r="O1125" s="86"/>
      <c r="P1125" s="86"/>
      <c r="Q1125" s="85"/>
      <c r="S1125" s="85"/>
      <c r="T1125" s="85"/>
      <c r="U1125" s="85"/>
      <c r="V1125" s="85"/>
      <c r="W1125" s="85"/>
      <c r="X1125" s="85"/>
    </row>
    <row r="1126" spans="2:24" s="58" customFormat="1" ht="12" x14ac:dyDescent="0.2">
      <c r="B1126" s="91"/>
      <c r="E1126" s="92"/>
      <c r="F1126" s="93"/>
      <c r="G1126" s="94"/>
      <c r="H1126" s="94"/>
      <c r="I1126" s="94"/>
      <c r="J1126" s="94"/>
      <c r="K1126" s="93"/>
      <c r="L1126" s="86"/>
      <c r="M1126" s="86"/>
      <c r="N1126" s="86"/>
      <c r="O1126" s="86"/>
      <c r="P1126" s="86"/>
      <c r="Q1126" s="85"/>
      <c r="S1126" s="85"/>
      <c r="T1126" s="85"/>
      <c r="U1126" s="85"/>
      <c r="V1126" s="85"/>
      <c r="W1126" s="85"/>
      <c r="X1126" s="85"/>
    </row>
    <row r="1127" spans="2:24" s="58" customFormat="1" ht="12" x14ac:dyDescent="0.2">
      <c r="B1127" s="91"/>
      <c r="E1127" s="92"/>
      <c r="F1127" s="93"/>
      <c r="G1127" s="94"/>
      <c r="H1127" s="94"/>
      <c r="I1127" s="94"/>
      <c r="J1127" s="94"/>
      <c r="K1127" s="93"/>
      <c r="L1127" s="86"/>
      <c r="M1127" s="86"/>
      <c r="N1127" s="86"/>
      <c r="O1127" s="86"/>
      <c r="P1127" s="86"/>
      <c r="Q1127" s="85"/>
      <c r="S1127" s="85"/>
      <c r="T1127" s="85"/>
      <c r="U1127" s="85"/>
      <c r="V1127" s="85"/>
      <c r="W1127" s="85"/>
      <c r="X1127" s="85"/>
    </row>
    <row r="1128" spans="2:24" s="58" customFormat="1" ht="12" x14ac:dyDescent="0.2">
      <c r="B1128" s="91"/>
      <c r="E1128" s="92"/>
      <c r="F1128" s="93"/>
      <c r="G1128" s="94"/>
      <c r="H1128" s="94"/>
      <c r="I1128" s="94"/>
      <c r="J1128" s="94"/>
      <c r="K1128" s="93"/>
      <c r="L1128" s="86"/>
      <c r="M1128" s="86"/>
      <c r="N1128" s="86"/>
      <c r="O1128" s="86"/>
      <c r="P1128" s="86"/>
      <c r="Q1128" s="85"/>
      <c r="S1128" s="85"/>
      <c r="T1128" s="85"/>
      <c r="U1128" s="85"/>
      <c r="V1128" s="85"/>
      <c r="W1128" s="85"/>
      <c r="X1128" s="85"/>
    </row>
    <row r="1129" spans="2:24" s="58" customFormat="1" ht="12" x14ac:dyDescent="0.2">
      <c r="B1129" s="91"/>
      <c r="E1129" s="92"/>
      <c r="F1129" s="93"/>
      <c r="G1129" s="94"/>
      <c r="H1129" s="94"/>
      <c r="I1129" s="94"/>
      <c r="J1129" s="94"/>
      <c r="K1129" s="93"/>
      <c r="L1129" s="86"/>
      <c r="M1129" s="86"/>
      <c r="N1129" s="86"/>
      <c r="O1129" s="86"/>
      <c r="P1129" s="86"/>
      <c r="Q1129" s="85"/>
      <c r="S1129" s="85"/>
      <c r="T1129" s="85"/>
      <c r="U1129" s="85"/>
      <c r="V1129" s="85"/>
      <c r="W1129" s="85"/>
      <c r="X1129" s="85"/>
    </row>
    <row r="1130" spans="2:24" s="58" customFormat="1" ht="12" x14ac:dyDescent="0.2">
      <c r="B1130" s="91"/>
      <c r="E1130" s="92"/>
      <c r="F1130" s="93"/>
      <c r="G1130" s="94"/>
      <c r="H1130" s="94"/>
      <c r="I1130" s="94"/>
      <c r="J1130" s="94"/>
      <c r="K1130" s="93"/>
      <c r="L1130" s="86"/>
      <c r="M1130" s="86"/>
      <c r="N1130" s="86"/>
      <c r="O1130" s="86"/>
      <c r="P1130" s="86"/>
      <c r="Q1130" s="85"/>
      <c r="S1130" s="85"/>
      <c r="T1130" s="85"/>
      <c r="U1130" s="85"/>
      <c r="V1130" s="85"/>
      <c r="W1130" s="85"/>
      <c r="X1130" s="85"/>
    </row>
    <row r="1131" spans="2:24" s="58" customFormat="1" ht="12" x14ac:dyDescent="0.2">
      <c r="B1131" s="91"/>
      <c r="E1131" s="92"/>
      <c r="F1131" s="93"/>
      <c r="G1131" s="94"/>
      <c r="H1131" s="94"/>
      <c r="I1131" s="94"/>
      <c r="J1131" s="94"/>
      <c r="K1131" s="93"/>
      <c r="L1131" s="86"/>
      <c r="M1131" s="86"/>
      <c r="N1131" s="86"/>
      <c r="O1131" s="86"/>
      <c r="P1131" s="86"/>
      <c r="Q1131" s="85"/>
      <c r="S1131" s="85"/>
      <c r="T1131" s="85"/>
      <c r="U1131" s="85"/>
      <c r="V1131" s="85"/>
      <c r="W1131" s="85"/>
      <c r="X1131" s="85"/>
    </row>
    <row r="1132" spans="2:24" s="58" customFormat="1" ht="12" x14ac:dyDescent="0.2">
      <c r="B1132" s="91"/>
      <c r="E1132" s="92"/>
      <c r="F1132" s="93"/>
      <c r="G1132" s="94"/>
      <c r="H1132" s="94"/>
      <c r="I1132" s="94"/>
      <c r="J1132" s="94"/>
      <c r="K1132" s="93"/>
      <c r="L1132" s="86"/>
      <c r="M1132" s="86"/>
      <c r="N1132" s="86"/>
      <c r="O1132" s="86"/>
      <c r="P1132" s="86"/>
      <c r="Q1132" s="85"/>
      <c r="S1132" s="85"/>
      <c r="T1132" s="85"/>
      <c r="U1132" s="85"/>
      <c r="V1132" s="85"/>
      <c r="W1132" s="85"/>
      <c r="X1132" s="85"/>
    </row>
    <row r="1133" spans="2:24" s="58" customFormat="1" ht="12" x14ac:dyDescent="0.2">
      <c r="B1133" s="91"/>
      <c r="E1133" s="92"/>
      <c r="F1133" s="93"/>
      <c r="G1133" s="94"/>
      <c r="H1133" s="94"/>
      <c r="I1133" s="94"/>
      <c r="J1133" s="94"/>
      <c r="K1133" s="93"/>
      <c r="L1133" s="86"/>
      <c r="M1133" s="86"/>
      <c r="N1133" s="86"/>
      <c r="O1133" s="86"/>
      <c r="P1133" s="86"/>
      <c r="Q1133" s="85"/>
      <c r="S1133" s="85"/>
      <c r="T1133" s="85"/>
      <c r="U1133" s="85"/>
      <c r="V1133" s="85"/>
      <c r="W1133" s="85"/>
      <c r="X1133" s="85"/>
    </row>
    <row r="1134" spans="2:24" s="58" customFormat="1" ht="12" x14ac:dyDescent="0.2">
      <c r="B1134" s="91"/>
      <c r="E1134" s="92"/>
      <c r="F1134" s="93"/>
      <c r="G1134" s="94"/>
      <c r="H1134" s="94"/>
      <c r="I1134" s="94"/>
      <c r="J1134" s="94"/>
      <c r="K1134" s="93"/>
      <c r="L1134" s="86"/>
      <c r="M1134" s="86"/>
      <c r="N1134" s="86"/>
      <c r="O1134" s="86"/>
      <c r="P1134" s="86"/>
      <c r="Q1134" s="85"/>
      <c r="S1134" s="85"/>
      <c r="T1134" s="85"/>
      <c r="U1134" s="85"/>
      <c r="V1134" s="85"/>
      <c r="W1134" s="85"/>
      <c r="X1134" s="85"/>
    </row>
    <row r="1135" spans="2:24" s="58" customFormat="1" ht="12" x14ac:dyDescent="0.2">
      <c r="B1135" s="91"/>
      <c r="E1135" s="92"/>
      <c r="F1135" s="93"/>
      <c r="G1135" s="94"/>
      <c r="H1135" s="94"/>
      <c r="I1135" s="94"/>
      <c r="J1135" s="94"/>
      <c r="K1135" s="93"/>
      <c r="L1135" s="86"/>
      <c r="M1135" s="86"/>
      <c r="N1135" s="86"/>
      <c r="O1135" s="86"/>
      <c r="P1135" s="86"/>
      <c r="Q1135" s="85"/>
      <c r="S1135" s="85"/>
      <c r="T1135" s="85"/>
      <c r="U1135" s="85"/>
      <c r="V1135" s="85"/>
      <c r="W1135" s="85"/>
      <c r="X1135" s="85"/>
    </row>
    <row r="1136" spans="2:24" s="58" customFormat="1" ht="12" x14ac:dyDescent="0.2">
      <c r="B1136" s="91"/>
      <c r="E1136" s="92"/>
      <c r="F1136" s="93"/>
      <c r="G1136" s="94"/>
      <c r="H1136" s="94"/>
      <c r="I1136" s="94"/>
      <c r="J1136" s="94"/>
      <c r="K1136" s="93"/>
      <c r="L1136" s="86"/>
      <c r="M1136" s="86"/>
      <c r="N1136" s="86"/>
      <c r="O1136" s="86"/>
      <c r="P1136" s="86"/>
      <c r="Q1136" s="85"/>
      <c r="S1136" s="85"/>
      <c r="T1136" s="85"/>
      <c r="U1136" s="85"/>
      <c r="V1136" s="85"/>
      <c r="W1136" s="85"/>
      <c r="X1136" s="85"/>
    </row>
    <row r="1137" spans="2:24" s="58" customFormat="1" ht="12" x14ac:dyDescent="0.2">
      <c r="B1137" s="91"/>
      <c r="E1137" s="92"/>
      <c r="F1137" s="93"/>
      <c r="G1137" s="94"/>
      <c r="H1137" s="94"/>
      <c r="I1137" s="94"/>
      <c r="J1137" s="94"/>
      <c r="K1137" s="93"/>
      <c r="L1137" s="86"/>
      <c r="M1137" s="86"/>
      <c r="N1137" s="86"/>
      <c r="O1137" s="86"/>
      <c r="P1137" s="86"/>
      <c r="Q1137" s="85"/>
      <c r="S1137" s="85"/>
      <c r="T1137" s="85"/>
      <c r="U1137" s="85"/>
      <c r="V1137" s="85"/>
      <c r="W1137" s="85"/>
      <c r="X1137" s="85"/>
    </row>
    <row r="1138" spans="2:24" s="58" customFormat="1" ht="12" x14ac:dyDescent="0.2">
      <c r="B1138" s="91"/>
      <c r="E1138" s="92"/>
      <c r="F1138" s="93"/>
      <c r="G1138" s="94"/>
      <c r="H1138" s="94"/>
      <c r="I1138" s="94"/>
      <c r="J1138" s="94"/>
      <c r="K1138" s="93"/>
      <c r="L1138" s="86"/>
      <c r="M1138" s="86"/>
      <c r="N1138" s="86"/>
      <c r="O1138" s="86"/>
      <c r="P1138" s="86"/>
      <c r="Q1138" s="85"/>
      <c r="S1138" s="85"/>
      <c r="T1138" s="85"/>
      <c r="U1138" s="85"/>
      <c r="V1138" s="85"/>
      <c r="W1138" s="85"/>
      <c r="X1138" s="85"/>
    </row>
    <row r="1139" spans="2:24" s="58" customFormat="1" ht="12" x14ac:dyDescent="0.2">
      <c r="B1139" s="91"/>
      <c r="E1139" s="92"/>
      <c r="F1139" s="93"/>
      <c r="G1139" s="94"/>
      <c r="H1139" s="94"/>
      <c r="I1139" s="94"/>
      <c r="J1139" s="94"/>
      <c r="K1139" s="93"/>
      <c r="L1139" s="86"/>
      <c r="M1139" s="86"/>
      <c r="N1139" s="86"/>
      <c r="O1139" s="86"/>
      <c r="P1139" s="86"/>
      <c r="Q1139" s="85"/>
      <c r="S1139" s="85"/>
      <c r="T1139" s="85"/>
      <c r="U1139" s="85"/>
      <c r="V1139" s="85"/>
      <c r="W1139" s="85"/>
      <c r="X1139" s="85"/>
    </row>
    <row r="1140" spans="2:24" s="58" customFormat="1" ht="12" x14ac:dyDescent="0.2">
      <c r="B1140" s="91"/>
      <c r="E1140" s="92"/>
      <c r="F1140" s="93"/>
      <c r="G1140" s="94"/>
      <c r="H1140" s="94"/>
      <c r="I1140" s="94"/>
      <c r="J1140" s="94"/>
      <c r="K1140" s="93"/>
      <c r="L1140" s="86"/>
      <c r="M1140" s="86"/>
      <c r="N1140" s="86"/>
      <c r="O1140" s="86"/>
      <c r="P1140" s="86"/>
      <c r="Q1140" s="85"/>
      <c r="S1140" s="85"/>
      <c r="T1140" s="85"/>
      <c r="U1140" s="85"/>
      <c r="V1140" s="85"/>
      <c r="W1140" s="85"/>
      <c r="X1140" s="85"/>
    </row>
    <row r="1141" spans="2:24" s="58" customFormat="1" ht="12" x14ac:dyDescent="0.2">
      <c r="B1141" s="91"/>
      <c r="E1141" s="92"/>
      <c r="F1141" s="93"/>
      <c r="G1141" s="94"/>
      <c r="H1141" s="94"/>
      <c r="I1141" s="94"/>
      <c r="J1141" s="94"/>
      <c r="K1141" s="93"/>
      <c r="L1141" s="86"/>
      <c r="M1141" s="86"/>
      <c r="N1141" s="86"/>
      <c r="O1141" s="86"/>
      <c r="P1141" s="86"/>
      <c r="Q1141" s="85"/>
      <c r="S1141" s="85"/>
      <c r="T1141" s="85"/>
      <c r="U1141" s="85"/>
      <c r="V1141" s="85"/>
      <c r="W1141" s="85"/>
      <c r="X1141" s="85"/>
    </row>
    <row r="1142" spans="2:24" s="58" customFormat="1" ht="12" x14ac:dyDescent="0.2">
      <c r="B1142" s="91"/>
      <c r="E1142" s="92"/>
      <c r="F1142" s="93"/>
      <c r="G1142" s="94"/>
      <c r="H1142" s="94"/>
      <c r="I1142" s="94"/>
      <c r="J1142" s="94"/>
      <c r="K1142" s="93"/>
      <c r="L1142" s="86"/>
      <c r="M1142" s="86"/>
      <c r="N1142" s="86"/>
      <c r="O1142" s="86"/>
      <c r="P1142" s="86"/>
      <c r="Q1142" s="85"/>
      <c r="S1142" s="85"/>
      <c r="T1142" s="85"/>
      <c r="U1142" s="85"/>
      <c r="V1142" s="85"/>
      <c r="W1142" s="85"/>
      <c r="X1142" s="85"/>
    </row>
    <row r="1143" spans="2:24" s="58" customFormat="1" ht="12" x14ac:dyDescent="0.2">
      <c r="B1143" s="91"/>
      <c r="E1143" s="92"/>
      <c r="F1143" s="93"/>
      <c r="G1143" s="94"/>
      <c r="H1143" s="94"/>
      <c r="I1143" s="94"/>
      <c r="J1143" s="94"/>
      <c r="K1143" s="93"/>
      <c r="L1143" s="86"/>
      <c r="M1143" s="86"/>
      <c r="N1143" s="86"/>
      <c r="O1143" s="86"/>
      <c r="P1143" s="86"/>
      <c r="Q1143" s="85"/>
      <c r="S1143" s="85"/>
      <c r="T1143" s="85"/>
      <c r="U1143" s="85"/>
      <c r="V1143" s="85"/>
      <c r="W1143" s="85"/>
      <c r="X1143" s="85"/>
    </row>
    <row r="1144" spans="2:24" s="58" customFormat="1" ht="12" x14ac:dyDescent="0.2">
      <c r="B1144" s="91"/>
      <c r="E1144" s="92"/>
      <c r="F1144" s="93"/>
      <c r="G1144" s="94"/>
      <c r="H1144" s="94"/>
      <c r="I1144" s="94"/>
      <c r="J1144" s="94"/>
      <c r="K1144" s="93"/>
      <c r="L1144" s="86"/>
      <c r="M1144" s="86"/>
      <c r="N1144" s="86"/>
      <c r="O1144" s="86"/>
      <c r="P1144" s="86"/>
      <c r="Q1144" s="85"/>
      <c r="S1144" s="85"/>
      <c r="T1144" s="85"/>
      <c r="U1144" s="85"/>
      <c r="V1144" s="85"/>
      <c r="W1144" s="85"/>
      <c r="X1144" s="85"/>
    </row>
    <row r="1145" spans="2:24" s="58" customFormat="1" ht="12" x14ac:dyDescent="0.2">
      <c r="B1145" s="91"/>
      <c r="E1145" s="92"/>
      <c r="F1145" s="93"/>
      <c r="G1145" s="94"/>
      <c r="H1145" s="94"/>
      <c r="I1145" s="94"/>
      <c r="J1145" s="94"/>
      <c r="K1145" s="93"/>
      <c r="L1145" s="86"/>
      <c r="M1145" s="86"/>
      <c r="N1145" s="86"/>
      <c r="O1145" s="86"/>
      <c r="P1145" s="86"/>
      <c r="Q1145" s="85"/>
      <c r="S1145" s="85"/>
      <c r="T1145" s="85"/>
      <c r="U1145" s="85"/>
      <c r="V1145" s="85"/>
      <c r="W1145" s="85"/>
      <c r="X1145" s="85"/>
    </row>
    <row r="1146" spans="2:24" s="58" customFormat="1" ht="12" x14ac:dyDescent="0.2">
      <c r="B1146" s="91"/>
      <c r="E1146" s="92"/>
      <c r="F1146" s="93"/>
      <c r="G1146" s="94"/>
      <c r="H1146" s="94"/>
      <c r="I1146" s="94"/>
      <c r="J1146" s="94"/>
      <c r="K1146" s="93"/>
      <c r="L1146" s="86"/>
      <c r="M1146" s="86"/>
      <c r="N1146" s="86"/>
      <c r="O1146" s="86"/>
      <c r="P1146" s="86"/>
      <c r="Q1146" s="85"/>
      <c r="S1146" s="85"/>
      <c r="T1146" s="85"/>
      <c r="U1146" s="85"/>
      <c r="V1146" s="85"/>
      <c r="W1146" s="85"/>
      <c r="X1146" s="85"/>
    </row>
    <row r="1147" spans="2:24" s="58" customFormat="1" ht="12" x14ac:dyDescent="0.2">
      <c r="B1147" s="91"/>
      <c r="E1147" s="92"/>
      <c r="F1147" s="93"/>
      <c r="G1147" s="94"/>
      <c r="H1147" s="94"/>
      <c r="I1147" s="94"/>
      <c r="J1147" s="94"/>
      <c r="K1147" s="93"/>
      <c r="L1147" s="86"/>
      <c r="M1147" s="86"/>
      <c r="N1147" s="86"/>
      <c r="O1147" s="86"/>
      <c r="P1147" s="86"/>
      <c r="Q1147" s="85"/>
      <c r="S1147" s="85"/>
      <c r="T1147" s="85"/>
      <c r="U1147" s="85"/>
      <c r="V1147" s="85"/>
      <c r="W1147" s="85"/>
      <c r="X1147" s="85"/>
    </row>
    <row r="1148" spans="2:24" s="58" customFormat="1" ht="12" x14ac:dyDescent="0.2">
      <c r="B1148" s="91"/>
      <c r="E1148" s="92"/>
      <c r="F1148" s="93"/>
      <c r="G1148" s="94"/>
      <c r="H1148" s="94"/>
      <c r="I1148" s="94"/>
      <c r="J1148" s="94"/>
      <c r="K1148" s="93"/>
      <c r="L1148" s="86"/>
      <c r="M1148" s="86"/>
      <c r="N1148" s="86"/>
      <c r="O1148" s="86"/>
      <c r="P1148" s="86"/>
      <c r="Q1148" s="85"/>
      <c r="S1148" s="85"/>
      <c r="T1148" s="85"/>
      <c r="U1148" s="85"/>
      <c r="V1148" s="85"/>
      <c r="W1148" s="85"/>
      <c r="X1148" s="85"/>
    </row>
    <row r="1149" spans="2:24" s="58" customFormat="1" ht="12" x14ac:dyDescent="0.2">
      <c r="B1149" s="91"/>
      <c r="E1149" s="92"/>
      <c r="F1149" s="93"/>
      <c r="G1149" s="94"/>
      <c r="H1149" s="94"/>
      <c r="I1149" s="94"/>
      <c r="J1149" s="94"/>
      <c r="K1149" s="93"/>
      <c r="L1149" s="86"/>
      <c r="M1149" s="86"/>
      <c r="N1149" s="86"/>
      <c r="O1149" s="86"/>
      <c r="P1149" s="86"/>
      <c r="Q1149" s="85"/>
      <c r="S1149" s="85"/>
      <c r="T1149" s="85"/>
      <c r="U1149" s="85"/>
      <c r="V1149" s="85"/>
      <c r="W1149" s="85"/>
      <c r="X1149" s="85"/>
    </row>
    <row r="1150" spans="2:24" s="58" customFormat="1" ht="12" x14ac:dyDescent="0.2">
      <c r="B1150" s="91"/>
      <c r="E1150" s="92"/>
      <c r="F1150" s="93"/>
      <c r="G1150" s="94"/>
      <c r="H1150" s="94"/>
      <c r="I1150" s="94"/>
      <c r="J1150" s="94"/>
      <c r="K1150" s="93"/>
      <c r="L1150" s="86"/>
      <c r="M1150" s="86"/>
      <c r="N1150" s="86"/>
      <c r="O1150" s="86"/>
      <c r="P1150" s="86"/>
      <c r="Q1150" s="85"/>
      <c r="S1150" s="85"/>
      <c r="T1150" s="85"/>
      <c r="U1150" s="85"/>
      <c r="V1150" s="85"/>
      <c r="W1150" s="85"/>
      <c r="X1150" s="85"/>
    </row>
    <row r="1151" spans="2:24" s="58" customFormat="1" ht="12" x14ac:dyDescent="0.2">
      <c r="B1151" s="91"/>
      <c r="E1151" s="92"/>
      <c r="F1151" s="93"/>
      <c r="G1151" s="94"/>
      <c r="H1151" s="94"/>
      <c r="I1151" s="94"/>
      <c r="J1151" s="94"/>
      <c r="K1151" s="93"/>
      <c r="L1151" s="86"/>
      <c r="M1151" s="86"/>
      <c r="N1151" s="86"/>
      <c r="O1151" s="86"/>
      <c r="P1151" s="86"/>
      <c r="Q1151" s="85"/>
      <c r="S1151" s="85"/>
      <c r="T1151" s="85"/>
      <c r="U1151" s="85"/>
      <c r="V1151" s="85"/>
      <c r="W1151" s="85"/>
      <c r="X1151" s="85"/>
    </row>
    <row r="1152" spans="2:24" s="58" customFormat="1" ht="12" x14ac:dyDescent="0.2">
      <c r="B1152" s="91"/>
      <c r="E1152" s="92"/>
      <c r="F1152" s="93"/>
      <c r="G1152" s="94"/>
      <c r="H1152" s="94"/>
      <c r="I1152" s="94"/>
      <c r="J1152" s="94"/>
      <c r="K1152" s="93"/>
      <c r="L1152" s="86"/>
      <c r="M1152" s="86"/>
      <c r="N1152" s="86"/>
      <c r="O1152" s="86"/>
      <c r="P1152" s="86"/>
      <c r="Q1152" s="85"/>
      <c r="S1152" s="85"/>
      <c r="T1152" s="85"/>
      <c r="U1152" s="85"/>
      <c r="V1152" s="85"/>
      <c r="W1152" s="85"/>
      <c r="X1152" s="85"/>
    </row>
    <row r="1153" spans="2:24" s="58" customFormat="1" ht="12" x14ac:dyDescent="0.2">
      <c r="B1153" s="91"/>
      <c r="E1153" s="92"/>
      <c r="F1153" s="93"/>
      <c r="G1153" s="94"/>
      <c r="H1153" s="94"/>
      <c r="I1153" s="94"/>
      <c r="J1153" s="94"/>
      <c r="K1153" s="93"/>
      <c r="L1153" s="86"/>
      <c r="M1153" s="86"/>
      <c r="N1153" s="86"/>
      <c r="O1153" s="86"/>
      <c r="P1153" s="86"/>
      <c r="Q1153" s="85"/>
      <c r="S1153" s="85"/>
      <c r="T1153" s="85"/>
      <c r="U1153" s="85"/>
      <c r="V1153" s="85"/>
      <c r="W1153" s="85"/>
      <c r="X1153" s="85"/>
    </row>
    <row r="1154" spans="2:24" s="58" customFormat="1" ht="12" x14ac:dyDescent="0.2">
      <c r="B1154" s="91"/>
      <c r="E1154" s="92"/>
      <c r="F1154" s="93"/>
      <c r="G1154" s="94"/>
      <c r="H1154" s="94"/>
      <c r="I1154" s="94"/>
      <c r="J1154" s="94"/>
      <c r="K1154" s="93"/>
      <c r="L1154" s="86"/>
      <c r="M1154" s="86"/>
      <c r="N1154" s="86"/>
      <c r="O1154" s="86"/>
      <c r="P1154" s="86"/>
      <c r="Q1154" s="85"/>
      <c r="S1154" s="85"/>
      <c r="T1154" s="85"/>
      <c r="U1154" s="85"/>
      <c r="V1154" s="85"/>
      <c r="W1154" s="85"/>
      <c r="X1154" s="85"/>
    </row>
    <row r="1155" spans="2:24" s="58" customFormat="1" ht="12" x14ac:dyDescent="0.2">
      <c r="B1155" s="91"/>
      <c r="E1155" s="92"/>
      <c r="F1155" s="93"/>
      <c r="G1155" s="94"/>
      <c r="H1155" s="94"/>
      <c r="I1155" s="94"/>
      <c r="J1155" s="94"/>
      <c r="K1155" s="93"/>
      <c r="L1155" s="86"/>
      <c r="M1155" s="86"/>
      <c r="N1155" s="86"/>
      <c r="O1155" s="86"/>
      <c r="P1155" s="86"/>
      <c r="Q1155" s="85"/>
      <c r="S1155" s="85"/>
      <c r="T1155" s="85"/>
      <c r="U1155" s="85"/>
      <c r="V1155" s="85"/>
      <c r="W1155" s="85"/>
      <c r="X1155" s="85"/>
    </row>
    <row r="1156" spans="2:24" s="58" customFormat="1" ht="12" x14ac:dyDescent="0.2">
      <c r="B1156" s="91"/>
      <c r="E1156" s="92"/>
      <c r="F1156" s="93"/>
      <c r="G1156" s="94"/>
      <c r="H1156" s="94"/>
      <c r="I1156" s="94"/>
      <c r="J1156" s="94"/>
      <c r="K1156" s="93"/>
      <c r="L1156" s="86"/>
      <c r="M1156" s="86"/>
      <c r="N1156" s="86"/>
      <c r="O1156" s="86"/>
      <c r="P1156" s="86"/>
      <c r="Q1156" s="85"/>
      <c r="S1156" s="85"/>
      <c r="T1156" s="85"/>
      <c r="U1156" s="85"/>
      <c r="V1156" s="85"/>
      <c r="W1156" s="85"/>
      <c r="X1156" s="85"/>
    </row>
    <row r="1157" spans="2:24" s="58" customFormat="1" ht="12" x14ac:dyDescent="0.2">
      <c r="B1157" s="91"/>
      <c r="E1157" s="92"/>
      <c r="F1157" s="93"/>
      <c r="G1157" s="94"/>
      <c r="H1157" s="94"/>
      <c r="I1157" s="94"/>
      <c r="J1157" s="94"/>
      <c r="K1157" s="93"/>
      <c r="L1157" s="86"/>
      <c r="M1157" s="86"/>
      <c r="N1157" s="86"/>
      <c r="O1157" s="86"/>
      <c r="P1157" s="86"/>
      <c r="Q1157" s="85"/>
      <c r="S1157" s="85"/>
      <c r="T1157" s="85"/>
      <c r="U1157" s="85"/>
      <c r="V1157" s="85"/>
      <c r="W1157" s="85"/>
      <c r="X1157" s="85"/>
    </row>
    <row r="1158" spans="2:24" s="58" customFormat="1" ht="12" x14ac:dyDescent="0.2">
      <c r="B1158" s="91"/>
      <c r="E1158" s="92"/>
      <c r="F1158" s="93"/>
      <c r="G1158" s="94"/>
      <c r="H1158" s="94"/>
      <c r="I1158" s="94"/>
      <c r="J1158" s="94"/>
      <c r="K1158" s="93"/>
      <c r="L1158" s="86"/>
      <c r="M1158" s="86"/>
      <c r="N1158" s="86"/>
      <c r="O1158" s="86"/>
      <c r="P1158" s="86"/>
      <c r="Q1158" s="85"/>
      <c r="S1158" s="85"/>
      <c r="T1158" s="85"/>
      <c r="U1158" s="85"/>
      <c r="V1158" s="85"/>
      <c r="W1158" s="85"/>
      <c r="X1158" s="85"/>
    </row>
    <row r="1159" spans="2:24" s="58" customFormat="1" ht="12" x14ac:dyDescent="0.2">
      <c r="B1159" s="91"/>
      <c r="E1159" s="92"/>
      <c r="F1159" s="93"/>
      <c r="G1159" s="94"/>
      <c r="H1159" s="94"/>
      <c r="I1159" s="94"/>
      <c r="J1159" s="94"/>
      <c r="K1159" s="93"/>
      <c r="L1159" s="86"/>
      <c r="M1159" s="86"/>
      <c r="N1159" s="86"/>
      <c r="O1159" s="86"/>
      <c r="P1159" s="86"/>
      <c r="Q1159" s="85"/>
      <c r="S1159" s="85"/>
      <c r="T1159" s="85"/>
      <c r="U1159" s="85"/>
      <c r="V1159" s="85"/>
      <c r="W1159" s="85"/>
      <c r="X1159" s="85"/>
    </row>
    <row r="1160" spans="2:24" s="58" customFormat="1" ht="12" x14ac:dyDescent="0.2">
      <c r="B1160" s="91"/>
      <c r="E1160" s="92"/>
      <c r="F1160" s="93"/>
      <c r="G1160" s="94"/>
      <c r="H1160" s="94"/>
      <c r="I1160" s="94"/>
      <c r="J1160" s="94"/>
      <c r="K1160" s="93"/>
      <c r="L1160" s="86"/>
      <c r="M1160" s="86"/>
      <c r="N1160" s="86"/>
      <c r="O1160" s="86"/>
      <c r="P1160" s="86"/>
      <c r="Q1160" s="85"/>
      <c r="S1160" s="85"/>
      <c r="T1160" s="85"/>
      <c r="U1160" s="85"/>
      <c r="V1160" s="85"/>
      <c r="W1160" s="85"/>
      <c r="X1160" s="85"/>
    </row>
    <row r="1161" spans="2:24" s="58" customFormat="1" ht="12" x14ac:dyDescent="0.2">
      <c r="B1161" s="91"/>
      <c r="E1161" s="92"/>
      <c r="F1161" s="93"/>
      <c r="G1161" s="94"/>
      <c r="H1161" s="94"/>
      <c r="I1161" s="94"/>
      <c r="J1161" s="94"/>
      <c r="K1161" s="93"/>
      <c r="L1161" s="86"/>
      <c r="M1161" s="86"/>
      <c r="N1161" s="86"/>
      <c r="O1161" s="86"/>
      <c r="P1161" s="86"/>
      <c r="Q1161" s="85"/>
      <c r="S1161" s="85"/>
      <c r="T1161" s="85"/>
      <c r="U1161" s="85"/>
      <c r="V1161" s="85"/>
      <c r="W1161" s="85"/>
      <c r="X1161" s="85"/>
    </row>
    <row r="1162" spans="2:24" s="58" customFormat="1" ht="12" x14ac:dyDescent="0.2">
      <c r="B1162" s="91"/>
      <c r="E1162" s="92"/>
      <c r="F1162" s="93"/>
      <c r="G1162" s="94"/>
      <c r="H1162" s="94"/>
      <c r="I1162" s="94"/>
      <c r="J1162" s="94"/>
      <c r="K1162" s="93"/>
      <c r="L1162" s="86"/>
      <c r="M1162" s="86"/>
      <c r="N1162" s="86"/>
      <c r="O1162" s="86"/>
      <c r="P1162" s="86"/>
      <c r="Q1162" s="85"/>
      <c r="S1162" s="85"/>
      <c r="T1162" s="85"/>
      <c r="U1162" s="85"/>
      <c r="V1162" s="85"/>
      <c r="W1162" s="85"/>
      <c r="X1162" s="85"/>
    </row>
    <row r="1163" spans="2:24" s="58" customFormat="1" ht="12" x14ac:dyDescent="0.2">
      <c r="B1163" s="91"/>
      <c r="E1163" s="92"/>
      <c r="F1163" s="93"/>
      <c r="G1163" s="94"/>
      <c r="H1163" s="94"/>
      <c r="I1163" s="94"/>
      <c r="J1163" s="94"/>
      <c r="K1163" s="93"/>
      <c r="L1163" s="86"/>
      <c r="M1163" s="86"/>
      <c r="N1163" s="86"/>
      <c r="O1163" s="86"/>
      <c r="P1163" s="86"/>
      <c r="Q1163" s="85"/>
      <c r="S1163" s="85"/>
      <c r="T1163" s="85"/>
      <c r="U1163" s="85"/>
      <c r="V1163" s="85"/>
      <c r="W1163" s="85"/>
      <c r="X1163" s="85"/>
    </row>
    <row r="1164" spans="2:24" s="58" customFormat="1" ht="12" x14ac:dyDescent="0.2">
      <c r="B1164" s="91"/>
      <c r="E1164" s="92"/>
      <c r="F1164" s="93"/>
      <c r="G1164" s="94"/>
      <c r="H1164" s="94"/>
      <c r="I1164" s="94"/>
      <c r="J1164" s="94"/>
      <c r="K1164" s="93"/>
      <c r="L1164" s="86"/>
      <c r="M1164" s="86"/>
      <c r="N1164" s="86"/>
      <c r="O1164" s="86"/>
      <c r="P1164" s="86"/>
      <c r="Q1164" s="85"/>
      <c r="S1164" s="85"/>
      <c r="T1164" s="85"/>
      <c r="U1164" s="85"/>
      <c r="V1164" s="85"/>
      <c r="W1164" s="85"/>
      <c r="X1164" s="85"/>
    </row>
    <row r="1165" spans="2:24" s="58" customFormat="1" ht="12" x14ac:dyDescent="0.2">
      <c r="B1165" s="91"/>
      <c r="E1165" s="92"/>
      <c r="F1165" s="93"/>
      <c r="G1165" s="94"/>
      <c r="H1165" s="94"/>
      <c r="I1165" s="94"/>
      <c r="J1165" s="94"/>
      <c r="K1165" s="93"/>
      <c r="L1165" s="86"/>
      <c r="M1165" s="86"/>
      <c r="N1165" s="86"/>
      <c r="O1165" s="86"/>
      <c r="P1165" s="86"/>
      <c r="Q1165" s="85"/>
      <c r="S1165" s="85"/>
      <c r="T1165" s="85"/>
      <c r="U1165" s="85"/>
      <c r="V1165" s="85"/>
      <c r="W1165" s="85"/>
      <c r="X1165" s="85"/>
    </row>
    <row r="1166" spans="2:24" s="58" customFormat="1" ht="12" x14ac:dyDescent="0.2">
      <c r="B1166" s="91"/>
      <c r="E1166" s="92"/>
      <c r="F1166" s="93"/>
      <c r="G1166" s="94"/>
      <c r="H1166" s="94"/>
      <c r="I1166" s="94"/>
      <c r="J1166" s="94"/>
      <c r="K1166" s="93"/>
      <c r="L1166" s="86"/>
      <c r="M1166" s="86"/>
      <c r="N1166" s="86"/>
      <c r="O1166" s="86"/>
      <c r="P1166" s="86"/>
      <c r="Q1166" s="85"/>
      <c r="S1166" s="85"/>
      <c r="T1166" s="85"/>
      <c r="U1166" s="85"/>
      <c r="V1166" s="85"/>
      <c r="W1166" s="85"/>
      <c r="X1166" s="85"/>
    </row>
    <row r="1167" spans="2:24" s="58" customFormat="1" ht="12" x14ac:dyDescent="0.2">
      <c r="B1167" s="91"/>
      <c r="E1167" s="92"/>
      <c r="F1167" s="93"/>
      <c r="G1167" s="94"/>
      <c r="H1167" s="94"/>
      <c r="I1167" s="94"/>
      <c r="J1167" s="94"/>
      <c r="K1167" s="93"/>
      <c r="L1167" s="86"/>
      <c r="M1167" s="86"/>
      <c r="N1167" s="86"/>
      <c r="O1167" s="86"/>
      <c r="P1167" s="86"/>
      <c r="Q1167" s="85"/>
      <c r="S1167" s="85"/>
      <c r="T1167" s="85"/>
      <c r="U1167" s="85"/>
      <c r="V1167" s="85"/>
      <c r="W1167" s="85"/>
      <c r="X1167" s="85"/>
    </row>
    <row r="1168" spans="2:24" s="58" customFormat="1" ht="12" x14ac:dyDescent="0.2">
      <c r="B1168" s="91"/>
      <c r="E1168" s="92"/>
      <c r="F1168" s="93"/>
      <c r="G1168" s="94"/>
      <c r="H1168" s="94"/>
      <c r="I1168" s="94"/>
      <c r="J1168" s="94"/>
      <c r="K1168" s="93"/>
      <c r="L1168" s="86"/>
      <c r="M1168" s="86"/>
      <c r="N1168" s="86"/>
      <c r="O1168" s="86"/>
      <c r="P1168" s="86"/>
      <c r="Q1168" s="85"/>
      <c r="S1168" s="85"/>
      <c r="T1168" s="85"/>
      <c r="U1168" s="85"/>
      <c r="V1168" s="85"/>
      <c r="W1168" s="85"/>
      <c r="X1168" s="85"/>
    </row>
    <row r="1169" spans="2:24" s="58" customFormat="1" ht="12" x14ac:dyDescent="0.2">
      <c r="B1169" s="91"/>
      <c r="E1169" s="92"/>
      <c r="F1169" s="93"/>
      <c r="G1169" s="94"/>
      <c r="H1169" s="94"/>
      <c r="I1169" s="94"/>
      <c r="J1169" s="94"/>
      <c r="K1169" s="93"/>
      <c r="L1169" s="86"/>
      <c r="M1169" s="86"/>
      <c r="N1169" s="86"/>
      <c r="O1169" s="86"/>
      <c r="P1169" s="86"/>
      <c r="Q1169" s="85"/>
      <c r="S1169" s="85"/>
      <c r="T1169" s="85"/>
      <c r="U1169" s="85"/>
      <c r="V1169" s="85"/>
      <c r="W1169" s="85"/>
      <c r="X1169" s="85"/>
    </row>
    <row r="1170" spans="2:24" s="58" customFormat="1" ht="12" x14ac:dyDescent="0.2">
      <c r="B1170" s="91"/>
      <c r="E1170" s="92"/>
      <c r="F1170" s="93"/>
      <c r="G1170" s="94"/>
      <c r="H1170" s="94"/>
      <c r="I1170" s="94"/>
      <c r="J1170" s="94"/>
      <c r="K1170" s="93"/>
      <c r="L1170" s="86"/>
      <c r="M1170" s="86"/>
      <c r="N1170" s="86"/>
      <c r="O1170" s="86"/>
      <c r="P1170" s="86"/>
      <c r="Q1170" s="85"/>
      <c r="S1170" s="85"/>
      <c r="T1170" s="85"/>
      <c r="U1170" s="85"/>
      <c r="V1170" s="85"/>
      <c r="W1170" s="85"/>
      <c r="X1170" s="85"/>
    </row>
    <row r="1171" spans="2:24" s="58" customFormat="1" ht="12" x14ac:dyDescent="0.2">
      <c r="B1171" s="91"/>
      <c r="E1171" s="92"/>
      <c r="F1171" s="93"/>
      <c r="G1171" s="94"/>
      <c r="H1171" s="94"/>
      <c r="I1171" s="94"/>
      <c r="J1171" s="94"/>
      <c r="K1171" s="93"/>
      <c r="L1171" s="86"/>
      <c r="M1171" s="86"/>
      <c r="N1171" s="86"/>
      <c r="O1171" s="86"/>
      <c r="P1171" s="86"/>
      <c r="Q1171" s="85"/>
      <c r="S1171" s="85"/>
      <c r="T1171" s="85"/>
      <c r="U1171" s="85"/>
      <c r="V1171" s="85"/>
      <c r="W1171" s="85"/>
      <c r="X1171" s="85"/>
    </row>
    <row r="1172" spans="2:24" s="58" customFormat="1" ht="12" x14ac:dyDescent="0.2">
      <c r="B1172" s="91"/>
      <c r="E1172" s="92"/>
      <c r="F1172" s="93"/>
      <c r="G1172" s="94"/>
      <c r="H1172" s="94"/>
      <c r="I1172" s="94"/>
      <c r="J1172" s="94"/>
      <c r="K1172" s="93"/>
      <c r="L1172" s="86"/>
      <c r="M1172" s="86"/>
      <c r="N1172" s="86"/>
      <c r="O1172" s="86"/>
      <c r="P1172" s="86"/>
      <c r="Q1172" s="85"/>
      <c r="S1172" s="85"/>
      <c r="T1172" s="85"/>
      <c r="U1172" s="85"/>
      <c r="V1172" s="85"/>
      <c r="W1172" s="85"/>
      <c r="X1172" s="85"/>
    </row>
    <row r="1173" spans="2:24" s="58" customFormat="1" ht="12" x14ac:dyDescent="0.2">
      <c r="B1173" s="91"/>
      <c r="E1173" s="92"/>
      <c r="F1173" s="93"/>
      <c r="G1173" s="94"/>
      <c r="H1173" s="94"/>
      <c r="I1173" s="94"/>
      <c r="J1173" s="94"/>
      <c r="K1173" s="93"/>
      <c r="L1173" s="86"/>
      <c r="M1173" s="86"/>
      <c r="N1173" s="86"/>
      <c r="O1173" s="86"/>
      <c r="P1173" s="86"/>
      <c r="Q1173" s="85"/>
      <c r="S1173" s="85"/>
      <c r="T1173" s="85"/>
      <c r="U1173" s="85"/>
      <c r="V1173" s="85"/>
      <c r="W1173" s="85"/>
      <c r="X1173" s="85"/>
    </row>
    <row r="1174" spans="2:24" s="58" customFormat="1" ht="12" x14ac:dyDescent="0.2">
      <c r="B1174" s="91"/>
      <c r="E1174" s="92"/>
      <c r="F1174" s="93"/>
      <c r="G1174" s="94"/>
      <c r="H1174" s="94"/>
      <c r="I1174" s="94"/>
      <c r="J1174" s="94"/>
      <c r="K1174" s="93"/>
      <c r="L1174" s="86"/>
      <c r="M1174" s="86"/>
      <c r="N1174" s="86"/>
      <c r="O1174" s="86"/>
      <c r="P1174" s="86"/>
      <c r="Q1174" s="85"/>
      <c r="S1174" s="85"/>
      <c r="T1174" s="85"/>
      <c r="U1174" s="85"/>
      <c r="V1174" s="85"/>
      <c r="W1174" s="85"/>
      <c r="X1174" s="85"/>
    </row>
    <row r="1175" spans="2:24" s="58" customFormat="1" ht="12" x14ac:dyDescent="0.2">
      <c r="B1175" s="91"/>
      <c r="E1175" s="92"/>
      <c r="F1175" s="93"/>
      <c r="G1175" s="94"/>
      <c r="H1175" s="94"/>
      <c r="I1175" s="94"/>
      <c r="J1175" s="94"/>
      <c r="K1175" s="93"/>
      <c r="L1175" s="86"/>
      <c r="M1175" s="86"/>
      <c r="N1175" s="86"/>
      <c r="O1175" s="86"/>
      <c r="P1175" s="86"/>
      <c r="Q1175" s="85"/>
      <c r="S1175" s="85"/>
      <c r="T1175" s="85"/>
      <c r="U1175" s="85"/>
      <c r="V1175" s="85"/>
      <c r="W1175" s="85"/>
      <c r="X1175" s="85"/>
    </row>
    <row r="1176" spans="2:24" s="58" customFormat="1" ht="12" x14ac:dyDescent="0.2">
      <c r="B1176" s="91"/>
      <c r="E1176" s="92"/>
      <c r="F1176" s="93"/>
      <c r="G1176" s="94"/>
      <c r="H1176" s="94"/>
      <c r="I1176" s="94"/>
      <c r="J1176" s="94"/>
      <c r="K1176" s="93"/>
      <c r="L1176" s="86"/>
      <c r="M1176" s="86"/>
      <c r="N1176" s="86"/>
      <c r="O1176" s="86"/>
      <c r="P1176" s="86"/>
      <c r="Q1176" s="85"/>
      <c r="S1176" s="85"/>
      <c r="T1176" s="85"/>
      <c r="U1176" s="85"/>
      <c r="V1176" s="85"/>
      <c r="W1176" s="85"/>
      <c r="X1176" s="85"/>
    </row>
    <row r="1177" spans="2:24" s="58" customFormat="1" ht="12" x14ac:dyDescent="0.2">
      <c r="B1177" s="91"/>
      <c r="E1177" s="92"/>
      <c r="F1177" s="93"/>
      <c r="G1177" s="94"/>
      <c r="H1177" s="94"/>
      <c r="I1177" s="94"/>
      <c r="J1177" s="94"/>
      <c r="K1177" s="93"/>
      <c r="L1177" s="86"/>
      <c r="M1177" s="86"/>
      <c r="N1177" s="86"/>
      <c r="O1177" s="86"/>
      <c r="P1177" s="86"/>
      <c r="Q1177" s="85"/>
      <c r="S1177" s="85"/>
      <c r="T1177" s="85"/>
      <c r="U1177" s="85"/>
      <c r="V1177" s="85"/>
      <c r="W1177" s="85"/>
      <c r="X1177" s="85"/>
    </row>
    <row r="1178" spans="2:24" s="58" customFormat="1" ht="12" x14ac:dyDescent="0.2">
      <c r="B1178" s="91"/>
      <c r="E1178" s="92"/>
      <c r="F1178" s="93"/>
      <c r="G1178" s="94"/>
      <c r="H1178" s="94"/>
      <c r="I1178" s="94"/>
      <c r="J1178" s="94"/>
      <c r="K1178" s="93"/>
      <c r="L1178" s="86"/>
      <c r="M1178" s="86"/>
      <c r="N1178" s="86"/>
      <c r="O1178" s="86"/>
      <c r="P1178" s="86"/>
      <c r="Q1178" s="85"/>
      <c r="S1178" s="85"/>
      <c r="T1178" s="85"/>
      <c r="U1178" s="85"/>
      <c r="V1178" s="85"/>
      <c r="W1178" s="85"/>
      <c r="X1178" s="85"/>
    </row>
    <row r="1179" spans="2:24" s="58" customFormat="1" ht="12" x14ac:dyDescent="0.2">
      <c r="B1179" s="91"/>
      <c r="E1179" s="92"/>
      <c r="F1179" s="93"/>
      <c r="G1179" s="94"/>
      <c r="H1179" s="94"/>
      <c r="I1179" s="94"/>
      <c r="J1179" s="94"/>
      <c r="K1179" s="93"/>
      <c r="L1179" s="86"/>
      <c r="M1179" s="86"/>
      <c r="N1179" s="86"/>
      <c r="O1179" s="86"/>
      <c r="P1179" s="86"/>
      <c r="Q1179" s="85"/>
      <c r="S1179" s="85"/>
      <c r="T1179" s="85"/>
      <c r="U1179" s="85"/>
      <c r="V1179" s="85"/>
      <c r="W1179" s="85"/>
      <c r="X1179" s="85"/>
    </row>
    <row r="1180" spans="2:24" s="58" customFormat="1" ht="12" x14ac:dyDescent="0.2">
      <c r="B1180" s="91"/>
      <c r="E1180" s="92"/>
      <c r="F1180" s="93"/>
      <c r="G1180" s="94"/>
      <c r="H1180" s="94"/>
      <c r="I1180" s="94"/>
      <c r="J1180" s="94"/>
      <c r="K1180" s="93"/>
      <c r="L1180" s="86"/>
      <c r="M1180" s="86"/>
      <c r="N1180" s="86"/>
      <c r="O1180" s="86"/>
      <c r="P1180" s="86"/>
      <c r="Q1180" s="85"/>
      <c r="S1180" s="85"/>
      <c r="T1180" s="85"/>
      <c r="U1180" s="85"/>
      <c r="V1180" s="85"/>
      <c r="W1180" s="85"/>
      <c r="X1180" s="85"/>
    </row>
    <row r="1181" spans="2:24" s="58" customFormat="1" ht="12" x14ac:dyDescent="0.2">
      <c r="B1181" s="91"/>
      <c r="E1181" s="92"/>
      <c r="F1181" s="93"/>
      <c r="G1181" s="94"/>
      <c r="H1181" s="94"/>
      <c r="I1181" s="94"/>
      <c r="J1181" s="94"/>
      <c r="K1181" s="93"/>
      <c r="L1181" s="86"/>
      <c r="M1181" s="86"/>
      <c r="N1181" s="86"/>
      <c r="O1181" s="86"/>
      <c r="P1181" s="86"/>
      <c r="Q1181" s="85"/>
      <c r="S1181" s="85"/>
      <c r="T1181" s="85"/>
      <c r="U1181" s="85"/>
      <c r="V1181" s="85"/>
      <c r="W1181" s="85"/>
      <c r="X1181" s="85"/>
    </row>
    <row r="1182" spans="2:24" s="58" customFormat="1" ht="12" x14ac:dyDescent="0.2">
      <c r="B1182" s="91"/>
      <c r="E1182" s="92"/>
      <c r="F1182" s="93"/>
      <c r="G1182" s="94"/>
      <c r="H1182" s="94"/>
      <c r="I1182" s="94"/>
      <c r="J1182" s="94"/>
      <c r="K1182" s="93"/>
      <c r="L1182" s="86"/>
      <c r="M1182" s="86"/>
      <c r="N1182" s="86"/>
      <c r="O1182" s="86"/>
      <c r="P1182" s="86"/>
      <c r="Q1182" s="85"/>
      <c r="S1182" s="85"/>
      <c r="T1182" s="85"/>
      <c r="U1182" s="85"/>
      <c r="V1182" s="85"/>
      <c r="W1182" s="85"/>
      <c r="X1182" s="85"/>
    </row>
    <row r="1183" spans="2:24" s="58" customFormat="1" ht="12" x14ac:dyDescent="0.2">
      <c r="B1183" s="91"/>
      <c r="E1183" s="92"/>
      <c r="F1183" s="93"/>
      <c r="G1183" s="94"/>
      <c r="H1183" s="94"/>
      <c r="I1183" s="94"/>
      <c r="J1183" s="94"/>
      <c r="K1183" s="93"/>
      <c r="L1183" s="86"/>
      <c r="M1183" s="86"/>
      <c r="N1183" s="86"/>
      <c r="O1183" s="86"/>
      <c r="P1183" s="86"/>
      <c r="Q1183" s="85"/>
      <c r="S1183" s="85"/>
      <c r="T1183" s="85"/>
      <c r="U1183" s="85"/>
      <c r="V1183" s="85"/>
      <c r="W1183" s="85"/>
      <c r="X1183" s="85"/>
    </row>
    <row r="1184" spans="2:24" s="58" customFormat="1" ht="12" x14ac:dyDescent="0.2">
      <c r="B1184" s="91"/>
      <c r="E1184" s="92"/>
      <c r="F1184" s="93"/>
      <c r="G1184" s="94"/>
      <c r="H1184" s="94"/>
      <c r="I1184" s="94"/>
      <c r="J1184" s="94"/>
      <c r="K1184" s="93"/>
      <c r="L1184" s="86"/>
      <c r="M1184" s="86"/>
      <c r="N1184" s="86"/>
      <c r="O1184" s="86"/>
      <c r="P1184" s="86"/>
      <c r="Q1184" s="85"/>
      <c r="S1184" s="85"/>
      <c r="T1184" s="85"/>
      <c r="U1184" s="85"/>
      <c r="V1184" s="85"/>
      <c r="W1184" s="85"/>
      <c r="X1184" s="85"/>
    </row>
    <row r="1185" spans="2:24" s="58" customFormat="1" ht="12" x14ac:dyDescent="0.2">
      <c r="B1185" s="91"/>
      <c r="E1185" s="92"/>
      <c r="F1185" s="93"/>
      <c r="G1185" s="94"/>
      <c r="H1185" s="94"/>
      <c r="I1185" s="94"/>
      <c r="J1185" s="94"/>
      <c r="K1185" s="93"/>
      <c r="L1185" s="86"/>
      <c r="M1185" s="86"/>
      <c r="N1185" s="86"/>
      <c r="O1185" s="86"/>
      <c r="P1185" s="86"/>
      <c r="Q1185" s="85"/>
      <c r="S1185" s="85"/>
      <c r="T1185" s="85"/>
      <c r="U1185" s="85"/>
      <c r="V1185" s="85"/>
      <c r="W1185" s="85"/>
      <c r="X1185" s="85"/>
    </row>
    <row r="1186" spans="2:24" s="58" customFormat="1" ht="12" x14ac:dyDescent="0.2">
      <c r="B1186" s="91"/>
      <c r="E1186" s="92"/>
      <c r="F1186" s="93"/>
      <c r="G1186" s="94"/>
      <c r="H1186" s="94"/>
      <c r="I1186" s="94"/>
      <c r="J1186" s="94"/>
      <c r="K1186" s="93"/>
      <c r="L1186" s="86"/>
      <c r="M1186" s="86"/>
      <c r="N1186" s="86"/>
      <c r="O1186" s="86"/>
      <c r="P1186" s="86"/>
      <c r="Q1186" s="85"/>
      <c r="S1186" s="85"/>
      <c r="T1186" s="85"/>
      <c r="U1186" s="85"/>
      <c r="V1186" s="85"/>
      <c r="W1186" s="85"/>
      <c r="X1186" s="85"/>
    </row>
    <row r="1187" spans="2:24" s="58" customFormat="1" ht="12" x14ac:dyDescent="0.2">
      <c r="B1187" s="91"/>
      <c r="E1187" s="92"/>
      <c r="F1187" s="93"/>
      <c r="G1187" s="94"/>
      <c r="H1187" s="94"/>
      <c r="I1187" s="94"/>
      <c r="J1187" s="94"/>
      <c r="K1187" s="93"/>
      <c r="L1187" s="86"/>
      <c r="M1187" s="86"/>
      <c r="N1187" s="86"/>
      <c r="O1187" s="86"/>
      <c r="P1187" s="86"/>
      <c r="Q1187" s="85"/>
      <c r="S1187" s="85"/>
      <c r="T1187" s="85"/>
      <c r="U1187" s="85"/>
      <c r="V1187" s="85"/>
      <c r="W1187" s="85"/>
      <c r="X1187" s="85"/>
    </row>
    <row r="1188" spans="2:24" s="58" customFormat="1" ht="12" x14ac:dyDescent="0.2">
      <c r="B1188" s="91"/>
      <c r="E1188" s="92"/>
      <c r="F1188" s="93"/>
      <c r="G1188" s="94"/>
      <c r="H1188" s="94"/>
      <c r="I1188" s="94"/>
      <c r="J1188" s="94"/>
      <c r="K1188" s="93"/>
      <c r="L1188" s="86"/>
      <c r="M1188" s="86"/>
      <c r="N1188" s="86"/>
      <c r="O1188" s="86"/>
      <c r="P1188" s="86"/>
      <c r="Q1188" s="85"/>
      <c r="S1188" s="85"/>
      <c r="T1188" s="85"/>
      <c r="U1188" s="85"/>
      <c r="V1188" s="85"/>
      <c r="W1188" s="85"/>
      <c r="X1188" s="85"/>
    </row>
    <row r="1189" spans="2:24" s="58" customFormat="1" ht="12" x14ac:dyDescent="0.2">
      <c r="B1189" s="91"/>
      <c r="E1189" s="92"/>
      <c r="F1189" s="93"/>
      <c r="G1189" s="94"/>
      <c r="H1189" s="94"/>
      <c r="I1189" s="94"/>
      <c r="J1189" s="94"/>
      <c r="K1189" s="93"/>
      <c r="L1189" s="86"/>
      <c r="M1189" s="86"/>
      <c r="N1189" s="86"/>
      <c r="O1189" s="86"/>
      <c r="P1189" s="86"/>
      <c r="Q1189" s="85"/>
      <c r="S1189" s="85"/>
      <c r="T1189" s="85"/>
      <c r="U1189" s="85"/>
      <c r="V1189" s="85"/>
      <c r="W1189" s="85"/>
      <c r="X1189" s="85"/>
    </row>
    <row r="1190" spans="2:24" s="58" customFormat="1" ht="12" x14ac:dyDescent="0.2">
      <c r="B1190" s="91"/>
      <c r="E1190" s="92"/>
      <c r="F1190" s="93"/>
      <c r="G1190" s="94"/>
      <c r="H1190" s="94"/>
      <c r="I1190" s="94"/>
      <c r="J1190" s="94"/>
      <c r="K1190" s="93"/>
      <c r="L1190" s="86"/>
      <c r="M1190" s="86"/>
      <c r="N1190" s="86"/>
      <c r="O1190" s="86"/>
      <c r="P1190" s="86"/>
      <c r="Q1190" s="85"/>
      <c r="S1190" s="85"/>
      <c r="T1190" s="85"/>
      <c r="U1190" s="85"/>
      <c r="V1190" s="85"/>
      <c r="W1190" s="85"/>
      <c r="X1190" s="85"/>
    </row>
    <row r="1191" spans="2:24" s="58" customFormat="1" ht="12" x14ac:dyDescent="0.2">
      <c r="B1191" s="91"/>
      <c r="E1191" s="92"/>
      <c r="F1191" s="93"/>
      <c r="G1191" s="94"/>
      <c r="H1191" s="94"/>
      <c r="I1191" s="94"/>
      <c r="J1191" s="94"/>
      <c r="K1191" s="93"/>
      <c r="L1191" s="86"/>
      <c r="M1191" s="86"/>
      <c r="N1191" s="86"/>
      <c r="O1191" s="86"/>
      <c r="P1191" s="86"/>
      <c r="Q1191" s="85"/>
      <c r="S1191" s="85"/>
      <c r="T1191" s="85"/>
      <c r="U1191" s="85"/>
      <c r="V1191" s="85"/>
      <c r="W1191" s="85"/>
      <c r="X1191" s="85"/>
    </row>
    <row r="1192" spans="2:24" s="58" customFormat="1" ht="12" x14ac:dyDescent="0.2">
      <c r="B1192" s="91"/>
      <c r="E1192" s="92"/>
      <c r="F1192" s="93"/>
      <c r="G1192" s="94"/>
      <c r="H1192" s="94"/>
      <c r="I1192" s="94"/>
      <c r="J1192" s="94"/>
      <c r="K1192" s="93"/>
      <c r="L1192" s="86"/>
      <c r="M1192" s="86"/>
      <c r="N1192" s="86"/>
      <c r="O1192" s="86"/>
      <c r="P1192" s="86"/>
      <c r="Q1192" s="85"/>
      <c r="S1192" s="85"/>
      <c r="T1192" s="85"/>
      <c r="U1192" s="85"/>
      <c r="V1192" s="85"/>
      <c r="W1192" s="85"/>
      <c r="X1192" s="85"/>
    </row>
    <row r="1193" spans="2:24" s="58" customFormat="1" ht="12" x14ac:dyDescent="0.2">
      <c r="B1193" s="91"/>
      <c r="E1193" s="92"/>
      <c r="F1193" s="93"/>
      <c r="G1193" s="94"/>
      <c r="H1193" s="94"/>
      <c r="I1193" s="94"/>
      <c r="J1193" s="94"/>
      <c r="K1193" s="93"/>
      <c r="L1193" s="86"/>
      <c r="M1193" s="86"/>
      <c r="N1193" s="86"/>
      <c r="O1193" s="86"/>
      <c r="P1193" s="86"/>
      <c r="Q1193" s="85"/>
      <c r="S1193" s="85"/>
      <c r="T1193" s="85"/>
      <c r="U1193" s="85"/>
      <c r="V1193" s="85"/>
      <c r="W1193" s="85"/>
      <c r="X1193" s="85"/>
    </row>
    <row r="1194" spans="2:24" s="58" customFormat="1" ht="12" x14ac:dyDescent="0.2">
      <c r="B1194" s="91"/>
      <c r="E1194" s="92"/>
      <c r="F1194" s="93"/>
      <c r="G1194" s="94"/>
      <c r="H1194" s="94"/>
      <c r="I1194" s="94"/>
      <c r="J1194" s="94"/>
      <c r="K1194" s="93"/>
      <c r="L1194" s="86"/>
      <c r="M1194" s="86"/>
      <c r="N1194" s="86"/>
      <c r="O1194" s="86"/>
      <c r="P1194" s="86"/>
      <c r="Q1194" s="85"/>
      <c r="S1194" s="85"/>
      <c r="T1194" s="85"/>
      <c r="U1194" s="85"/>
      <c r="V1194" s="85"/>
      <c r="W1194" s="85"/>
      <c r="X1194" s="85"/>
    </row>
    <row r="1195" spans="2:24" s="58" customFormat="1" ht="12" x14ac:dyDescent="0.2">
      <c r="B1195" s="91"/>
      <c r="E1195" s="92"/>
      <c r="F1195" s="93"/>
      <c r="G1195" s="94"/>
      <c r="H1195" s="94"/>
      <c r="I1195" s="94"/>
      <c r="J1195" s="94"/>
      <c r="K1195" s="93"/>
      <c r="L1195" s="86"/>
      <c r="M1195" s="86"/>
      <c r="N1195" s="86"/>
      <c r="O1195" s="86"/>
      <c r="P1195" s="86"/>
      <c r="Q1195" s="85"/>
      <c r="S1195" s="85"/>
      <c r="T1195" s="85"/>
      <c r="U1195" s="85"/>
      <c r="V1195" s="85"/>
      <c r="W1195" s="85"/>
      <c r="X1195" s="85"/>
    </row>
    <row r="1196" spans="2:24" s="58" customFormat="1" ht="12" x14ac:dyDescent="0.2">
      <c r="B1196" s="91"/>
      <c r="E1196" s="92"/>
      <c r="F1196" s="93"/>
      <c r="G1196" s="94"/>
      <c r="H1196" s="94"/>
      <c r="I1196" s="94"/>
      <c r="J1196" s="94"/>
      <c r="K1196" s="93"/>
      <c r="L1196" s="86"/>
      <c r="M1196" s="86"/>
      <c r="N1196" s="86"/>
      <c r="O1196" s="86"/>
      <c r="P1196" s="86"/>
      <c r="Q1196" s="85"/>
      <c r="S1196" s="85"/>
      <c r="T1196" s="85"/>
      <c r="U1196" s="85"/>
      <c r="V1196" s="85"/>
      <c r="W1196" s="85"/>
      <c r="X1196" s="85"/>
    </row>
    <row r="1197" spans="2:24" s="58" customFormat="1" ht="12" x14ac:dyDescent="0.2">
      <c r="B1197" s="91"/>
      <c r="E1197" s="92"/>
      <c r="F1197" s="93"/>
      <c r="G1197" s="94"/>
      <c r="H1197" s="94"/>
      <c r="I1197" s="94"/>
      <c r="J1197" s="94"/>
      <c r="K1197" s="93"/>
      <c r="L1197" s="86"/>
      <c r="M1197" s="86"/>
      <c r="N1197" s="86"/>
      <c r="O1197" s="86"/>
      <c r="P1197" s="86"/>
      <c r="Q1197" s="85"/>
      <c r="S1197" s="85"/>
      <c r="T1197" s="85"/>
      <c r="U1197" s="85"/>
      <c r="V1197" s="85"/>
      <c r="W1197" s="85"/>
      <c r="X1197" s="85"/>
    </row>
    <row r="1198" spans="2:24" s="58" customFormat="1" ht="12" x14ac:dyDescent="0.2">
      <c r="B1198" s="91"/>
      <c r="E1198" s="92"/>
      <c r="F1198" s="93"/>
      <c r="G1198" s="94"/>
      <c r="H1198" s="94"/>
      <c r="I1198" s="94"/>
      <c r="J1198" s="94"/>
      <c r="K1198" s="93"/>
      <c r="L1198" s="86"/>
      <c r="M1198" s="86"/>
      <c r="N1198" s="86"/>
      <c r="O1198" s="86"/>
      <c r="P1198" s="86"/>
      <c r="Q1198" s="85"/>
      <c r="S1198" s="85"/>
      <c r="T1198" s="85"/>
      <c r="U1198" s="85"/>
      <c r="V1198" s="85"/>
      <c r="W1198" s="85"/>
      <c r="X1198" s="85"/>
    </row>
    <row r="1199" spans="2:24" s="58" customFormat="1" ht="12" x14ac:dyDescent="0.2">
      <c r="B1199" s="91"/>
      <c r="E1199" s="92"/>
      <c r="F1199" s="93"/>
      <c r="G1199" s="94"/>
      <c r="H1199" s="94"/>
      <c r="I1199" s="94"/>
      <c r="J1199" s="94"/>
      <c r="K1199" s="93"/>
      <c r="L1199" s="86"/>
      <c r="M1199" s="86"/>
      <c r="N1199" s="86"/>
      <c r="O1199" s="86"/>
      <c r="P1199" s="86"/>
      <c r="Q1199" s="85"/>
      <c r="S1199" s="85"/>
      <c r="T1199" s="85"/>
      <c r="U1199" s="85"/>
      <c r="V1199" s="85"/>
      <c r="W1199" s="85"/>
      <c r="X1199" s="85"/>
    </row>
    <row r="1200" spans="2:24" s="58" customFormat="1" ht="12" x14ac:dyDescent="0.2">
      <c r="B1200" s="91"/>
      <c r="E1200" s="92"/>
      <c r="F1200" s="93"/>
      <c r="G1200" s="94"/>
      <c r="H1200" s="94"/>
      <c r="I1200" s="94"/>
      <c r="J1200" s="94"/>
      <c r="K1200" s="93"/>
      <c r="L1200" s="86"/>
      <c r="M1200" s="86"/>
      <c r="N1200" s="86"/>
      <c r="O1200" s="86"/>
      <c r="P1200" s="86"/>
      <c r="Q1200" s="85"/>
      <c r="S1200" s="85"/>
      <c r="T1200" s="85"/>
      <c r="U1200" s="85"/>
      <c r="V1200" s="85"/>
      <c r="W1200" s="85"/>
      <c r="X1200" s="85"/>
    </row>
    <row r="1201" spans="2:24" s="58" customFormat="1" ht="12" x14ac:dyDescent="0.2">
      <c r="B1201" s="91"/>
      <c r="E1201" s="92"/>
      <c r="F1201" s="93"/>
      <c r="G1201" s="94"/>
      <c r="H1201" s="94"/>
      <c r="I1201" s="94"/>
      <c r="J1201" s="94"/>
      <c r="K1201" s="93"/>
      <c r="L1201" s="86"/>
      <c r="M1201" s="86"/>
      <c r="N1201" s="86"/>
      <c r="O1201" s="86"/>
      <c r="P1201" s="86"/>
      <c r="Q1201" s="85"/>
      <c r="S1201" s="85"/>
      <c r="T1201" s="85"/>
      <c r="U1201" s="85"/>
      <c r="V1201" s="85"/>
      <c r="W1201" s="85"/>
      <c r="X1201" s="85"/>
    </row>
    <row r="1202" spans="2:24" s="58" customFormat="1" ht="12" x14ac:dyDescent="0.2">
      <c r="B1202" s="91"/>
      <c r="E1202" s="92"/>
      <c r="F1202" s="93"/>
      <c r="G1202" s="94"/>
      <c r="H1202" s="94"/>
      <c r="I1202" s="94"/>
      <c r="J1202" s="94"/>
      <c r="K1202" s="93"/>
      <c r="L1202" s="86"/>
      <c r="M1202" s="86"/>
      <c r="N1202" s="86"/>
      <c r="O1202" s="86"/>
      <c r="P1202" s="86"/>
      <c r="Q1202" s="85"/>
      <c r="S1202" s="85"/>
      <c r="T1202" s="85"/>
      <c r="U1202" s="85"/>
      <c r="V1202" s="85"/>
      <c r="W1202" s="85"/>
      <c r="X1202" s="85"/>
    </row>
    <row r="1203" spans="2:24" s="58" customFormat="1" ht="12" x14ac:dyDescent="0.2">
      <c r="B1203" s="91"/>
      <c r="E1203" s="92"/>
      <c r="F1203" s="93"/>
      <c r="G1203" s="94"/>
      <c r="H1203" s="94"/>
      <c r="I1203" s="94"/>
      <c r="J1203" s="94"/>
      <c r="K1203" s="93"/>
      <c r="L1203" s="86"/>
      <c r="M1203" s="86"/>
      <c r="N1203" s="86"/>
      <c r="O1203" s="86"/>
      <c r="P1203" s="86"/>
      <c r="Q1203" s="85"/>
      <c r="S1203" s="85"/>
      <c r="T1203" s="85"/>
      <c r="U1203" s="85"/>
      <c r="V1203" s="85"/>
      <c r="W1203" s="85"/>
      <c r="X1203" s="85"/>
    </row>
    <row r="1204" spans="2:24" s="58" customFormat="1" ht="12" x14ac:dyDescent="0.2">
      <c r="B1204" s="91"/>
      <c r="E1204" s="92"/>
      <c r="F1204" s="93"/>
      <c r="G1204" s="94"/>
      <c r="H1204" s="94"/>
      <c r="I1204" s="94"/>
      <c r="J1204" s="94"/>
      <c r="K1204" s="93"/>
      <c r="L1204" s="86"/>
      <c r="M1204" s="86"/>
      <c r="N1204" s="86"/>
      <c r="O1204" s="86"/>
      <c r="P1204" s="86"/>
      <c r="Q1204" s="85"/>
      <c r="S1204" s="85"/>
      <c r="T1204" s="85"/>
      <c r="U1204" s="85"/>
      <c r="V1204" s="85"/>
      <c r="W1204" s="85"/>
      <c r="X1204" s="85"/>
    </row>
    <row r="1205" spans="2:24" s="58" customFormat="1" ht="12" x14ac:dyDescent="0.2">
      <c r="B1205" s="91"/>
      <c r="E1205" s="92"/>
      <c r="F1205" s="93"/>
      <c r="G1205" s="94"/>
      <c r="H1205" s="94"/>
      <c r="I1205" s="94"/>
      <c r="J1205" s="94"/>
      <c r="K1205" s="93"/>
      <c r="L1205" s="86"/>
      <c r="M1205" s="86"/>
      <c r="N1205" s="86"/>
      <c r="O1205" s="86"/>
      <c r="P1205" s="86"/>
      <c r="Q1205" s="85"/>
      <c r="S1205" s="85"/>
      <c r="T1205" s="85"/>
      <c r="U1205" s="85"/>
      <c r="V1205" s="85"/>
      <c r="W1205" s="85"/>
      <c r="X1205" s="85"/>
    </row>
    <row r="1206" spans="2:24" s="58" customFormat="1" ht="12" x14ac:dyDescent="0.2">
      <c r="B1206" s="91"/>
      <c r="E1206" s="92"/>
      <c r="F1206" s="93"/>
      <c r="G1206" s="94"/>
      <c r="H1206" s="94"/>
      <c r="I1206" s="94"/>
      <c r="J1206" s="94"/>
      <c r="K1206" s="93"/>
      <c r="L1206" s="86"/>
      <c r="M1206" s="86"/>
      <c r="N1206" s="86"/>
      <c r="O1206" s="86"/>
      <c r="P1206" s="86"/>
      <c r="Q1206" s="85"/>
      <c r="S1206" s="85"/>
      <c r="T1206" s="85"/>
      <c r="U1206" s="85"/>
      <c r="V1206" s="85"/>
      <c r="W1206" s="85"/>
      <c r="X1206" s="85"/>
    </row>
    <row r="1207" spans="2:24" s="58" customFormat="1" ht="12" x14ac:dyDescent="0.2">
      <c r="B1207" s="91"/>
      <c r="E1207" s="92"/>
      <c r="F1207" s="93"/>
      <c r="G1207" s="94"/>
      <c r="H1207" s="94"/>
      <c r="I1207" s="94"/>
      <c r="J1207" s="94"/>
      <c r="K1207" s="93"/>
      <c r="L1207" s="86"/>
      <c r="M1207" s="86"/>
      <c r="N1207" s="86"/>
      <c r="O1207" s="86"/>
      <c r="P1207" s="86"/>
      <c r="Q1207" s="85"/>
      <c r="S1207" s="85"/>
      <c r="T1207" s="85"/>
      <c r="U1207" s="85"/>
      <c r="V1207" s="85"/>
      <c r="W1207" s="85"/>
      <c r="X1207" s="85"/>
    </row>
    <row r="1208" spans="2:24" s="58" customFormat="1" ht="12" x14ac:dyDescent="0.2">
      <c r="B1208" s="91"/>
      <c r="E1208" s="92"/>
      <c r="F1208" s="93"/>
      <c r="G1208" s="94"/>
      <c r="H1208" s="94"/>
      <c r="I1208" s="94"/>
      <c r="J1208" s="94"/>
      <c r="K1208" s="93"/>
      <c r="L1208" s="86"/>
      <c r="M1208" s="86"/>
      <c r="N1208" s="86"/>
      <c r="O1208" s="86"/>
      <c r="P1208" s="86"/>
      <c r="Q1208" s="85"/>
      <c r="S1208" s="85"/>
      <c r="T1208" s="85"/>
      <c r="U1208" s="85"/>
      <c r="V1208" s="85"/>
      <c r="W1208" s="85"/>
      <c r="X1208" s="85"/>
    </row>
    <row r="1209" spans="2:24" s="58" customFormat="1" ht="12" x14ac:dyDescent="0.2">
      <c r="B1209" s="91"/>
      <c r="E1209" s="92"/>
      <c r="F1209" s="93"/>
      <c r="G1209" s="94"/>
      <c r="H1209" s="94"/>
      <c r="I1209" s="94"/>
      <c r="J1209" s="94"/>
      <c r="K1209" s="93"/>
      <c r="L1209" s="86"/>
      <c r="M1209" s="86"/>
      <c r="N1209" s="86"/>
      <c r="O1209" s="86"/>
      <c r="P1209" s="86"/>
      <c r="Q1209" s="85"/>
      <c r="S1209" s="85"/>
      <c r="T1209" s="85"/>
      <c r="U1209" s="85"/>
      <c r="V1209" s="85"/>
      <c r="W1209" s="85"/>
      <c r="X1209" s="85"/>
    </row>
    <row r="1210" spans="2:24" s="58" customFormat="1" ht="12" x14ac:dyDescent="0.2">
      <c r="B1210" s="91"/>
      <c r="E1210" s="92"/>
      <c r="F1210" s="93"/>
      <c r="G1210" s="94"/>
      <c r="H1210" s="94"/>
      <c r="I1210" s="94"/>
      <c r="J1210" s="94"/>
      <c r="K1210" s="93"/>
      <c r="L1210" s="86"/>
      <c r="M1210" s="86"/>
      <c r="N1210" s="86"/>
      <c r="O1210" s="86"/>
      <c r="P1210" s="86"/>
      <c r="Q1210" s="85"/>
      <c r="S1210" s="85"/>
      <c r="T1210" s="85"/>
      <c r="U1210" s="85"/>
      <c r="V1210" s="85"/>
      <c r="W1210" s="85"/>
      <c r="X1210" s="85"/>
    </row>
    <row r="1211" spans="2:24" s="58" customFormat="1" ht="12" x14ac:dyDescent="0.2">
      <c r="B1211" s="91"/>
      <c r="E1211" s="92"/>
      <c r="F1211" s="93"/>
      <c r="G1211" s="94"/>
      <c r="H1211" s="94"/>
      <c r="I1211" s="94"/>
      <c r="J1211" s="94"/>
      <c r="K1211" s="93"/>
      <c r="L1211" s="86"/>
      <c r="M1211" s="86"/>
      <c r="N1211" s="86"/>
      <c r="O1211" s="86"/>
      <c r="P1211" s="86"/>
      <c r="Q1211" s="85"/>
      <c r="S1211" s="85"/>
      <c r="T1211" s="85"/>
      <c r="U1211" s="85"/>
      <c r="V1211" s="85"/>
      <c r="W1211" s="85"/>
      <c r="X1211" s="85"/>
    </row>
    <row r="1212" spans="2:24" s="58" customFormat="1" ht="12" x14ac:dyDescent="0.2">
      <c r="B1212" s="91"/>
      <c r="E1212" s="92"/>
      <c r="F1212" s="93"/>
      <c r="G1212" s="94"/>
      <c r="H1212" s="94"/>
      <c r="I1212" s="94"/>
      <c r="J1212" s="94"/>
      <c r="K1212" s="93"/>
      <c r="L1212" s="86"/>
      <c r="M1212" s="86"/>
      <c r="N1212" s="86"/>
      <c r="O1212" s="86"/>
      <c r="P1212" s="86"/>
      <c r="Q1212" s="85"/>
      <c r="S1212" s="85"/>
      <c r="T1212" s="85"/>
      <c r="U1212" s="85"/>
      <c r="V1212" s="85"/>
      <c r="W1212" s="85"/>
      <c r="X1212" s="85"/>
    </row>
    <row r="1213" spans="2:24" s="58" customFormat="1" ht="12" x14ac:dyDescent="0.2">
      <c r="B1213" s="91"/>
      <c r="E1213" s="92"/>
      <c r="F1213" s="93"/>
      <c r="G1213" s="94"/>
      <c r="H1213" s="94"/>
      <c r="I1213" s="94"/>
      <c r="J1213" s="94"/>
      <c r="K1213" s="93"/>
      <c r="L1213" s="86"/>
      <c r="M1213" s="86"/>
      <c r="N1213" s="86"/>
      <c r="O1213" s="86"/>
      <c r="P1213" s="86"/>
      <c r="Q1213" s="85"/>
      <c r="S1213" s="85"/>
      <c r="T1213" s="85"/>
      <c r="U1213" s="85"/>
      <c r="V1213" s="85"/>
      <c r="W1213" s="85"/>
      <c r="X1213" s="85"/>
    </row>
    <row r="1214" spans="2:24" s="58" customFormat="1" ht="12" x14ac:dyDescent="0.2">
      <c r="B1214" s="91"/>
      <c r="E1214" s="92"/>
      <c r="F1214" s="93"/>
      <c r="G1214" s="94"/>
      <c r="H1214" s="94"/>
      <c r="I1214" s="94"/>
      <c r="J1214" s="94"/>
      <c r="K1214" s="93"/>
      <c r="L1214" s="86"/>
      <c r="M1214" s="86"/>
      <c r="N1214" s="86"/>
      <c r="O1214" s="86"/>
      <c r="P1214" s="86"/>
      <c r="Q1214" s="85"/>
      <c r="S1214" s="85"/>
      <c r="T1214" s="85"/>
      <c r="U1214" s="85"/>
      <c r="V1214" s="85"/>
      <c r="W1214" s="85"/>
      <c r="X1214" s="85"/>
    </row>
    <row r="1215" spans="2:24" s="58" customFormat="1" ht="12" x14ac:dyDescent="0.2">
      <c r="B1215" s="91"/>
      <c r="E1215" s="92"/>
      <c r="F1215" s="93"/>
      <c r="G1215" s="94"/>
      <c r="H1215" s="94"/>
      <c r="I1215" s="94"/>
      <c r="J1215" s="94"/>
      <c r="K1215" s="93"/>
      <c r="L1215" s="86"/>
      <c r="M1215" s="86"/>
      <c r="N1215" s="86"/>
      <c r="O1215" s="86"/>
      <c r="P1215" s="86"/>
      <c r="Q1215" s="85"/>
      <c r="S1215" s="85"/>
      <c r="T1215" s="85"/>
      <c r="U1215" s="85"/>
      <c r="V1215" s="85"/>
      <c r="W1215" s="85"/>
      <c r="X1215" s="85"/>
    </row>
    <row r="1216" spans="2:24" s="58" customFormat="1" ht="12" x14ac:dyDescent="0.2">
      <c r="B1216" s="91"/>
      <c r="E1216" s="92"/>
      <c r="F1216" s="93"/>
      <c r="G1216" s="94"/>
      <c r="H1216" s="94"/>
      <c r="I1216" s="94"/>
      <c r="J1216" s="94"/>
      <c r="K1216" s="93"/>
      <c r="L1216" s="86"/>
      <c r="M1216" s="86"/>
      <c r="N1216" s="86"/>
      <c r="O1216" s="86"/>
      <c r="P1216" s="86"/>
      <c r="Q1216" s="85"/>
      <c r="S1216" s="85"/>
      <c r="T1216" s="85"/>
      <c r="U1216" s="85"/>
      <c r="V1216" s="85"/>
      <c r="W1216" s="85"/>
      <c r="X1216" s="85"/>
    </row>
    <row r="1217" spans="2:24" s="58" customFormat="1" ht="12" x14ac:dyDescent="0.2">
      <c r="B1217" s="91"/>
      <c r="E1217" s="92"/>
      <c r="F1217" s="93"/>
      <c r="G1217" s="94"/>
      <c r="H1217" s="94"/>
      <c r="I1217" s="94"/>
      <c r="J1217" s="94"/>
      <c r="K1217" s="93"/>
      <c r="L1217" s="86"/>
      <c r="M1217" s="86"/>
      <c r="N1217" s="86"/>
      <c r="O1217" s="86"/>
      <c r="P1217" s="86"/>
      <c r="Q1217" s="85"/>
      <c r="S1217" s="85"/>
      <c r="T1217" s="85"/>
      <c r="U1217" s="85"/>
      <c r="V1217" s="85"/>
      <c r="W1217" s="85"/>
      <c r="X1217" s="85"/>
    </row>
    <row r="1218" spans="2:24" s="58" customFormat="1" ht="12" x14ac:dyDescent="0.2">
      <c r="B1218" s="91"/>
      <c r="E1218" s="92"/>
      <c r="F1218" s="93"/>
      <c r="G1218" s="94"/>
      <c r="H1218" s="94"/>
      <c r="I1218" s="94"/>
      <c r="J1218" s="94"/>
      <c r="K1218" s="93"/>
      <c r="L1218" s="86"/>
      <c r="M1218" s="86"/>
      <c r="N1218" s="86"/>
      <c r="O1218" s="86"/>
      <c r="P1218" s="86"/>
      <c r="Q1218" s="85"/>
      <c r="S1218" s="85"/>
      <c r="T1218" s="85"/>
      <c r="U1218" s="85"/>
      <c r="V1218" s="85"/>
      <c r="W1218" s="85"/>
      <c r="X1218" s="85"/>
    </row>
    <row r="1219" spans="2:24" s="58" customFormat="1" ht="12" x14ac:dyDescent="0.2">
      <c r="B1219" s="91"/>
      <c r="E1219" s="92"/>
      <c r="F1219" s="93"/>
      <c r="G1219" s="94"/>
      <c r="H1219" s="94"/>
      <c r="I1219" s="94"/>
      <c r="J1219" s="94"/>
      <c r="K1219" s="93"/>
      <c r="L1219" s="86"/>
      <c r="M1219" s="86"/>
      <c r="N1219" s="86"/>
      <c r="O1219" s="86"/>
      <c r="P1219" s="86"/>
      <c r="Q1219" s="85"/>
      <c r="S1219" s="85"/>
      <c r="T1219" s="85"/>
      <c r="U1219" s="85"/>
      <c r="V1219" s="85"/>
      <c r="W1219" s="85"/>
      <c r="X1219" s="85"/>
    </row>
    <row r="1220" spans="2:24" s="58" customFormat="1" ht="12" x14ac:dyDescent="0.2">
      <c r="B1220" s="91"/>
      <c r="E1220" s="92"/>
      <c r="F1220" s="93"/>
      <c r="G1220" s="94"/>
      <c r="H1220" s="94"/>
      <c r="I1220" s="94"/>
      <c r="J1220" s="94"/>
      <c r="K1220" s="93"/>
      <c r="L1220" s="86"/>
      <c r="M1220" s="86"/>
      <c r="N1220" s="86"/>
      <c r="O1220" s="86"/>
      <c r="P1220" s="86"/>
      <c r="Q1220" s="85"/>
      <c r="S1220" s="85"/>
      <c r="T1220" s="85"/>
      <c r="U1220" s="85"/>
      <c r="V1220" s="85"/>
      <c r="W1220" s="85"/>
      <c r="X1220" s="85"/>
    </row>
    <row r="1221" spans="2:24" s="58" customFormat="1" ht="12" x14ac:dyDescent="0.2">
      <c r="B1221" s="91"/>
      <c r="E1221" s="92"/>
      <c r="F1221" s="93"/>
      <c r="G1221" s="94"/>
      <c r="H1221" s="94"/>
      <c r="I1221" s="94"/>
      <c r="J1221" s="94"/>
      <c r="K1221" s="93"/>
      <c r="L1221" s="86"/>
      <c r="M1221" s="86"/>
      <c r="N1221" s="86"/>
      <c r="O1221" s="86"/>
      <c r="P1221" s="86"/>
      <c r="Q1221" s="85"/>
      <c r="S1221" s="85"/>
      <c r="T1221" s="85"/>
      <c r="U1221" s="85"/>
      <c r="V1221" s="85"/>
      <c r="W1221" s="85"/>
      <c r="X1221" s="85"/>
    </row>
    <row r="1222" spans="2:24" s="58" customFormat="1" ht="12" x14ac:dyDescent="0.2">
      <c r="B1222" s="91"/>
      <c r="E1222" s="92"/>
      <c r="F1222" s="93"/>
      <c r="G1222" s="94"/>
      <c r="H1222" s="94"/>
      <c r="I1222" s="94"/>
      <c r="J1222" s="94"/>
      <c r="K1222" s="93"/>
      <c r="L1222" s="86"/>
      <c r="M1222" s="86"/>
      <c r="N1222" s="86"/>
      <c r="O1222" s="86"/>
      <c r="P1222" s="86"/>
      <c r="Q1222" s="85"/>
      <c r="S1222" s="85"/>
      <c r="T1222" s="85"/>
      <c r="U1222" s="85"/>
      <c r="V1222" s="85"/>
      <c r="W1222" s="85"/>
      <c r="X1222" s="85"/>
    </row>
    <row r="1223" spans="2:24" s="58" customFormat="1" ht="12" x14ac:dyDescent="0.2">
      <c r="B1223" s="91"/>
      <c r="E1223" s="92"/>
      <c r="F1223" s="93"/>
      <c r="G1223" s="94"/>
      <c r="H1223" s="94"/>
      <c r="I1223" s="94"/>
      <c r="J1223" s="94"/>
      <c r="K1223" s="93"/>
      <c r="L1223" s="86"/>
      <c r="M1223" s="86"/>
      <c r="N1223" s="86"/>
      <c r="O1223" s="86"/>
      <c r="P1223" s="86"/>
      <c r="Q1223" s="85"/>
      <c r="S1223" s="85"/>
      <c r="T1223" s="85"/>
      <c r="U1223" s="85"/>
      <c r="V1223" s="85"/>
      <c r="W1223" s="85"/>
      <c r="X1223" s="85"/>
    </row>
    <row r="1224" spans="2:24" s="58" customFormat="1" ht="12" x14ac:dyDescent="0.2">
      <c r="B1224" s="91"/>
      <c r="E1224" s="92"/>
      <c r="F1224" s="93"/>
      <c r="G1224" s="94"/>
      <c r="H1224" s="94"/>
      <c r="I1224" s="94"/>
      <c r="J1224" s="94"/>
      <c r="K1224" s="93"/>
      <c r="L1224" s="86"/>
      <c r="M1224" s="86"/>
      <c r="N1224" s="86"/>
      <c r="O1224" s="86"/>
      <c r="P1224" s="86"/>
      <c r="Q1224" s="85"/>
      <c r="S1224" s="85"/>
      <c r="T1224" s="85"/>
      <c r="U1224" s="85"/>
      <c r="V1224" s="85"/>
      <c r="W1224" s="85"/>
      <c r="X1224" s="85"/>
    </row>
    <row r="1225" spans="2:24" s="58" customFormat="1" ht="12" x14ac:dyDescent="0.2">
      <c r="B1225" s="91"/>
      <c r="E1225" s="92"/>
      <c r="F1225" s="93"/>
      <c r="G1225" s="94"/>
      <c r="H1225" s="94"/>
      <c r="I1225" s="94"/>
      <c r="J1225" s="94"/>
      <c r="K1225" s="93"/>
      <c r="L1225" s="86"/>
      <c r="M1225" s="86"/>
      <c r="N1225" s="86"/>
      <c r="O1225" s="86"/>
      <c r="P1225" s="86"/>
      <c r="Q1225" s="85"/>
      <c r="S1225" s="85"/>
      <c r="T1225" s="85"/>
      <c r="U1225" s="85"/>
      <c r="V1225" s="85"/>
      <c r="W1225" s="85"/>
      <c r="X1225" s="85"/>
    </row>
    <row r="1226" spans="2:24" s="58" customFormat="1" ht="12" x14ac:dyDescent="0.2">
      <c r="B1226" s="91"/>
      <c r="E1226" s="92"/>
      <c r="F1226" s="93"/>
      <c r="G1226" s="94"/>
      <c r="H1226" s="94"/>
      <c r="I1226" s="94"/>
      <c r="J1226" s="94"/>
      <c r="K1226" s="93"/>
      <c r="L1226" s="86"/>
      <c r="M1226" s="86"/>
      <c r="N1226" s="86"/>
      <c r="O1226" s="86"/>
      <c r="P1226" s="86"/>
      <c r="Q1226" s="85"/>
      <c r="S1226" s="85"/>
      <c r="T1226" s="85"/>
      <c r="U1226" s="85"/>
      <c r="V1226" s="85"/>
      <c r="W1226" s="85"/>
      <c r="X1226" s="85"/>
    </row>
    <row r="1227" spans="2:24" s="58" customFormat="1" ht="12" x14ac:dyDescent="0.2">
      <c r="B1227" s="91"/>
      <c r="E1227" s="92"/>
      <c r="F1227" s="93"/>
      <c r="G1227" s="94"/>
      <c r="H1227" s="94"/>
      <c r="I1227" s="94"/>
      <c r="J1227" s="94"/>
      <c r="K1227" s="93"/>
      <c r="L1227" s="86"/>
      <c r="M1227" s="86"/>
      <c r="N1227" s="86"/>
      <c r="O1227" s="86"/>
      <c r="P1227" s="86"/>
      <c r="Q1227" s="85"/>
      <c r="S1227" s="85"/>
      <c r="T1227" s="85"/>
      <c r="U1227" s="85"/>
      <c r="V1227" s="85"/>
      <c r="W1227" s="85"/>
      <c r="X1227" s="85"/>
    </row>
    <row r="1228" spans="2:24" s="58" customFormat="1" ht="12" x14ac:dyDescent="0.2">
      <c r="B1228" s="91"/>
      <c r="E1228" s="92"/>
      <c r="F1228" s="93"/>
      <c r="G1228" s="94"/>
      <c r="H1228" s="94"/>
      <c r="I1228" s="94"/>
      <c r="J1228" s="94"/>
      <c r="K1228" s="93"/>
      <c r="L1228" s="86"/>
      <c r="M1228" s="86"/>
      <c r="N1228" s="86"/>
      <c r="O1228" s="86"/>
      <c r="P1228" s="86"/>
      <c r="Q1228" s="85"/>
      <c r="S1228" s="85"/>
      <c r="T1228" s="85"/>
      <c r="U1228" s="85"/>
      <c r="V1228" s="85"/>
      <c r="W1228" s="85"/>
      <c r="X1228" s="85"/>
    </row>
    <row r="1229" spans="2:24" s="58" customFormat="1" ht="12" x14ac:dyDescent="0.2">
      <c r="B1229" s="91"/>
      <c r="E1229" s="92"/>
      <c r="F1229" s="93"/>
      <c r="G1229" s="94"/>
      <c r="H1229" s="94"/>
      <c r="I1229" s="94"/>
      <c r="J1229" s="94"/>
      <c r="K1229" s="93"/>
      <c r="L1229" s="86"/>
      <c r="M1229" s="86"/>
      <c r="N1229" s="86"/>
      <c r="O1229" s="86"/>
      <c r="P1229" s="86"/>
      <c r="Q1229" s="85"/>
      <c r="S1229" s="85"/>
      <c r="T1229" s="85"/>
      <c r="U1229" s="85"/>
      <c r="V1229" s="85"/>
      <c r="W1229" s="85"/>
      <c r="X1229" s="85"/>
    </row>
    <row r="1230" spans="2:24" s="58" customFormat="1" ht="12" x14ac:dyDescent="0.2">
      <c r="B1230" s="91"/>
      <c r="E1230" s="92"/>
      <c r="F1230" s="93"/>
      <c r="G1230" s="94"/>
      <c r="H1230" s="94"/>
      <c r="I1230" s="94"/>
      <c r="J1230" s="94"/>
      <c r="K1230" s="93"/>
      <c r="L1230" s="86"/>
      <c r="M1230" s="86"/>
      <c r="N1230" s="86"/>
      <c r="O1230" s="86"/>
      <c r="P1230" s="86"/>
      <c r="Q1230" s="85"/>
      <c r="S1230" s="85"/>
      <c r="T1230" s="85"/>
      <c r="U1230" s="85"/>
      <c r="V1230" s="85"/>
      <c r="W1230" s="85"/>
      <c r="X1230" s="85"/>
    </row>
    <row r="1231" spans="2:24" s="58" customFormat="1" ht="12" x14ac:dyDescent="0.2">
      <c r="B1231" s="91"/>
      <c r="E1231" s="92"/>
      <c r="F1231" s="93"/>
      <c r="G1231" s="94"/>
      <c r="H1231" s="94"/>
      <c r="I1231" s="94"/>
      <c r="J1231" s="94"/>
      <c r="K1231" s="93"/>
      <c r="L1231" s="86"/>
      <c r="M1231" s="86"/>
      <c r="N1231" s="86"/>
      <c r="O1231" s="86"/>
      <c r="P1231" s="86"/>
      <c r="Q1231" s="85"/>
      <c r="S1231" s="85"/>
      <c r="T1231" s="85"/>
      <c r="U1231" s="85"/>
      <c r="V1231" s="85"/>
      <c r="W1231" s="85"/>
      <c r="X1231" s="85"/>
    </row>
    <row r="1232" spans="2:24" s="58" customFormat="1" ht="12" x14ac:dyDescent="0.2">
      <c r="B1232" s="91"/>
      <c r="E1232" s="92"/>
      <c r="F1232" s="93"/>
      <c r="G1232" s="94"/>
      <c r="H1232" s="94"/>
      <c r="I1232" s="94"/>
      <c r="J1232" s="94"/>
      <c r="K1232" s="93"/>
      <c r="L1232" s="86"/>
      <c r="M1232" s="86"/>
      <c r="N1232" s="86"/>
      <c r="O1232" s="86"/>
      <c r="P1232" s="86"/>
      <c r="Q1232" s="85"/>
      <c r="S1232" s="85"/>
      <c r="T1232" s="85"/>
      <c r="U1232" s="85"/>
      <c r="V1232" s="85"/>
      <c r="W1232" s="85"/>
      <c r="X1232" s="85"/>
    </row>
    <row r="1233" spans="2:24" s="58" customFormat="1" ht="12" x14ac:dyDescent="0.2">
      <c r="B1233" s="91"/>
      <c r="E1233" s="92"/>
      <c r="F1233" s="93"/>
      <c r="G1233" s="94"/>
      <c r="H1233" s="94"/>
      <c r="I1233" s="94"/>
      <c r="J1233" s="94"/>
      <c r="K1233" s="93"/>
      <c r="L1233" s="86"/>
      <c r="M1233" s="86"/>
      <c r="N1233" s="86"/>
      <c r="O1233" s="86"/>
      <c r="P1233" s="86"/>
      <c r="Q1233" s="85"/>
      <c r="S1233" s="85"/>
      <c r="T1233" s="85"/>
      <c r="U1233" s="85"/>
      <c r="V1233" s="85"/>
      <c r="W1233" s="85"/>
      <c r="X1233" s="85"/>
    </row>
    <row r="1234" spans="2:24" s="58" customFormat="1" ht="12" x14ac:dyDescent="0.2">
      <c r="B1234" s="91"/>
      <c r="E1234" s="92"/>
      <c r="F1234" s="93"/>
      <c r="G1234" s="94"/>
      <c r="H1234" s="94"/>
      <c r="I1234" s="94"/>
      <c r="J1234" s="94"/>
      <c r="K1234" s="93"/>
      <c r="L1234" s="86"/>
      <c r="M1234" s="86"/>
      <c r="N1234" s="86"/>
      <c r="O1234" s="86"/>
      <c r="P1234" s="86"/>
      <c r="Q1234" s="85"/>
      <c r="S1234" s="85"/>
      <c r="T1234" s="85"/>
      <c r="U1234" s="85"/>
      <c r="V1234" s="85"/>
      <c r="W1234" s="85"/>
      <c r="X1234" s="85"/>
    </row>
    <row r="1235" spans="2:24" s="58" customFormat="1" ht="12" x14ac:dyDescent="0.2">
      <c r="B1235" s="91"/>
      <c r="E1235" s="92"/>
      <c r="F1235" s="93"/>
      <c r="G1235" s="94"/>
      <c r="H1235" s="94"/>
      <c r="I1235" s="94"/>
      <c r="J1235" s="94"/>
      <c r="K1235" s="93"/>
      <c r="L1235" s="86"/>
      <c r="M1235" s="86"/>
      <c r="N1235" s="86"/>
      <c r="O1235" s="86"/>
      <c r="P1235" s="86"/>
      <c r="Q1235" s="85"/>
      <c r="S1235" s="85"/>
      <c r="T1235" s="85"/>
      <c r="U1235" s="85"/>
      <c r="V1235" s="85"/>
      <c r="W1235" s="85"/>
      <c r="X1235" s="85"/>
    </row>
    <row r="1236" spans="2:24" s="58" customFormat="1" ht="12" x14ac:dyDescent="0.2">
      <c r="B1236" s="91"/>
      <c r="E1236" s="92"/>
      <c r="F1236" s="93"/>
      <c r="G1236" s="94"/>
      <c r="H1236" s="94"/>
      <c r="I1236" s="94"/>
      <c r="J1236" s="94"/>
      <c r="K1236" s="93"/>
      <c r="L1236" s="86"/>
      <c r="M1236" s="86"/>
      <c r="N1236" s="86"/>
      <c r="O1236" s="86"/>
      <c r="P1236" s="86"/>
      <c r="Q1236" s="85"/>
      <c r="S1236" s="85"/>
      <c r="T1236" s="85"/>
      <c r="U1236" s="85"/>
      <c r="V1236" s="85"/>
      <c r="W1236" s="85"/>
      <c r="X1236" s="85"/>
    </row>
    <row r="1237" spans="2:24" s="58" customFormat="1" ht="12" x14ac:dyDescent="0.2">
      <c r="B1237" s="91"/>
      <c r="E1237" s="92"/>
      <c r="F1237" s="93"/>
      <c r="G1237" s="94"/>
      <c r="H1237" s="94"/>
      <c r="I1237" s="94"/>
      <c r="J1237" s="94"/>
      <c r="K1237" s="93"/>
      <c r="L1237" s="86"/>
      <c r="M1237" s="86"/>
      <c r="N1237" s="86"/>
      <c r="O1237" s="86"/>
      <c r="P1237" s="86"/>
      <c r="Q1237" s="85"/>
      <c r="S1237" s="85"/>
      <c r="T1237" s="85"/>
      <c r="U1237" s="85"/>
      <c r="V1237" s="85"/>
      <c r="W1237" s="85"/>
      <c r="X1237" s="85"/>
    </row>
    <row r="1238" spans="2:24" s="58" customFormat="1" ht="12" x14ac:dyDescent="0.2">
      <c r="B1238" s="91"/>
      <c r="E1238" s="92"/>
      <c r="F1238" s="93"/>
      <c r="G1238" s="94"/>
      <c r="H1238" s="94"/>
      <c r="I1238" s="94"/>
      <c r="J1238" s="94"/>
      <c r="K1238" s="93"/>
      <c r="L1238" s="86"/>
      <c r="M1238" s="86"/>
      <c r="N1238" s="86"/>
      <c r="O1238" s="86"/>
      <c r="P1238" s="86"/>
      <c r="Q1238" s="85"/>
      <c r="S1238" s="85"/>
      <c r="T1238" s="85"/>
      <c r="U1238" s="85"/>
      <c r="V1238" s="85"/>
      <c r="W1238" s="85"/>
      <c r="X1238" s="85"/>
    </row>
    <row r="1239" spans="2:24" s="58" customFormat="1" ht="12" x14ac:dyDescent="0.2">
      <c r="B1239" s="91"/>
      <c r="E1239" s="92"/>
      <c r="F1239" s="93"/>
      <c r="G1239" s="94"/>
      <c r="H1239" s="94"/>
      <c r="I1239" s="94"/>
      <c r="J1239" s="94"/>
      <c r="K1239" s="93"/>
      <c r="L1239" s="86"/>
      <c r="M1239" s="86"/>
      <c r="N1239" s="86"/>
      <c r="O1239" s="86"/>
      <c r="P1239" s="86"/>
      <c r="Q1239" s="85"/>
      <c r="S1239" s="85"/>
      <c r="T1239" s="85"/>
      <c r="U1239" s="85"/>
      <c r="V1239" s="85"/>
      <c r="W1239" s="85"/>
      <c r="X1239" s="85"/>
    </row>
    <row r="1240" spans="2:24" s="58" customFormat="1" ht="12" x14ac:dyDescent="0.2">
      <c r="B1240" s="91"/>
      <c r="E1240" s="92"/>
      <c r="F1240" s="93"/>
      <c r="G1240" s="94"/>
      <c r="H1240" s="94"/>
      <c r="I1240" s="94"/>
      <c r="J1240" s="94"/>
      <c r="K1240" s="93"/>
      <c r="L1240" s="86"/>
      <c r="M1240" s="86"/>
      <c r="N1240" s="86"/>
      <c r="O1240" s="86"/>
      <c r="P1240" s="86"/>
      <c r="Q1240" s="85"/>
      <c r="S1240" s="85"/>
      <c r="T1240" s="85"/>
      <c r="U1240" s="85"/>
      <c r="V1240" s="85"/>
      <c r="W1240" s="85"/>
      <c r="X1240" s="85"/>
    </row>
    <row r="1241" spans="2:24" s="58" customFormat="1" ht="12" x14ac:dyDescent="0.2">
      <c r="B1241" s="91"/>
      <c r="E1241" s="92"/>
      <c r="F1241" s="93"/>
      <c r="G1241" s="94"/>
      <c r="H1241" s="94"/>
      <c r="I1241" s="94"/>
      <c r="J1241" s="94"/>
      <c r="K1241" s="93"/>
      <c r="L1241" s="86"/>
      <c r="M1241" s="86"/>
      <c r="N1241" s="86"/>
      <c r="O1241" s="86"/>
      <c r="P1241" s="86"/>
      <c r="Q1241" s="85"/>
      <c r="S1241" s="85"/>
      <c r="T1241" s="85"/>
      <c r="U1241" s="85"/>
      <c r="V1241" s="85"/>
      <c r="W1241" s="85"/>
      <c r="X1241" s="85"/>
    </row>
    <row r="1242" spans="2:24" s="58" customFormat="1" ht="12" x14ac:dyDescent="0.2">
      <c r="B1242" s="91"/>
      <c r="E1242" s="92"/>
      <c r="F1242" s="93"/>
      <c r="G1242" s="94"/>
      <c r="H1242" s="94"/>
      <c r="I1242" s="94"/>
      <c r="J1242" s="94"/>
      <c r="K1242" s="93"/>
      <c r="L1242" s="86"/>
      <c r="M1242" s="86"/>
      <c r="N1242" s="86"/>
      <c r="O1242" s="86"/>
      <c r="P1242" s="86"/>
      <c r="Q1242" s="85"/>
      <c r="S1242" s="85"/>
      <c r="T1242" s="85"/>
      <c r="U1242" s="85"/>
      <c r="V1242" s="85"/>
      <c r="W1242" s="85"/>
      <c r="X1242" s="85"/>
    </row>
    <row r="1243" spans="2:24" s="58" customFormat="1" ht="12" x14ac:dyDescent="0.2">
      <c r="B1243" s="91"/>
      <c r="E1243" s="92"/>
      <c r="F1243" s="93"/>
      <c r="G1243" s="94"/>
      <c r="H1243" s="94"/>
      <c r="I1243" s="94"/>
      <c r="J1243" s="94"/>
      <c r="K1243" s="93"/>
      <c r="L1243" s="86"/>
      <c r="M1243" s="86"/>
      <c r="N1243" s="86"/>
      <c r="O1243" s="86"/>
      <c r="P1243" s="86"/>
      <c r="Q1243" s="85"/>
      <c r="S1243" s="85"/>
      <c r="T1243" s="85"/>
      <c r="U1243" s="85"/>
      <c r="V1243" s="85"/>
      <c r="W1243" s="85"/>
      <c r="X1243" s="85"/>
    </row>
    <row r="1244" spans="2:24" s="58" customFormat="1" ht="12" x14ac:dyDescent="0.2">
      <c r="B1244" s="91"/>
      <c r="E1244" s="92"/>
      <c r="F1244" s="93"/>
      <c r="G1244" s="94"/>
      <c r="H1244" s="94"/>
      <c r="I1244" s="94"/>
      <c r="J1244" s="94"/>
      <c r="K1244" s="93"/>
      <c r="L1244" s="86"/>
      <c r="M1244" s="86"/>
      <c r="N1244" s="86"/>
      <c r="O1244" s="86"/>
      <c r="P1244" s="86"/>
      <c r="Q1244" s="85"/>
      <c r="S1244" s="85"/>
      <c r="T1244" s="85"/>
      <c r="U1244" s="85"/>
      <c r="V1244" s="85"/>
      <c r="W1244" s="85"/>
      <c r="X1244" s="85"/>
    </row>
    <row r="1245" spans="2:24" s="58" customFormat="1" ht="12" x14ac:dyDescent="0.2">
      <c r="B1245" s="91"/>
      <c r="E1245" s="92"/>
      <c r="F1245" s="93"/>
      <c r="G1245" s="94"/>
      <c r="H1245" s="94"/>
      <c r="I1245" s="94"/>
      <c r="J1245" s="94"/>
      <c r="K1245" s="93"/>
      <c r="L1245" s="86"/>
      <c r="M1245" s="86"/>
      <c r="N1245" s="86"/>
      <c r="O1245" s="86"/>
      <c r="P1245" s="86"/>
      <c r="Q1245" s="85"/>
      <c r="S1245" s="85"/>
      <c r="T1245" s="85"/>
      <c r="U1245" s="85"/>
      <c r="V1245" s="85"/>
      <c r="W1245" s="85"/>
      <c r="X1245" s="85"/>
    </row>
    <row r="1246" spans="2:24" s="58" customFormat="1" ht="12" x14ac:dyDescent="0.2">
      <c r="B1246" s="91"/>
      <c r="E1246" s="92"/>
      <c r="F1246" s="93"/>
      <c r="G1246" s="94"/>
      <c r="H1246" s="94"/>
      <c r="I1246" s="94"/>
      <c r="J1246" s="94"/>
      <c r="K1246" s="93"/>
      <c r="L1246" s="86"/>
      <c r="M1246" s="86"/>
      <c r="N1246" s="86"/>
      <c r="O1246" s="86"/>
      <c r="P1246" s="86"/>
      <c r="Q1246" s="85"/>
      <c r="S1246" s="85"/>
      <c r="T1246" s="85"/>
      <c r="U1246" s="85"/>
      <c r="V1246" s="85"/>
      <c r="W1246" s="85"/>
      <c r="X1246" s="85"/>
    </row>
    <row r="1247" spans="2:24" s="58" customFormat="1" ht="12" x14ac:dyDescent="0.2">
      <c r="B1247" s="91"/>
      <c r="E1247" s="92"/>
      <c r="F1247" s="93"/>
      <c r="G1247" s="94"/>
      <c r="H1247" s="94"/>
      <c r="I1247" s="94"/>
      <c r="J1247" s="94"/>
      <c r="K1247" s="93"/>
      <c r="L1247" s="86"/>
      <c r="M1247" s="86"/>
      <c r="N1247" s="86"/>
      <c r="O1247" s="86"/>
      <c r="P1247" s="86"/>
      <c r="Q1247" s="85"/>
      <c r="S1247" s="85"/>
      <c r="T1247" s="85"/>
      <c r="U1247" s="85"/>
      <c r="V1247" s="85"/>
      <c r="W1247" s="85"/>
      <c r="X1247" s="85"/>
    </row>
    <row r="1248" spans="2:24" s="58" customFormat="1" ht="12" x14ac:dyDescent="0.2">
      <c r="B1248" s="91"/>
      <c r="E1248" s="92"/>
      <c r="F1248" s="93"/>
      <c r="G1248" s="94"/>
      <c r="H1248" s="94"/>
      <c r="I1248" s="94"/>
      <c r="J1248" s="94"/>
      <c r="K1248" s="93"/>
      <c r="L1248" s="86"/>
      <c r="M1248" s="86"/>
      <c r="N1248" s="86"/>
      <c r="O1248" s="86"/>
      <c r="P1248" s="86"/>
      <c r="Q1248" s="85"/>
      <c r="S1248" s="85"/>
      <c r="T1248" s="85"/>
      <c r="U1248" s="85"/>
      <c r="V1248" s="85"/>
      <c r="W1248" s="85"/>
      <c r="X1248" s="85"/>
    </row>
    <row r="1249" spans="2:24" s="58" customFormat="1" ht="12" x14ac:dyDescent="0.2">
      <c r="B1249" s="91"/>
      <c r="E1249" s="92"/>
      <c r="F1249" s="93"/>
      <c r="G1249" s="94"/>
      <c r="H1249" s="94"/>
      <c r="I1249" s="94"/>
      <c r="J1249" s="94"/>
      <c r="K1249" s="93"/>
      <c r="L1249" s="86"/>
      <c r="M1249" s="86"/>
      <c r="N1249" s="86"/>
      <c r="O1249" s="86"/>
      <c r="P1249" s="86"/>
      <c r="Q1249" s="85"/>
      <c r="S1249" s="85"/>
      <c r="T1249" s="85"/>
      <c r="U1249" s="85"/>
      <c r="V1249" s="85"/>
      <c r="W1249" s="85"/>
      <c r="X1249" s="85"/>
    </row>
    <row r="1250" spans="2:24" s="58" customFormat="1" ht="12" x14ac:dyDescent="0.2">
      <c r="B1250" s="91"/>
      <c r="E1250" s="92"/>
      <c r="F1250" s="93"/>
      <c r="G1250" s="94"/>
      <c r="H1250" s="94"/>
      <c r="I1250" s="94"/>
      <c r="J1250" s="94"/>
      <c r="K1250" s="93"/>
      <c r="L1250" s="86"/>
      <c r="M1250" s="86"/>
      <c r="N1250" s="86"/>
      <c r="O1250" s="86"/>
      <c r="P1250" s="86"/>
      <c r="Q1250" s="85"/>
      <c r="S1250" s="85"/>
      <c r="T1250" s="85"/>
      <c r="U1250" s="85"/>
      <c r="V1250" s="85"/>
      <c r="W1250" s="85"/>
      <c r="X1250" s="85"/>
    </row>
    <row r="1251" spans="2:24" s="58" customFormat="1" ht="12" x14ac:dyDescent="0.2">
      <c r="B1251" s="91"/>
      <c r="E1251" s="92"/>
      <c r="F1251" s="93"/>
      <c r="G1251" s="94"/>
      <c r="H1251" s="94"/>
      <c r="I1251" s="94"/>
      <c r="J1251" s="94"/>
      <c r="K1251" s="93"/>
      <c r="L1251" s="86"/>
      <c r="M1251" s="86"/>
      <c r="N1251" s="86"/>
      <c r="O1251" s="86"/>
      <c r="P1251" s="86"/>
      <c r="Q1251" s="85"/>
      <c r="S1251" s="85"/>
      <c r="T1251" s="85"/>
      <c r="U1251" s="85"/>
      <c r="V1251" s="85"/>
      <c r="W1251" s="85"/>
      <c r="X1251" s="85"/>
    </row>
    <row r="1252" spans="2:24" s="58" customFormat="1" ht="12" x14ac:dyDescent="0.2">
      <c r="B1252" s="91"/>
      <c r="E1252" s="92"/>
      <c r="F1252" s="93"/>
      <c r="G1252" s="94"/>
      <c r="H1252" s="94"/>
      <c r="I1252" s="94"/>
      <c r="J1252" s="94"/>
      <c r="K1252" s="93"/>
      <c r="L1252" s="86"/>
      <c r="M1252" s="86"/>
      <c r="N1252" s="86"/>
      <c r="O1252" s="86"/>
      <c r="P1252" s="86"/>
      <c r="Q1252" s="85"/>
      <c r="S1252" s="85"/>
      <c r="T1252" s="85"/>
      <c r="U1252" s="85"/>
      <c r="V1252" s="85"/>
      <c r="W1252" s="85"/>
      <c r="X1252" s="85"/>
    </row>
    <row r="1253" spans="2:24" s="58" customFormat="1" ht="12" x14ac:dyDescent="0.2">
      <c r="B1253" s="91"/>
      <c r="E1253" s="92"/>
      <c r="F1253" s="93"/>
      <c r="G1253" s="94"/>
      <c r="H1253" s="94"/>
      <c r="I1253" s="94"/>
      <c r="J1253" s="94"/>
      <c r="K1253" s="93"/>
      <c r="L1253" s="86"/>
      <c r="M1253" s="86"/>
      <c r="N1253" s="86"/>
      <c r="O1253" s="86"/>
      <c r="P1253" s="86"/>
      <c r="Q1253" s="85"/>
      <c r="S1253" s="85"/>
      <c r="T1253" s="85"/>
      <c r="U1253" s="85"/>
      <c r="V1253" s="85"/>
      <c r="W1253" s="85"/>
      <c r="X1253" s="85"/>
    </row>
    <row r="1254" spans="2:24" s="58" customFormat="1" ht="12" x14ac:dyDescent="0.2">
      <c r="B1254" s="91"/>
      <c r="E1254" s="92"/>
      <c r="F1254" s="93"/>
      <c r="G1254" s="94"/>
      <c r="H1254" s="94"/>
      <c r="I1254" s="94"/>
      <c r="J1254" s="94"/>
      <c r="K1254" s="93"/>
      <c r="L1254" s="86"/>
      <c r="M1254" s="86"/>
      <c r="N1254" s="86"/>
      <c r="O1254" s="86"/>
      <c r="P1254" s="86"/>
      <c r="Q1254" s="85"/>
      <c r="S1254" s="85"/>
      <c r="T1254" s="85"/>
      <c r="U1254" s="85"/>
      <c r="V1254" s="85"/>
      <c r="W1254" s="85"/>
      <c r="X1254" s="85"/>
    </row>
    <row r="1255" spans="2:24" s="58" customFormat="1" ht="12" x14ac:dyDescent="0.2">
      <c r="B1255" s="91"/>
      <c r="E1255" s="92"/>
      <c r="F1255" s="93"/>
      <c r="G1255" s="94"/>
      <c r="H1255" s="94"/>
      <c r="I1255" s="94"/>
      <c r="J1255" s="94"/>
      <c r="K1255" s="93"/>
      <c r="L1255" s="86"/>
      <c r="M1255" s="86"/>
      <c r="N1255" s="86"/>
      <c r="O1255" s="86"/>
      <c r="P1255" s="86"/>
      <c r="Q1255" s="85"/>
      <c r="S1255" s="85"/>
      <c r="T1255" s="85"/>
      <c r="U1255" s="85"/>
      <c r="V1255" s="85"/>
      <c r="W1255" s="85"/>
      <c r="X1255" s="85"/>
    </row>
    <row r="1256" spans="2:24" s="58" customFormat="1" ht="12" x14ac:dyDescent="0.2">
      <c r="B1256" s="91"/>
      <c r="E1256" s="92"/>
      <c r="F1256" s="93"/>
      <c r="G1256" s="94"/>
      <c r="H1256" s="94"/>
      <c r="I1256" s="94"/>
      <c r="J1256" s="94"/>
      <c r="K1256" s="93"/>
      <c r="L1256" s="86"/>
      <c r="M1256" s="86"/>
      <c r="N1256" s="86"/>
      <c r="O1256" s="86"/>
      <c r="P1256" s="86"/>
      <c r="Q1256" s="85"/>
      <c r="S1256" s="85"/>
      <c r="T1256" s="85"/>
      <c r="U1256" s="85"/>
      <c r="V1256" s="85"/>
      <c r="W1256" s="85"/>
      <c r="X1256" s="85"/>
    </row>
    <row r="1257" spans="2:24" s="58" customFormat="1" ht="12" x14ac:dyDescent="0.2">
      <c r="B1257" s="91"/>
      <c r="E1257" s="92"/>
      <c r="F1257" s="93"/>
      <c r="G1257" s="94"/>
      <c r="H1257" s="94"/>
      <c r="I1257" s="94"/>
      <c r="J1257" s="94"/>
      <c r="K1257" s="93"/>
      <c r="L1257" s="86"/>
      <c r="M1257" s="86"/>
      <c r="N1257" s="86"/>
      <c r="O1257" s="86"/>
      <c r="P1257" s="86"/>
      <c r="Q1257" s="85"/>
      <c r="S1257" s="85"/>
      <c r="T1257" s="85"/>
      <c r="U1257" s="85"/>
      <c r="V1257" s="85"/>
      <c r="W1257" s="85"/>
      <c r="X1257" s="85"/>
    </row>
    <row r="1258" spans="2:24" s="58" customFormat="1" ht="12" x14ac:dyDescent="0.2">
      <c r="B1258" s="91"/>
      <c r="E1258" s="92"/>
      <c r="F1258" s="93"/>
      <c r="G1258" s="94"/>
      <c r="H1258" s="94"/>
      <c r="I1258" s="94"/>
      <c r="J1258" s="94"/>
      <c r="K1258" s="93"/>
      <c r="L1258" s="86"/>
      <c r="M1258" s="86"/>
      <c r="N1258" s="86"/>
      <c r="O1258" s="86"/>
      <c r="P1258" s="86"/>
      <c r="Q1258" s="85"/>
      <c r="S1258" s="85"/>
      <c r="T1258" s="85"/>
      <c r="U1258" s="85"/>
      <c r="V1258" s="85"/>
      <c r="W1258" s="85"/>
      <c r="X1258" s="85"/>
    </row>
    <row r="1259" spans="2:24" s="58" customFormat="1" ht="12" x14ac:dyDescent="0.2">
      <c r="B1259" s="91"/>
      <c r="E1259" s="92"/>
      <c r="F1259" s="93"/>
      <c r="G1259" s="94"/>
      <c r="H1259" s="94"/>
      <c r="I1259" s="94"/>
      <c r="J1259" s="94"/>
      <c r="K1259" s="93"/>
      <c r="L1259" s="86"/>
      <c r="M1259" s="86"/>
      <c r="N1259" s="86"/>
      <c r="O1259" s="86"/>
      <c r="P1259" s="86"/>
      <c r="Q1259" s="85"/>
      <c r="S1259" s="85"/>
      <c r="T1259" s="85"/>
      <c r="U1259" s="85"/>
      <c r="V1259" s="85"/>
      <c r="W1259" s="85"/>
      <c r="X1259" s="85"/>
    </row>
    <row r="1260" spans="2:24" s="58" customFormat="1" ht="12" x14ac:dyDescent="0.2">
      <c r="B1260" s="91"/>
      <c r="E1260" s="92"/>
      <c r="F1260" s="93"/>
      <c r="G1260" s="94"/>
      <c r="H1260" s="94"/>
      <c r="I1260" s="94"/>
      <c r="J1260" s="94"/>
      <c r="K1260" s="93"/>
      <c r="L1260" s="86"/>
      <c r="M1260" s="86"/>
      <c r="N1260" s="86"/>
      <c r="O1260" s="86"/>
      <c r="P1260" s="86"/>
      <c r="Q1260" s="85"/>
      <c r="S1260" s="85"/>
      <c r="T1260" s="85"/>
      <c r="U1260" s="85"/>
      <c r="V1260" s="85"/>
      <c r="W1260" s="85"/>
      <c r="X1260" s="85"/>
    </row>
    <row r="1261" spans="2:24" s="58" customFormat="1" ht="12" x14ac:dyDescent="0.2">
      <c r="B1261" s="91"/>
      <c r="E1261" s="92"/>
      <c r="F1261" s="93"/>
      <c r="G1261" s="94"/>
      <c r="H1261" s="94"/>
      <c r="I1261" s="94"/>
      <c r="J1261" s="94"/>
      <c r="K1261" s="93"/>
      <c r="L1261" s="86"/>
      <c r="M1261" s="86"/>
      <c r="N1261" s="86"/>
      <c r="O1261" s="86"/>
      <c r="P1261" s="86"/>
      <c r="Q1261" s="85"/>
      <c r="S1261" s="85"/>
      <c r="T1261" s="85"/>
      <c r="U1261" s="85"/>
      <c r="V1261" s="85"/>
      <c r="W1261" s="85"/>
      <c r="X1261" s="85"/>
    </row>
    <row r="1262" spans="2:24" s="58" customFormat="1" ht="12" x14ac:dyDescent="0.2">
      <c r="B1262" s="91"/>
      <c r="E1262" s="92"/>
      <c r="F1262" s="93"/>
      <c r="G1262" s="94"/>
      <c r="H1262" s="94"/>
      <c r="I1262" s="94"/>
      <c r="J1262" s="94"/>
      <c r="K1262" s="93"/>
      <c r="L1262" s="86"/>
      <c r="M1262" s="86"/>
      <c r="N1262" s="86"/>
      <c r="O1262" s="86"/>
      <c r="P1262" s="86"/>
      <c r="Q1262" s="85"/>
      <c r="S1262" s="85"/>
      <c r="T1262" s="85"/>
      <c r="U1262" s="85"/>
      <c r="V1262" s="85"/>
      <c r="W1262" s="85"/>
      <c r="X1262" s="85"/>
    </row>
    <row r="1263" spans="2:24" s="58" customFormat="1" ht="12" x14ac:dyDescent="0.2">
      <c r="B1263" s="91"/>
      <c r="E1263" s="92"/>
      <c r="F1263" s="93"/>
      <c r="G1263" s="94"/>
      <c r="H1263" s="94"/>
      <c r="I1263" s="94"/>
      <c r="J1263" s="94"/>
      <c r="K1263" s="93"/>
      <c r="L1263" s="86"/>
      <c r="M1263" s="86"/>
      <c r="N1263" s="86"/>
      <c r="O1263" s="86"/>
      <c r="P1263" s="86"/>
      <c r="Q1263" s="85"/>
      <c r="S1263" s="85"/>
      <c r="T1263" s="85"/>
      <c r="U1263" s="85"/>
      <c r="V1263" s="85"/>
      <c r="W1263" s="85"/>
      <c r="X1263" s="85"/>
    </row>
    <row r="1264" spans="2:24" s="58" customFormat="1" ht="12" x14ac:dyDescent="0.2">
      <c r="B1264" s="91"/>
      <c r="E1264" s="92"/>
      <c r="F1264" s="93"/>
      <c r="G1264" s="94"/>
      <c r="H1264" s="94"/>
      <c r="I1264" s="94"/>
      <c r="J1264" s="94"/>
      <c r="K1264" s="93"/>
      <c r="L1264" s="86"/>
      <c r="M1264" s="86"/>
      <c r="N1264" s="86"/>
      <c r="O1264" s="86"/>
      <c r="P1264" s="86"/>
      <c r="Q1264" s="85"/>
      <c r="S1264" s="85"/>
      <c r="T1264" s="85"/>
      <c r="U1264" s="85"/>
      <c r="V1264" s="85"/>
      <c r="W1264" s="85"/>
      <c r="X1264" s="85"/>
    </row>
    <row r="1265" spans="2:24" s="58" customFormat="1" ht="12" x14ac:dyDescent="0.2">
      <c r="B1265" s="91"/>
      <c r="E1265" s="92"/>
      <c r="F1265" s="93"/>
      <c r="G1265" s="94"/>
      <c r="H1265" s="94"/>
      <c r="I1265" s="94"/>
      <c r="J1265" s="94"/>
      <c r="K1265" s="93"/>
      <c r="L1265" s="86"/>
      <c r="M1265" s="86"/>
      <c r="N1265" s="86"/>
      <c r="O1265" s="86"/>
      <c r="P1265" s="86"/>
      <c r="Q1265" s="85"/>
      <c r="S1265" s="85"/>
      <c r="T1265" s="85"/>
      <c r="U1265" s="85"/>
      <c r="V1265" s="85"/>
      <c r="W1265" s="85"/>
      <c r="X1265" s="85"/>
    </row>
    <row r="1266" spans="2:24" s="58" customFormat="1" ht="12" x14ac:dyDescent="0.2">
      <c r="B1266" s="91"/>
      <c r="E1266" s="92"/>
      <c r="F1266" s="93"/>
      <c r="G1266" s="94"/>
      <c r="H1266" s="94"/>
      <c r="I1266" s="94"/>
      <c r="J1266" s="94"/>
      <c r="K1266" s="93"/>
      <c r="L1266" s="86"/>
      <c r="M1266" s="86"/>
      <c r="N1266" s="86"/>
      <c r="O1266" s="86"/>
      <c r="P1266" s="86"/>
      <c r="Q1266" s="85"/>
      <c r="S1266" s="85"/>
      <c r="T1266" s="85"/>
      <c r="U1266" s="85"/>
      <c r="V1266" s="85"/>
      <c r="W1266" s="85"/>
      <c r="X1266" s="85"/>
    </row>
    <row r="1267" spans="2:24" s="58" customFormat="1" ht="12" x14ac:dyDescent="0.2">
      <c r="B1267" s="91"/>
      <c r="E1267" s="92"/>
      <c r="F1267" s="93"/>
      <c r="G1267" s="94"/>
      <c r="H1267" s="94"/>
      <c r="I1267" s="94"/>
      <c r="J1267" s="94"/>
      <c r="K1267" s="93"/>
      <c r="L1267" s="86"/>
      <c r="M1267" s="86"/>
      <c r="N1267" s="86"/>
      <c r="O1267" s="86"/>
      <c r="P1267" s="86"/>
      <c r="Q1267" s="85"/>
      <c r="S1267" s="85"/>
      <c r="T1267" s="85"/>
      <c r="U1267" s="85"/>
      <c r="V1267" s="85"/>
      <c r="W1267" s="85"/>
      <c r="X1267" s="85"/>
    </row>
    <row r="1268" spans="2:24" s="58" customFormat="1" ht="12" x14ac:dyDescent="0.2">
      <c r="B1268" s="91"/>
      <c r="E1268" s="92"/>
      <c r="F1268" s="93"/>
      <c r="G1268" s="94"/>
      <c r="H1268" s="94"/>
      <c r="I1268" s="94"/>
      <c r="J1268" s="94"/>
      <c r="K1268" s="93"/>
      <c r="L1268" s="86"/>
      <c r="M1268" s="86"/>
      <c r="N1268" s="86"/>
      <c r="O1268" s="86"/>
      <c r="P1268" s="86"/>
      <c r="Q1268" s="85"/>
      <c r="S1268" s="85"/>
      <c r="T1268" s="85"/>
      <c r="U1268" s="85"/>
      <c r="V1268" s="85"/>
      <c r="W1268" s="85"/>
      <c r="X1268" s="85"/>
    </row>
    <row r="1269" spans="2:24" s="58" customFormat="1" ht="12" x14ac:dyDescent="0.2">
      <c r="B1269" s="91"/>
      <c r="E1269" s="92"/>
      <c r="F1269" s="93"/>
      <c r="G1269" s="94"/>
      <c r="H1269" s="94"/>
      <c r="I1269" s="94"/>
      <c r="J1269" s="94"/>
      <c r="K1269" s="93"/>
      <c r="L1269" s="86"/>
      <c r="M1269" s="86"/>
      <c r="N1269" s="86"/>
      <c r="O1269" s="86"/>
      <c r="P1269" s="86"/>
      <c r="Q1269" s="85"/>
      <c r="S1269" s="85"/>
      <c r="T1269" s="85"/>
      <c r="U1269" s="85"/>
      <c r="V1269" s="85"/>
      <c r="W1269" s="85"/>
      <c r="X1269" s="85"/>
    </row>
    <row r="1270" spans="2:24" s="58" customFormat="1" ht="12" x14ac:dyDescent="0.2">
      <c r="B1270" s="91"/>
      <c r="E1270" s="92"/>
      <c r="F1270" s="93"/>
      <c r="G1270" s="94"/>
      <c r="H1270" s="94"/>
      <c r="I1270" s="94"/>
      <c r="J1270" s="94"/>
      <c r="K1270" s="93"/>
      <c r="L1270" s="86"/>
      <c r="M1270" s="86"/>
      <c r="N1270" s="86"/>
      <c r="O1270" s="86"/>
      <c r="P1270" s="86"/>
      <c r="Q1270" s="85"/>
      <c r="S1270" s="85"/>
      <c r="T1270" s="85"/>
      <c r="U1270" s="85"/>
      <c r="V1270" s="85"/>
      <c r="W1270" s="85"/>
      <c r="X1270" s="85"/>
    </row>
    <row r="1271" spans="2:24" s="58" customFormat="1" ht="12" x14ac:dyDescent="0.2">
      <c r="B1271" s="91"/>
      <c r="E1271" s="92"/>
      <c r="F1271" s="93"/>
      <c r="G1271" s="94"/>
      <c r="H1271" s="94"/>
      <c r="I1271" s="94"/>
      <c r="J1271" s="94"/>
      <c r="K1271" s="93"/>
      <c r="L1271" s="86"/>
      <c r="M1271" s="86"/>
      <c r="N1271" s="86"/>
      <c r="O1271" s="86"/>
      <c r="P1271" s="86"/>
      <c r="Q1271" s="85"/>
      <c r="S1271" s="85"/>
      <c r="T1271" s="85"/>
      <c r="U1271" s="85"/>
      <c r="V1271" s="85"/>
      <c r="W1271" s="85"/>
      <c r="X1271" s="85"/>
    </row>
    <row r="1272" spans="2:24" s="58" customFormat="1" ht="12" x14ac:dyDescent="0.2">
      <c r="B1272" s="91"/>
      <c r="E1272" s="92"/>
      <c r="F1272" s="93"/>
      <c r="G1272" s="94"/>
      <c r="H1272" s="94"/>
      <c r="I1272" s="94"/>
      <c r="J1272" s="94"/>
      <c r="K1272" s="93"/>
      <c r="L1272" s="86"/>
      <c r="M1272" s="86"/>
      <c r="N1272" s="86"/>
      <c r="O1272" s="86"/>
      <c r="P1272" s="86"/>
      <c r="Q1272" s="85"/>
      <c r="S1272" s="85"/>
      <c r="T1272" s="85"/>
      <c r="U1272" s="85"/>
      <c r="V1272" s="85"/>
      <c r="W1272" s="85"/>
      <c r="X1272" s="85"/>
    </row>
    <row r="1273" spans="2:24" s="58" customFormat="1" ht="12" x14ac:dyDescent="0.2">
      <c r="B1273" s="91"/>
      <c r="E1273" s="92"/>
      <c r="F1273" s="93"/>
      <c r="G1273" s="94"/>
      <c r="H1273" s="94"/>
      <c r="I1273" s="94"/>
      <c r="J1273" s="94"/>
      <c r="K1273" s="93"/>
      <c r="L1273" s="86"/>
      <c r="M1273" s="86"/>
      <c r="N1273" s="86"/>
      <c r="O1273" s="86"/>
      <c r="P1273" s="86"/>
      <c r="Q1273" s="85"/>
      <c r="S1273" s="85"/>
      <c r="T1273" s="85"/>
      <c r="U1273" s="85"/>
      <c r="V1273" s="85"/>
      <c r="W1273" s="85"/>
      <c r="X1273" s="85"/>
    </row>
    <row r="1274" spans="2:24" s="58" customFormat="1" ht="12" x14ac:dyDescent="0.2">
      <c r="B1274" s="91"/>
      <c r="E1274" s="92"/>
      <c r="F1274" s="93"/>
      <c r="G1274" s="94"/>
      <c r="H1274" s="94"/>
      <c r="I1274" s="94"/>
      <c r="J1274" s="94"/>
      <c r="K1274" s="93"/>
      <c r="L1274" s="86"/>
      <c r="M1274" s="86"/>
      <c r="N1274" s="86"/>
      <c r="O1274" s="86"/>
      <c r="P1274" s="86"/>
      <c r="Q1274" s="85"/>
      <c r="S1274" s="85"/>
      <c r="T1274" s="85"/>
      <c r="U1274" s="85"/>
      <c r="V1274" s="85"/>
      <c r="W1274" s="85"/>
      <c r="X1274" s="85"/>
    </row>
    <row r="1275" spans="2:24" s="58" customFormat="1" ht="12" x14ac:dyDescent="0.2">
      <c r="B1275" s="91"/>
      <c r="E1275" s="92"/>
      <c r="F1275" s="93"/>
      <c r="G1275" s="94"/>
      <c r="H1275" s="94"/>
      <c r="I1275" s="94"/>
      <c r="J1275" s="94"/>
      <c r="K1275" s="93"/>
      <c r="L1275" s="86"/>
      <c r="M1275" s="86"/>
      <c r="N1275" s="86"/>
      <c r="O1275" s="86"/>
      <c r="P1275" s="86"/>
      <c r="Q1275" s="85"/>
      <c r="S1275" s="85"/>
      <c r="T1275" s="85"/>
      <c r="U1275" s="85"/>
      <c r="V1275" s="85"/>
      <c r="W1275" s="85"/>
      <c r="X1275" s="85"/>
    </row>
    <row r="1276" spans="2:24" s="58" customFormat="1" ht="12" x14ac:dyDescent="0.2">
      <c r="B1276" s="91"/>
      <c r="E1276" s="92"/>
      <c r="F1276" s="93"/>
      <c r="G1276" s="94"/>
      <c r="H1276" s="94"/>
      <c r="I1276" s="94"/>
      <c r="J1276" s="94"/>
      <c r="K1276" s="93"/>
      <c r="L1276" s="86"/>
      <c r="M1276" s="86"/>
      <c r="N1276" s="86"/>
      <c r="O1276" s="86"/>
      <c r="P1276" s="86"/>
      <c r="Q1276" s="85"/>
      <c r="S1276" s="85"/>
      <c r="T1276" s="85"/>
      <c r="U1276" s="85"/>
      <c r="V1276" s="85"/>
      <c r="W1276" s="85"/>
      <c r="X1276" s="85"/>
    </row>
    <row r="1277" spans="2:24" s="58" customFormat="1" ht="12" x14ac:dyDescent="0.2">
      <c r="B1277" s="91"/>
      <c r="E1277" s="92"/>
      <c r="F1277" s="93"/>
      <c r="G1277" s="94"/>
      <c r="H1277" s="94"/>
      <c r="I1277" s="94"/>
      <c r="J1277" s="94"/>
      <c r="K1277" s="93"/>
      <c r="L1277" s="86"/>
      <c r="M1277" s="86"/>
      <c r="N1277" s="86"/>
      <c r="O1277" s="86"/>
      <c r="P1277" s="86"/>
      <c r="Q1277" s="85"/>
      <c r="S1277" s="85"/>
      <c r="T1277" s="85"/>
      <c r="U1277" s="85"/>
      <c r="V1277" s="85"/>
      <c r="W1277" s="85"/>
      <c r="X1277" s="85"/>
    </row>
    <row r="1278" spans="2:24" s="58" customFormat="1" ht="12" x14ac:dyDescent="0.2">
      <c r="B1278" s="91"/>
      <c r="E1278" s="92"/>
      <c r="F1278" s="93"/>
      <c r="G1278" s="94"/>
      <c r="H1278" s="94"/>
      <c r="I1278" s="94"/>
      <c r="J1278" s="94"/>
      <c r="K1278" s="93"/>
      <c r="L1278" s="86"/>
      <c r="M1278" s="86"/>
      <c r="N1278" s="86"/>
      <c r="O1278" s="86"/>
      <c r="P1278" s="86"/>
      <c r="Q1278" s="85"/>
      <c r="S1278" s="85"/>
      <c r="T1278" s="85"/>
      <c r="U1278" s="85"/>
      <c r="V1278" s="85"/>
      <c r="W1278" s="85"/>
      <c r="X1278" s="85"/>
    </row>
    <row r="1279" spans="2:24" s="58" customFormat="1" ht="12" x14ac:dyDescent="0.2">
      <c r="B1279" s="91"/>
      <c r="E1279" s="92"/>
      <c r="F1279" s="93"/>
      <c r="G1279" s="94"/>
      <c r="H1279" s="94"/>
      <c r="I1279" s="94"/>
      <c r="J1279" s="94"/>
      <c r="K1279" s="93"/>
      <c r="L1279" s="86"/>
      <c r="M1279" s="86"/>
      <c r="N1279" s="86"/>
      <c r="O1279" s="86"/>
      <c r="P1279" s="86"/>
      <c r="Q1279" s="85"/>
      <c r="S1279" s="85"/>
      <c r="T1279" s="85"/>
      <c r="U1279" s="85"/>
      <c r="V1279" s="85"/>
      <c r="W1279" s="85"/>
      <c r="X1279" s="85"/>
    </row>
    <row r="1280" spans="2:24" s="58" customFormat="1" ht="12" x14ac:dyDescent="0.2">
      <c r="B1280" s="91"/>
      <c r="E1280" s="92"/>
      <c r="F1280" s="93"/>
      <c r="G1280" s="94"/>
      <c r="H1280" s="94"/>
      <c r="I1280" s="94"/>
      <c r="J1280" s="94"/>
      <c r="K1280" s="93"/>
      <c r="L1280" s="86"/>
      <c r="M1280" s="86"/>
      <c r="N1280" s="86"/>
      <c r="O1280" s="86"/>
      <c r="P1280" s="86"/>
      <c r="Q1280" s="85"/>
      <c r="S1280" s="85"/>
      <c r="T1280" s="85"/>
      <c r="U1280" s="85"/>
      <c r="V1280" s="85"/>
      <c r="W1280" s="85"/>
      <c r="X1280" s="85"/>
    </row>
    <row r="1281" spans="2:24" s="58" customFormat="1" ht="12" x14ac:dyDescent="0.2">
      <c r="B1281" s="91"/>
      <c r="E1281" s="92"/>
      <c r="F1281" s="93"/>
      <c r="G1281" s="94"/>
      <c r="H1281" s="94"/>
      <c r="I1281" s="94"/>
      <c r="J1281" s="94"/>
      <c r="K1281" s="93"/>
      <c r="L1281" s="86"/>
      <c r="M1281" s="86"/>
      <c r="N1281" s="86"/>
      <c r="O1281" s="86"/>
      <c r="P1281" s="86"/>
      <c r="Q1281" s="85"/>
      <c r="S1281" s="85"/>
      <c r="T1281" s="85"/>
      <c r="U1281" s="85"/>
      <c r="V1281" s="85"/>
      <c r="W1281" s="85"/>
      <c r="X1281" s="85"/>
    </row>
    <row r="1282" spans="2:24" s="58" customFormat="1" ht="12" x14ac:dyDescent="0.2">
      <c r="B1282" s="91"/>
      <c r="E1282" s="92"/>
      <c r="F1282" s="93"/>
      <c r="G1282" s="94"/>
      <c r="H1282" s="94"/>
      <c r="I1282" s="94"/>
      <c r="J1282" s="94"/>
      <c r="K1282" s="93"/>
      <c r="L1282" s="86"/>
      <c r="M1282" s="86"/>
      <c r="N1282" s="86"/>
      <c r="O1282" s="86"/>
      <c r="P1282" s="86"/>
      <c r="Q1282" s="85"/>
      <c r="S1282" s="85"/>
      <c r="T1282" s="85"/>
      <c r="U1282" s="85"/>
      <c r="V1282" s="85"/>
      <c r="W1282" s="85"/>
      <c r="X1282" s="85"/>
    </row>
    <row r="1283" spans="2:24" s="58" customFormat="1" ht="12" x14ac:dyDescent="0.2">
      <c r="B1283" s="91"/>
      <c r="E1283" s="92"/>
      <c r="F1283" s="93"/>
      <c r="G1283" s="94"/>
      <c r="H1283" s="94"/>
      <c r="I1283" s="94"/>
      <c r="J1283" s="94"/>
      <c r="K1283" s="93"/>
      <c r="L1283" s="86"/>
      <c r="M1283" s="86"/>
      <c r="N1283" s="86"/>
      <c r="O1283" s="86"/>
      <c r="P1283" s="86"/>
      <c r="Q1283" s="85"/>
      <c r="S1283" s="85"/>
      <c r="T1283" s="85"/>
      <c r="U1283" s="85"/>
      <c r="V1283" s="85"/>
      <c r="W1283" s="85"/>
      <c r="X1283" s="85"/>
    </row>
    <row r="1284" spans="2:24" s="58" customFormat="1" ht="12" x14ac:dyDescent="0.2">
      <c r="B1284" s="91"/>
      <c r="E1284" s="92"/>
      <c r="F1284" s="93"/>
      <c r="G1284" s="94"/>
      <c r="H1284" s="94"/>
      <c r="I1284" s="94"/>
      <c r="J1284" s="94"/>
      <c r="K1284" s="93"/>
      <c r="L1284" s="86"/>
      <c r="M1284" s="86"/>
      <c r="N1284" s="86"/>
      <c r="O1284" s="86"/>
      <c r="P1284" s="86"/>
      <c r="Q1284" s="85"/>
      <c r="S1284" s="85"/>
      <c r="T1284" s="85"/>
      <c r="U1284" s="85"/>
      <c r="V1284" s="85"/>
      <c r="W1284" s="85"/>
      <c r="X1284" s="85"/>
    </row>
    <row r="1285" spans="2:24" s="58" customFormat="1" ht="12" x14ac:dyDescent="0.2">
      <c r="B1285" s="91"/>
      <c r="E1285" s="92"/>
      <c r="F1285" s="93"/>
      <c r="G1285" s="94"/>
      <c r="H1285" s="94"/>
      <c r="I1285" s="94"/>
      <c r="J1285" s="94"/>
      <c r="K1285" s="93"/>
      <c r="L1285" s="86"/>
      <c r="M1285" s="86"/>
      <c r="N1285" s="86"/>
      <c r="O1285" s="86"/>
      <c r="P1285" s="86"/>
      <c r="Q1285" s="85"/>
      <c r="S1285" s="85"/>
      <c r="T1285" s="85"/>
      <c r="U1285" s="85"/>
      <c r="V1285" s="85"/>
      <c r="W1285" s="85"/>
      <c r="X1285" s="85"/>
    </row>
    <row r="1286" spans="2:24" s="58" customFormat="1" ht="12" x14ac:dyDescent="0.2">
      <c r="B1286" s="91"/>
      <c r="E1286" s="92"/>
      <c r="F1286" s="93"/>
      <c r="G1286" s="94"/>
      <c r="H1286" s="94"/>
      <c r="I1286" s="94"/>
      <c r="J1286" s="94"/>
      <c r="K1286" s="93"/>
      <c r="L1286" s="86"/>
      <c r="M1286" s="86"/>
      <c r="N1286" s="86"/>
      <c r="O1286" s="86"/>
      <c r="P1286" s="86"/>
      <c r="Q1286" s="85"/>
      <c r="S1286" s="85"/>
      <c r="T1286" s="85"/>
      <c r="U1286" s="85"/>
      <c r="V1286" s="85"/>
      <c r="W1286" s="85"/>
      <c r="X1286" s="85"/>
    </row>
    <row r="1287" spans="2:24" s="58" customFormat="1" ht="12" x14ac:dyDescent="0.2">
      <c r="B1287" s="91"/>
      <c r="E1287" s="92"/>
      <c r="F1287" s="93"/>
      <c r="G1287" s="94"/>
      <c r="H1287" s="94"/>
      <c r="I1287" s="94"/>
      <c r="J1287" s="94"/>
      <c r="K1287" s="93"/>
      <c r="L1287" s="86"/>
      <c r="M1287" s="86"/>
      <c r="N1287" s="86"/>
      <c r="O1287" s="86"/>
      <c r="P1287" s="86"/>
      <c r="Q1287" s="85"/>
      <c r="S1287" s="85"/>
      <c r="T1287" s="85"/>
      <c r="U1287" s="85"/>
      <c r="V1287" s="85"/>
      <c r="W1287" s="85"/>
      <c r="X1287" s="85"/>
    </row>
    <row r="1288" spans="2:24" s="58" customFormat="1" ht="12" x14ac:dyDescent="0.2">
      <c r="B1288" s="91"/>
      <c r="E1288" s="92"/>
      <c r="F1288" s="93"/>
      <c r="G1288" s="94"/>
      <c r="H1288" s="94"/>
      <c r="I1288" s="94"/>
      <c r="J1288" s="94"/>
      <c r="K1288" s="93"/>
      <c r="L1288" s="86"/>
      <c r="M1288" s="86"/>
      <c r="N1288" s="86"/>
      <c r="O1288" s="86"/>
      <c r="P1288" s="86"/>
      <c r="Q1288" s="85"/>
      <c r="S1288" s="85"/>
      <c r="T1288" s="85"/>
      <c r="U1288" s="85"/>
      <c r="V1288" s="85"/>
      <c r="W1288" s="85"/>
      <c r="X1288" s="85"/>
    </row>
    <row r="1289" spans="2:24" s="58" customFormat="1" ht="12" x14ac:dyDescent="0.2">
      <c r="B1289" s="91"/>
      <c r="E1289" s="92"/>
      <c r="F1289" s="93"/>
      <c r="G1289" s="94"/>
      <c r="H1289" s="94"/>
      <c r="I1289" s="94"/>
      <c r="J1289" s="94"/>
      <c r="K1289" s="93"/>
      <c r="L1289" s="86"/>
      <c r="M1289" s="86"/>
      <c r="N1289" s="86"/>
      <c r="O1289" s="86"/>
      <c r="P1289" s="86"/>
      <c r="Q1289" s="85"/>
      <c r="S1289" s="85"/>
      <c r="T1289" s="85"/>
      <c r="U1289" s="85"/>
      <c r="V1289" s="85"/>
      <c r="W1289" s="85"/>
      <c r="X1289" s="85"/>
    </row>
    <row r="1290" spans="2:24" s="58" customFormat="1" ht="12" x14ac:dyDescent="0.2">
      <c r="B1290" s="91"/>
      <c r="E1290" s="92"/>
      <c r="F1290" s="93"/>
      <c r="G1290" s="94"/>
      <c r="H1290" s="94"/>
      <c r="I1290" s="94"/>
      <c r="J1290" s="94"/>
      <c r="K1290" s="93"/>
      <c r="L1290" s="86"/>
      <c r="M1290" s="86"/>
      <c r="N1290" s="86"/>
      <c r="O1290" s="86"/>
      <c r="P1290" s="86"/>
      <c r="Q1290" s="85"/>
      <c r="S1290" s="85"/>
      <c r="T1290" s="85"/>
      <c r="U1290" s="85"/>
      <c r="V1290" s="85"/>
      <c r="W1290" s="85"/>
      <c r="X1290" s="85"/>
    </row>
    <row r="1291" spans="2:24" s="58" customFormat="1" ht="12" x14ac:dyDescent="0.2">
      <c r="B1291" s="91"/>
      <c r="E1291" s="92"/>
      <c r="F1291" s="93"/>
      <c r="G1291" s="94"/>
      <c r="H1291" s="94"/>
      <c r="I1291" s="94"/>
      <c r="J1291" s="94"/>
      <c r="K1291" s="93"/>
      <c r="L1291" s="86"/>
      <c r="M1291" s="86"/>
      <c r="N1291" s="86"/>
      <c r="O1291" s="86"/>
      <c r="P1291" s="86"/>
      <c r="Q1291" s="85"/>
      <c r="S1291" s="85"/>
      <c r="T1291" s="85"/>
      <c r="U1291" s="85"/>
      <c r="V1291" s="85"/>
      <c r="W1291" s="85"/>
      <c r="X1291" s="85"/>
    </row>
    <row r="1292" spans="2:24" s="58" customFormat="1" ht="12" x14ac:dyDescent="0.2">
      <c r="B1292" s="91"/>
      <c r="E1292" s="92"/>
      <c r="F1292" s="93"/>
      <c r="G1292" s="94"/>
      <c r="H1292" s="94"/>
      <c r="I1292" s="94"/>
      <c r="J1292" s="94"/>
      <c r="K1292" s="93"/>
      <c r="L1292" s="86"/>
      <c r="M1292" s="86"/>
      <c r="N1292" s="86"/>
      <c r="O1292" s="86"/>
      <c r="P1292" s="86"/>
      <c r="Q1292" s="85"/>
      <c r="S1292" s="85"/>
      <c r="T1292" s="85"/>
      <c r="U1292" s="85"/>
      <c r="V1292" s="85"/>
      <c r="W1292" s="85"/>
      <c r="X1292" s="85"/>
    </row>
    <row r="1293" spans="2:24" s="58" customFormat="1" ht="12" x14ac:dyDescent="0.2">
      <c r="B1293" s="91"/>
      <c r="E1293" s="92"/>
      <c r="F1293" s="93"/>
      <c r="G1293" s="94"/>
      <c r="H1293" s="94"/>
      <c r="I1293" s="94"/>
      <c r="J1293" s="94"/>
      <c r="K1293" s="93"/>
      <c r="L1293" s="86"/>
      <c r="M1293" s="86"/>
      <c r="N1293" s="86"/>
      <c r="O1293" s="86"/>
      <c r="P1293" s="86"/>
      <c r="Q1293" s="85"/>
      <c r="S1293" s="85"/>
      <c r="T1293" s="85"/>
      <c r="U1293" s="85"/>
      <c r="V1293" s="85"/>
      <c r="W1293" s="85"/>
      <c r="X1293" s="85"/>
    </row>
    <row r="1294" spans="2:24" s="58" customFormat="1" ht="12" x14ac:dyDescent="0.2">
      <c r="B1294" s="91"/>
      <c r="E1294" s="92"/>
      <c r="F1294" s="93"/>
      <c r="G1294" s="94"/>
      <c r="H1294" s="94"/>
      <c r="I1294" s="94"/>
      <c r="J1294" s="94"/>
      <c r="K1294" s="93"/>
      <c r="L1294" s="86"/>
      <c r="M1294" s="86"/>
      <c r="N1294" s="86"/>
      <c r="O1294" s="86"/>
      <c r="P1294" s="86"/>
      <c r="Q1294" s="85"/>
      <c r="S1294" s="85"/>
      <c r="T1294" s="85"/>
      <c r="U1294" s="85"/>
      <c r="V1294" s="85"/>
      <c r="W1294" s="85"/>
      <c r="X1294" s="85"/>
    </row>
    <row r="1295" spans="2:24" s="58" customFormat="1" ht="12" x14ac:dyDescent="0.2">
      <c r="B1295" s="91"/>
      <c r="E1295" s="92"/>
      <c r="F1295" s="93"/>
      <c r="G1295" s="94"/>
      <c r="H1295" s="94"/>
      <c r="I1295" s="94"/>
      <c r="J1295" s="94"/>
      <c r="K1295" s="93"/>
      <c r="L1295" s="86"/>
      <c r="M1295" s="86"/>
      <c r="N1295" s="86"/>
      <c r="O1295" s="86"/>
      <c r="P1295" s="86"/>
      <c r="Q1295" s="85"/>
      <c r="S1295" s="85"/>
      <c r="T1295" s="85"/>
      <c r="U1295" s="85"/>
      <c r="V1295" s="85"/>
      <c r="W1295" s="85"/>
      <c r="X1295" s="85"/>
    </row>
    <row r="1296" spans="2:24" s="58" customFormat="1" ht="12" x14ac:dyDescent="0.2">
      <c r="B1296" s="91"/>
      <c r="E1296" s="92"/>
      <c r="F1296" s="93"/>
      <c r="G1296" s="94"/>
      <c r="H1296" s="94"/>
      <c r="I1296" s="94"/>
      <c r="J1296" s="94"/>
      <c r="K1296" s="93"/>
      <c r="L1296" s="86"/>
      <c r="M1296" s="86"/>
      <c r="N1296" s="86"/>
      <c r="O1296" s="86"/>
      <c r="P1296" s="86"/>
      <c r="Q1296" s="85"/>
      <c r="S1296" s="85"/>
      <c r="T1296" s="85"/>
      <c r="U1296" s="85"/>
      <c r="V1296" s="85"/>
      <c r="W1296" s="85"/>
      <c r="X1296" s="85"/>
    </row>
    <row r="1297" spans="2:24" s="58" customFormat="1" ht="12" x14ac:dyDescent="0.2">
      <c r="B1297" s="91"/>
      <c r="E1297" s="92"/>
      <c r="F1297" s="93"/>
      <c r="G1297" s="94"/>
      <c r="H1297" s="94"/>
      <c r="I1297" s="94"/>
      <c r="J1297" s="94"/>
      <c r="K1297" s="93"/>
      <c r="L1297" s="86"/>
      <c r="M1297" s="86"/>
      <c r="N1297" s="86"/>
      <c r="O1297" s="86"/>
      <c r="P1297" s="86"/>
      <c r="Q1297" s="85"/>
      <c r="S1297" s="85"/>
      <c r="T1297" s="85"/>
      <c r="U1297" s="85"/>
      <c r="V1297" s="85"/>
      <c r="W1297" s="85"/>
      <c r="X1297" s="85"/>
    </row>
    <row r="1298" spans="2:24" s="58" customFormat="1" ht="12" x14ac:dyDescent="0.2">
      <c r="B1298" s="91"/>
      <c r="E1298" s="92"/>
      <c r="F1298" s="93"/>
      <c r="G1298" s="94"/>
      <c r="H1298" s="94"/>
      <c r="I1298" s="94"/>
      <c r="J1298" s="94"/>
      <c r="K1298" s="93"/>
      <c r="L1298" s="86"/>
      <c r="M1298" s="86"/>
      <c r="N1298" s="86"/>
      <c r="O1298" s="86"/>
      <c r="P1298" s="86"/>
      <c r="Q1298" s="85"/>
      <c r="S1298" s="85"/>
      <c r="T1298" s="85"/>
      <c r="U1298" s="85"/>
      <c r="V1298" s="85"/>
      <c r="W1298" s="85"/>
      <c r="X1298" s="85"/>
    </row>
    <row r="1299" spans="2:24" s="58" customFormat="1" ht="12" x14ac:dyDescent="0.2">
      <c r="B1299" s="91"/>
      <c r="E1299" s="92"/>
      <c r="F1299" s="93"/>
      <c r="G1299" s="94"/>
      <c r="H1299" s="94"/>
      <c r="I1299" s="94"/>
      <c r="J1299" s="94"/>
      <c r="K1299" s="93"/>
      <c r="L1299" s="86"/>
      <c r="M1299" s="86"/>
      <c r="N1299" s="86"/>
      <c r="O1299" s="86"/>
      <c r="P1299" s="86"/>
      <c r="Q1299" s="85"/>
      <c r="S1299" s="85"/>
      <c r="T1299" s="85"/>
      <c r="U1299" s="85"/>
      <c r="V1299" s="85"/>
      <c r="W1299" s="85"/>
      <c r="X1299" s="85"/>
    </row>
    <row r="1300" spans="2:24" s="58" customFormat="1" ht="12" x14ac:dyDescent="0.2">
      <c r="B1300" s="91"/>
      <c r="E1300" s="92"/>
      <c r="F1300" s="93"/>
      <c r="G1300" s="94"/>
      <c r="H1300" s="94"/>
      <c r="I1300" s="94"/>
      <c r="J1300" s="94"/>
      <c r="K1300" s="93"/>
      <c r="L1300" s="86"/>
      <c r="M1300" s="86"/>
      <c r="N1300" s="86"/>
      <c r="O1300" s="86"/>
      <c r="P1300" s="86"/>
      <c r="Q1300" s="85"/>
      <c r="S1300" s="85"/>
      <c r="T1300" s="85"/>
      <c r="U1300" s="85"/>
      <c r="V1300" s="85"/>
      <c r="W1300" s="85"/>
      <c r="X1300" s="85"/>
    </row>
    <row r="1301" spans="2:24" s="58" customFormat="1" ht="12" x14ac:dyDescent="0.2">
      <c r="B1301" s="91"/>
      <c r="E1301" s="92"/>
      <c r="F1301" s="93"/>
      <c r="G1301" s="94"/>
      <c r="H1301" s="94"/>
      <c r="I1301" s="94"/>
      <c r="J1301" s="94"/>
      <c r="K1301" s="93"/>
      <c r="L1301" s="86"/>
      <c r="M1301" s="86"/>
      <c r="N1301" s="86"/>
      <c r="O1301" s="86"/>
      <c r="P1301" s="86"/>
      <c r="Q1301" s="85"/>
      <c r="S1301" s="85"/>
      <c r="T1301" s="85"/>
      <c r="U1301" s="85"/>
      <c r="V1301" s="85"/>
      <c r="W1301" s="85"/>
      <c r="X1301" s="85"/>
    </row>
    <row r="1302" spans="2:24" s="58" customFormat="1" ht="12" x14ac:dyDescent="0.2">
      <c r="B1302" s="91"/>
      <c r="E1302" s="92"/>
      <c r="F1302" s="93"/>
      <c r="G1302" s="94"/>
      <c r="H1302" s="94"/>
      <c r="I1302" s="94"/>
      <c r="J1302" s="94"/>
      <c r="K1302" s="93"/>
      <c r="L1302" s="86"/>
      <c r="M1302" s="86"/>
      <c r="N1302" s="86"/>
      <c r="O1302" s="86"/>
      <c r="P1302" s="86"/>
      <c r="Q1302" s="85"/>
      <c r="S1302" s="85"/>
      <c r="T1302" s="85"/>
      <c r="U1302" s="85"/>
      <c r="V1302" s="85"/>
      <c r="W1302" s="85"/>
      <c r="X1302" s="85"/>
    </row>
    <row r="1303" spans="2:24" s="58" customFormat="1" ht="12" x14ac:dyDescent="0.2">
      <c r="B1303" s="91"/>
      <c r="E1303" s="92"/>
      <c r="F1303" s="93"/>
      <c r="G1303" s="94"/>
      <c r="H1303" s="94"/>
      <c r="I1303" s="94"/>
      <c r="J1303" s="94"/>
      <c r="K1303" s="93"/>
      <c r="L1303" s="86"/>
      <c r="M1303" s="86"/>
      <c r="N1303" s="86"/>
      <c r="O1303" s="86"/>
      <c r="P1303" s="86"/>
      <c r="Q1303" s="85"/>
      <c r="S1303" s="85"/>
      <c r="T1303" s="85"/>
      <c r="U1303" s="85"/>
      <c r="V1303" s="85"/>
      <c r="W1303" s="85"/>
      <c r="X1303" s="85"/>
    </row>
    <row r="1304" spans="2:24" s="58" customFormat="1" ht="12" x14ac:dyDescent="0.2">
      <c r="B1304" s="91"/>
      <c r="E1304" s="92"/>
      <c r="F1304" s="93"/>
      <c r="G1304" s="94"/>
      <c r="H1304" s="94"/>
      <c r="I1304" s="94"/>
      <c r="J1304" s="94"/>
      <c r="K1304" s="93"/>
      <c r="L1304" s="86"/>
      <c r="M1304" s="86"/>
      <c r="N1304" s="86"/>
      <c r="O1304" s="86"/>
      <c r="P1304" s="86"/>
      <c r="Q1304" s="85"/>
      <c r="S1304" s="85"/>
      <c r="T1304" s="85"/>
      <c r="U1304" s="85"/>
      <c r="V1304" s="85"/>
      <c r="W1304" s="85"/>
      <c r="X1304" s="85"/>
    </row>
    <row r="1305" spans="2:24" s="58" customFormat="1" ht="12" x14ac:dyDescent="0.2">
      <c r="B1305" s="91"/>
      <c r="E1305" s="92"/>
      <c r="F1305" s="93"/>
      <c r="G1305" s="94"/>
      <c r="H1305" s="94"/>
      <c r="I1305" s="94"/>
      <c r="J1305" s="94"/>
      <c r="K1305" s="93"/>
      <c r="L1305" s="86"/>
      <c r="M1305" s="86"/>
      <c r="N1305" s="86"/>
      <c r="O1305" s="86"/>
      <c r="P1305" s="86"/>
      <c r="Q1305" s="85"/>
      <c r="S1305" s="85"/>
      <c r="T1305" s="85"/>
      <c r="U1305" s="85"/>
      <c r="V1305" s="85"/>
      <c r="W1305" s="85"/>
      <c r="X1305" s="85"/>
    </row>
    <row r="1306" spans="2:24" s="58" customFormat="1" ht="12" x14ac:dyDescent="0.2">
      <c r="B1306" s="91"/>
      <c r="E1306" s="92"/>
      <c r="F1306" s="93"/>
      <c r="G1306" s="94"/>
      <c r="H1306" s="94"/>
      <c r="I1306" s="94"/>
      <c r="J1306" s="94"/>
      <c r="K1306" s="93"/>
      <c r="L1306" s="86"/>
      <c r="M1306" s="86"/>
      <c r="N1306" s="86"/>
      <c r="O1306" s="86"/>
      <c r="P1306" s="86"/>
      <c r="Q1306" s="85"/>
      <c r="S1306" s="85"/>
      <c r="T1306" s="85"/>
      <c r="U1306" s="85"/>
      <c r="V1306" s="85"/>
      <c r="W1306" s="85"/>
      <c r="X1306" s="85"/>
    </row>
    <row r="1307" spans="2:24" s="58" customFormat="1" ht="12" x14ac:dyDescent="0.2">
      <c r="B1307" s="91"/>
      <c r="E1307" s="92"/>
      <c r="F1307" s="93"/>
      <c r="G1307" s="94"/>
      <c r="H1307" s="94"/>
      <c r="I1307" s="94"/>
      <c r="J1307" s="94"/>
      <c r="K1307" s="93"/>
      <c r="L1307" s="86"/>
      <c r="M1307" s="86"/>
      <c r="N1307" s="86"/>
      <c r="O1307" s="86"/>
      <c r="P1307" s="86"/>
      <c r="Q1307" s="85"/>
      <c r="S1307" s="85"/>
      <c r="T1307" s="85"/>
      <c r="U1307" s="85"/>
      <c r="V1307" s="85"/>
      <c r="W1307" s="85"/>
      <c r="X1307" s="85"/>
    </row>
    <row r="1308" spans="2:24" s="58" customFormat="1" ht="12" x14ac:dyDescent="0.2">
      <c r="B1308" s="91"/>
      <c r="E1308" s="92"/>
      <c r="F1308" s="93"/>
      <c r="G1308" s="94"/>
      <c r="H1308" s="94"/>
      <c r="I1308" s="94"/>
      <c r="J1308" s="94"/>
      <c r="K1308" s="93"/>
      <c r="L1308" s="86"/>
      <c r="M1308" s="86"/>
      <c r="N1308" s="86"/>
      <c r="O1308" s="86"/>
      <c r="P1308" s="86"/>
      <c r="Q1308" s="85"/>
      <c r="S1308" s="85"/>
      <c r="T1308" s="85"/>
      <c r="U1308" s="85"/>
      <c r="V1308" s="85"/>
      <c r="W1308" s="85"/>
      <c r="X1308" s="85"/>
    </row>
    <row r="1309" spans="2:24" s="58" customFormat="1" ht="12" x14ac:dyDescent="0.2">
      <c r="B1309" s="91"/>
      <c r="E1309" s="92"/>
      <c r="F1309" s="93"/>
      <c r="G1309" s="94"/>
      <c r="H1309" s="94"/>
      <c r="I1309" s="94"/>
      <c r="J1309" s="94"/>
      <c r="K1309" s="93"/>
      <c r="L1309" s="86"/>
      <c r="M1309" s="86"/>
      <c r="N1309" s="86"/>
      <c r="O1309" s="86"/>
      <c r="P1309" s="86"/>
      <c r="Q1309" s="85"/>
      <c r="S1309" s="85"/>
      <c r="T1309" s="85"/>
      <c r="U1309" s="85"/>
      <c r="V1309" s="85"/>
      <c r="W1309" s="85"/>
      <c r="X1309" s="85"/>
    </row>
    <row r="1310" spans="2:24" s="58" customFormat="1" ht="12" x14ac:dyDescent="0.2">
      <c r="B1310" s="91"/>
      <c r="E1310" s="92"/>
      <c r="F1310" s="93"/>
      <c r="G1310" s="94"/>
      <c r="H1310" s="94"/>
      <c r="I1310" s="94"/>
      <c r="J1310" s="94"/>
      <c r="K1310" s="93"/>
      <c r="L1310" s="86"/>
      <c r="M1310" s="86"/>
      <c r="N1310" s="86"/>
      <c r="O1310" s="86"/>
      <c r="P1310" s="86"/>
      <c r="Q1310" s="85"/>
      <c r="S1310" s="85"/>
      <c r="T1310" s="85"/>
      <c r="U1310" s="85"/>
      <c r="V1310" s="85"/>
      <c r="W1310" s="85"/>
      <c r="X1310" s="85"/>
    </row>
    <row r="1311" spans="2:24" s="58" customFormat="1" ht="12" x14ac:dyDescent="0.2">
      <c r="B1311" s="91"/>
      <c r="E1311" s="92"/>
      <c r="F1311" s="93"/>
      <c r="G1311" s="94"/>
      <c r="H1311" s="94"/>
      <c r="I1311" s="94"/>
      <c r="J1311" s="94"/>
      <c r="K1311" s="93"/>
      <c r="L1311" s="86"/>
      <c r="M1311" s="86"/>
      <c r="N1311" s="86"/>
      <c r="O1311" s="86"/>
      <c r="P1311" s="86"/>
      <c r="Q1311" s="85"/>
      <c r="S1311" s="85"/>
      <c r="T1311" s="85"/>
      <c r="U1311" s="85"/>
      <c r="V1311" s="85"/>
      <c r="W1311" s="85"/>
      <c r="X1311" s="85"/>
    </row>
    <row r="1312" spans="2:24" s="58" customFormat="1" ht="12" x14ac:dyDescent="0.2">
      <c r="B1312" s="91"/>
      <c r="E1312" s="92"/>
      <c r="F1312" s="93"/>
      <c r="G1312" s="94"/>
      <c r="H1312" s="94"/>
      <c r="I1312" s="94"/>
      <c r="J1312" s="94"/>
      <c r="K1312" s="93"/>
      <c r="L1312" s="86"/>
      <c r="M1312" s="86"/>
      <c r="N1312" s="86"/>
      <c r="O1312" s="86"/>
      <c r="P1312" s="86"/>
      <c r="Q1312" s="85"/>
      <c r="S1312" s="85"/>
      <c r="T1312" s="85"/>
      <c r="U1312" s="85"/>
      <c r="V1312" s="85"/>
      <c r="W1312" s="85"/>
      <c r="X1312" s="85"/>
    </row>
    <row r="1313" spans="2:24" s="58" customFormat="1" ht="12" x14ac:dyDescent="0.2">
      <c r="B1313" s="91"/>
      <c r="E1313" s="92"/>
      <c r="F1313" s="93"/>
      <c r="G1313" s="94"/>
      <c r="H1313" s="94"/>
      <c r="I1313" s="94"/>
      <c r="J1313" s="94"/>
      <c r="K1313" s="93"/>
      <c r="L1313" s="86"/>
      <c r="M1313" s="86"/>
      <c r="N1313" s="86"/>
      <c r="O1313" s="86"/>
      <c r="P1313" s="86"/>
      <c r="Q1313" s="85"/>
      <c r="S1313" s="85"/>
      <c r="T1313" s="85"/>
      <c r="U1313" s="85"/>
      <c r="V1313" s="85"/>
      <c r="W1313" s="85"/>
      <c r="X1313" s="85"/>
    </row>
    <row r="1314" spans="2:24" s="58" customFormat="1" ht="12" x14ac:dyDescent="0.2">
      <c r="B1314" s="91"/>
      <c r="E1314" s="92"/>
      <c r="F1314" s="93"/>
      <c r="G1314" s="94"/>
      <c r="H1314" s="94"/>
      <c r="I1314" s="94"/>
      <c r="J1314" s="94"/>
      <c r="K1314" s="93"/>
      <c r="L1314" s="86"/>
      <c r="M1314" s="86"/>
      <c r="N1314" s="86"/>
      <c r="O1314" s="86"/>
      <c r="P1314" s="86"/>
      <c r="Q1314" s="85"/>
      <c r="S1314" s="85"/>
      <c r="T1314" s="85"/>
      <c r="U1314" s="85"/>
      <c r="V1314" s="85"/>
      <c r="W1314" s="85"/>
      <c r="X1314" s="85"/>
    </row>
    <row r="1315" spans="2:24" s="58" customFormat="1" ht="12" x14ac:dyDescent="0.2">
      <c r="B1315" s="91"/>
      <c r="E1315" s="92"/>
      <c r="F1315" s="93"/>
      <c r="G1315" s="94"/>
      <c r="H1315" s="94"/>
      <c r="I1315" s="94"/>
      <c r="J1315" s="94"/>
      <c r="K1315" s="93"/>
      <c r="L1315" s="86"/>
      <c r="M1315" s="86"/>
      <c r="N1315" s="86"/>
      <c r="O1315" s="86"/>
      <c r="P1315" s="86"/>
      <c r="Q1315" s="85"/>
      <c r="S1315" s="85"/>
      <c r="T1315" s="85"/>
      <c r="U1315" s="85"/>
      <c r="V1315" s="85"/>
      <c r="W1315" s="85"/>
      <c r="X1315" s="85"/>
    </row>
    <row r="1316" spans="2:24" s="58" customFormat="1" ht="12" x14ac:dyDescent="0.2">
      <c r="B1316" s="91"/>
      <c r="E1316" s="92"/>
      <c r="F1316" s="93"/>
      <c r="G1316" s="94"/>
      <c r="H1316" s="94"/>
      <c r="I1316" s="94"/>
      <c r="J1316" s="94"/>
      <c r="K1316" s="93"/>
      <c r="L1316" s="86"/>
      <c r="M1316" s="86"/>
      <c r="N1316" s="86"/>
      <c r="O1316" s="86"/>
      <c r="P1316" s="86"/>
      <c r="Q1316" s="85"/>
      <c r="S1316" s="85"/>
      <c r="T1316" s="85"/>
      <c r="U1316" s="85"/>
      <c r="V1316" s="85"/>
      <c r="W1316" s="85"/>
      <c r="X1316" s="85"/>
    </row>
    <row r="1317" spans="2:24" s="58" customFormat="1" ht="12" x14ac:dyDescent="0.2">
      <c r="B1317" s="91"/>
      <c r="E1317" s="92"/>
      <c r="F1317" s="93"/>
      <c r="G1317" s="94"/>
      <c r="H1317" s="94"/>
      <c r="I1317" s="94"/>
      <c r="J1317" s="94"/>
      <c r="K1317" s="93"/>
      <c r="L1317" s="86"/>
      <c r="M1317" s="86"/>
      <c r="N1317" s="86"/>
      <c r="O1317" s="86"/>
      <c r="P1317" s="86"/>
      <c r="Q1317" s="85"/>
      <c r="S1317" s="85"/>
      <c r="T1317" s="85"/>
      <c r="U1317" s="85"/>
      <c r="V1317" s="85"/>
      <c r="W1317" s="85"/>
      <c r="X1317" s="85"/>
    </row>
    <row r="1318" spans="2:24" s="58" customFormat="1" ht="12" x14ac:dyDescent="0.2">
      <c r="B1318" s="91"/>
      <c r="E1318" s="92"/>
      <c r="F1318" s="93"/>
      <c r="G1318" s="94"/>
      <c r="H1318" s="94"/>
      <c r="I1318" s="94"/>
      <c r="J1318" s="94"/>
      <c r="K1318" s="93"/>
      <c r="L1318" s="86"/>
      <c r="M1318" s="86"/>
      <c r="N1318" s="86"/>
      <c r="O1318" s="86"/>
      <c r="P1318" s="86"/>
      <c r="Q1318" s="85"/>
      <c r="S1318" s="85"/>
      <c r="T1318" s="85"/>
      <c r="U1318" s="85"/>
      <c r="V1318" s="85"/>
      <c r="W1318" s="85"/>
      <c r="X1318" s="85"/>
    </row>
    <row r="1319" spans="2:24" s="58" customFormat="1" ht="12" x14ac:dyDescent="0.2">
      <c r="B1319" s="91"/>
      <c r="E1319" s="92"/>
      <c r="F1319" s="93"/>
      <c r="G1319" s="94"/>
      <c r="H1319" s="94"/>
      <c r="I1319" s="94"/>
      <c r="J1319" s="94"/>
      <c r="K1319" s="93"/>
      <c r="L1319" s="86"/>
      <c r="M1319" s="86"/>
      <c r="N1319" s="86"/>
      <c r="O1319" s="86"/>
      <c r="P1319" s="86"/>
      <c r="Q1319" s="85"/>
      <c r="S1319" s="85"/>
      <c r="T1319" s="85"/>
      <c r="U1319" s="85"/>
      <c r="V1319" s="85"/>
      <c r="W1319" s="85"/>
      <c r="X1319" s="85"/>
    </row>
    <row r="1320" spans="2:24" s="58" customFormat="1" ht="12" x14ac:dyDescent="0.2">
      <c r="B1320" s="91"/>
      <c r="E1320" s="92"/>
      <c r="F1320" s="93"/>
      <c r="G1320" s="94"/>
      <c r="H1320" s="94"/>
      <c r="I1320" s="94"/>
      <c r="J1320" s="94"/>
      <c r="K1320" s="93"/>
      <c r="L1320" s="86"/>
      <c r="M1320" s="86"/>
      <c r="N1320" s="86"/>
      <c r="O1320" s="86"/>
      <c r="P1320" s="86"/>
      <c r="Q1320" s="85"/>
      <c r="S1320" s="85"/>
      <c r="T1320" s="85"/>
      <c r="U1320" s="85"/>
      <c r="V1320" s="85"/>
      <c r="W1320" s="85"/>
      <c r="X1320" s="85"/>
    </row>
    <row r="1321" spans="2:24" s="58" customFormat="1" ht="12" x14ac:dyDescent="0.2">
      <c r="B1321" s="91"/>
      <c r="E1321" s="92"/>
      <c r="F1321" s="93"/>
      <c r="G1321" s="94"/>
      <c r="H1321" s="94"/>
      <c r="I1321" s="94"/>
      <c r="J1321" s="94"/>
      <c r="K1321" s="93"/>
      <c r="L1321" s="86"/>
      <c r="M1321" s="86"/>
      <c r="N1321" s="86"/>
      <c r="O1321" s="86"/>
      <c r="P1321" s="86"/>
      <c r="Q1321" s="85"/>
      <c r="S1321" s="85"/>
      <c r="T1321" s="85"/>
      <c r="U1321" s="85"/>
      <c r="V1321" s="85"/>
      <c r="W1321" s="85"/>
      <c r="X1321" s="85"/>
    </row>
    <row r="1322" spans="2:24" s="58" customFormat="1" ht="12" x14ac:dyDescent="0.2">
      <c r="B1322" s="91"/>
      <c r="E1322" s="92"/>
      <c r="F1322" s="93"/>
      <c r="G1322" s="94"/>
      <c r="H1322" s="94"/>
      <c r="I1322" s="94"/>
      <c r="J1322" s="94"/>
      <c r="K1322" s="93"/>
      <c r="L1322" s="86"/>
      <c r="M1322" s="86"/>
      <c r="N1322" s="86"/>
      <c r="O1322" s="86"/>
      <c r="P1322" s="86"/>
      <c r="Q1322" s="85"/>
      <c r="S1322" s="85"/>
      <c r="T1322" s="85"/>
      <c r="U1322" s="85"/>
      <c r="V1322" s="85"/>
      <c r="W1322" s="85"/>
      <c r="X1322" s="85"/>
    </row>
    <row r="1323" spans="2:24" s="58" customFormat="1" ht="12" x14ac:dyDescent="0.2">
      <c r="B1323" s="91"/>
      <c r="E1323" s="92"/>
      <c r="F1323" s="93"/>
      <c r="G1323" s="94"/>
      <c r="H1323" s="94"/>
      <c r="I1323" s="94"/>
      <c r="J1323" s="94"/>
      <c r="K1323" s="93"/>
      <c r="L1323" s="86"/>
      <c r="M1323" s="86"/>
      <c r="N1323" s="86"/>
      <c r="O1323" s="86"/>
      <c r="P1323" s="86"/>
      <c r="Q1323" s="85"/>
      <c r="S1323" s="85"/>
      <c r="T1323" s="85"/>
      <c r="U1323" s="85"/>
      <c r="V1323" s="85"/>
      <c r="W1323" s="85"/>
      <c r="X1323" s="85"/>
    </row>
    <row r="1324" spans="2:24" s="58" customFormat="1" ht="12" x14ac:dyDescent="0.2">
      <c r="B1324" s="91"/>
      <c r="E1324" s="92"/>
      <c r="F1324" s="93"/>
      <c r="G1324" s="94"/>
      <c r="H1324" s="94"/>
      <c r="I1324" s="94"/>
      <c r="J1324" s="94"/>
      <c r="K1324" s="93"/>
      <c r="L1324" s="86"/>
      <c r="M1324" s="86"/>
      <c r="N1324" s="86"/>
      <c r="O1324" s="86"/>
      <c r="P1324" s="86"/>
      <c r="Q1324" s="85"/>
      <c r="S1324" s="85"/>
      <c r="T1324" s="85"/>
      <c r="U1324" s="85"/>
      <c r="V1324" s="85"/>
      <c r="W1324" s="85"/>
      <c r="X1324" s="85"/>
    </row>
    <row r="1325" spans="2:24" s="58" customFormat="1" ht="12" x14ac:dyDescent="0.2">
      <c r="B1325" s="91"/>
      <c r="E1325" s="92"/>
      <c r="F1325" s="93"/>
      <c r="G1325" s="94"/>
      <c r="H1325" s="94"/>
      <c r="I1325" s="94"/>
      <c r="J1325" s="94"/>
      <c r="K1325" s="93"/>
      <c r="L1325" s="86"/>
      <c r="M1325" s="86"/>
      <c r="N1325" s="86"/>
      <c r="O1325" s="86"/>
      <c r="P1325" s="86"/>
      <c r="Q1325" s="85"/>
      <c r="S1325" s="85"/>
      <c r="T1325" s="85"/>
      <c r="U1325" s="85"/>
      <c r="V1325" s="85"/>
      <c r="W1325" s="85"/>
      <c r="X1325" s="85"/>
    </row>
    <row r="1326" spans="2:24" s="58" customFormat="1" ht="12" x14ac:dyDescent="0.2">
      <c r="B1326" s="91"/>
      <c r="E1326" s="92"/>
      <c r="F1326" s="93"/>
      <c r="G1326" s="94"/>
      <c r="H1326" s="94"/>
      <c r="I1326" s="94"/>
      <c r="J1326" s="94"/>
      <c r="K1326" s="93"/>
      <c r="L1326" s="86"/>
      <c r="M1326" s="86"/>
      <c r="N1326" s="86"/>
      <c r="O1326" s="86"/>
      <c r="P1326" s="86"/>
      <c r="Q1326" s="85"/>
      <c r="S1326" s="85"/>
      <c r="T1326" s="85"/>
      <c r="U1326" s="85"/>
      <c r="V1326" s="85"/>
      <c r="W1326" s="85"/>
      <c r="X1326" s="85"/>
    </row>
    <row r="1327" spans="2:24" s="58" customFormat="1" ht="12" x14ac:dyDescent="0.2">
      <c r="B1327" s="91"/>
      <c r="E1327" s="92"/>
      <c r="F1327" s="93"/>
      <c r="G1327" s="94"/>
      <c r="H1327" s="94"/>
      <c r="I1327" s="94"/>
      <c r="J1327" s="94"/>
      <c r="K1327" s="93"/>
      <c r="L1327" s="86"/>
      <c r="M1327" s="86"/>
      <c r="N1327" s="86"/>
      <c r="O1327" s="86"/>
      <c r="P1327" s="86"/>
      <c r="Q1327" s="85"/>
      <c r="S1327" s="85"/>
      <c r="T1327" s="85"/>
      <c r="U1327" s="85"/>
      <c r="V1327" s="85"/>
      <c r="W1327" s="85"/>
      <c r="X1327" s="85"/>
    </row>
    <row r="1328" spans="2:24" s="58" customFormat="1" ht="12" x14ac:dyDescent="0.2">
      <c r="B1328" s="91"/>
      <c r="E1328" s="92"/>
      <c r="F1328" s="93"/>
      <c r="G1328" s="94"/>
      <c r="H1328" s="94"/>
      <c r="I1328" s="94"/>
      <c r="J1328" s="94"/>
      <c r="K1328" s="93"/>
      <c r="L1328" s="86"/>
      <c r="M1328" s="86"/>
      <c r="N1328" s="86"/>
      <c r="O1328" s="86"/>
      <c r="P1328" s="86"/>
      <c r="Q1328" s="85"/>
      <c r="S1328" s="85"/>
      <c r="T1328" s="85"/>
      <c r="U1328" s="85"/>
      <c r="V1328" s="85"/>
      <c r="W1328" s="85"/>
      <c r="X1328" s="85"/>
    </row>
    <row r="1329" spans="2:24" s="58" customFormat="1" ht="12" x14ac:dyDescent="0.2">
      <c r="B1329" s="91"/>
      <c r="E1329" s="92"/>
      <c r="F1329" s="93"/>
      <c r="G1329" s="94"/>
      <c r="H1329" s="94"/>
      <c r="I1329" s="94"/>
      <c r="J1329" s="94"/>
      <c r="K1329" s="93"/>
      <c r="L1329" s="86"/>
      <c r="M1329" s="86"/>
      <c r="N1329" s="86"/>
      <c r="O1329" s="86"/>
      <c r="P1329" s="86"/>
      <c r="Q1329" s="85"/>
      <c r="S1329" s="85"/>
      <c r="T1329" s="85"/>
      <c r="U1329" s="85"/>
      <c r="V1329" s="85"/>
      <c r="W1329" s="85"/>
      <c r="X1329" s="85"/>
    </row>
    <row r="1330" spans="2:24" s="58" customFormat="1" ht="12" x14ac:dyDescent="0.2">
      <c r="B1330" s="91"/>
      <c r="E1330" s="92"/>
      <c r="F1330" s="93"/>
      <c r="G1330" s="94"/>
      <c r="H1330" s="94"/>
      <c r="I1330" s="94"/>
      <c r="J1330" s="94"/>
      <c r="K1330" s="93"/>
      <c r="L1330" s="86"/>
      <c r="M1330" s="86"/>
      <c r="N1330" s="86"/>
      <c r="O1330" s="86"/>
      <c r="P1330" s="86"/>
      <c r="Q1330" s="85"/>
      <c r="S1330" s="85"/>
      <c r="T1330" s="85"/>
      <c r="U1330" s="85"/>
      <c r="V1330" s="85"/>
      <c r="W1330" s="85"/>
      <c r="X1330" s="85"/>
    </row>
    <row r="1331" spans="2:24" s="58" customFormat="1" ht="12" x14ac:dyDescent="0.2">
      <c r="B1331" s="91"/>
      <c r="E1331" s="92"/>
      <c r="F1331" s="93"/>
      <c r="G1331" s="94"/>
      <c r="H1331" s="94"/>
      <c r="I1331" s="94"/>
      <c r="J1331" s="94"/>
      <c r="K1331" s="93"/>
      <c r="L1331" s="86"/>
      <c r="M1331" s="86"/>
      <c r="N1331" s="86"/>
      <c r="O1331" s="86"/>
      <c r="P1331" s="86"/>
      <c r="Q1331" s="85"/>
      <c r="S1331" s="85"/>
      <c r="T1331" s="85"/>
      <c r="U1331" s="85"/>
      <c r="V1331" s="85"/>
      <c r="W1331" s="85"/>
      <c r="X1331" s="85"/>
    </row>
    <row r="1332" spans="2:24" s="58" customFormat="1" ht="12" x14ac:dyDescent="0.2">
      <c r="B1332" s="91"/>
      <c r="E1332" s="92"/>
      <c r="F1332" s="93"/>
      <c r="G1332" s="94"/>
      <c r="H1332" s="94"/>
      <c r="I1332" s="94"/>
      <c r="J1332" s="94"/>
      <c r="K1332" s="93"/>
      <c r="L1332" s="86"/>
      <c r="M1332" s="86"/>
      <c r="N1332" s="86"/>
      <c r="O1332" s="86"/>
      <c r="P1332" s="86"/>
      <c r="Q1332" s="85"/>
      <c r="S1332" s="85"/>
      <c r="T1332" s="85"/>
      <c r="U1332" s="85"/>
      <c r="V1332" s="85"/>
      <c r="W1332" s="85"/>
      <c r="X1332" s="85"/>
    </row>
    <row r="1333" spans="2:24" s="58" customFormat="1" ht="12" x14ac:dyDescent="0.2">
      <c r="B1333" s="91"/>
      <c r="E1333" s="92"/>
      <c r="F1333" s="93"/>
      <c r="G1333" s="94"/>
      <c r="H1333" s="94"/>
      <c r="I1333" s="94"/>
      <c r="J1333" s="94"/>
      <c r="K1333" s="93"/>
      <c r="L1333" s="86"/>
      <c r="M1333" s="86"/>
      <c r="N1333" s="86"/>
      <c r="O1333" s="86"/>
      <c r="P1333" s="86"/>
      <c r="Q1333" s="85"/>
      <c r="S1333" s="85"/>
      <c r="T1333" s="85"/>
      <c r="U1333" s="85"/>
      <c r="V1333" s="85"/>
      <c r="W1333" s="85"/>
      <c r="X1333" s="85"/>
    </row>
    <row r="1334" spans="2:24" s="58" customFormat="1" ht="12" x14ac:dyDescent="0.2">
      <c r="B1334" s="91"/>
      <c r="E1334" s="92"/>
      <c r="F1334" s="93"/>
      <c r="G1334" s="94"/>
      <c r="H1334" s="94"/>
      <c r="I1334" s="94"/>
      <c r="J1334" s="94"/>
      <c r="K1334" s="93"/>
      <c r="L1334" s="86"/>
      <c r="M1334" s="86"/>
      <c r="N1334" s="86"/>
      <c r="O1334" s="86"/>
      <c r="P1334" s="86"/>
      <c r="Q1334" s="85"/>
      <c r="S1334" s="85"/>
      <c r="T1334" s="85"/>
      <c r="U1334" s="85"/>
      <c r="V1334" s="85"/>
      <c r="W1334" s="85"/>
      <c r="X1334" s="85"/>
    </row>
    <row r="1335" spans="2:24" s="58" customFormat="1" ht="12" x14ac:dyDescent="0.2">
      <c r="B1335" s="91"/>
      <c r="E1335" s="92"/>
      <c r="F1335" s="93"/>
      <c r="G1335" s="94"/>
      <c r="H1335" s="94"/>
      <c r="I1335" s="94"/>
      <c r="J1335" s="94"/>
      <c r="K1335" s="93"/>
      <c r="L1335" s="86"/>
      <c r="M1335" s="86"/>
      <c r="N1335" s="86"/>
      <c r="O1335" s="86"/>
      <c r="P1335" s="86"/>
      <c r="Q1335" s="85"/>
      <c r="S1335" s="85"/>
      <c r="T1335" s="85"/>
      <c r="U1335" s="85"/>
      <c r="V1335" s="85"/>
      <c r="W1335" s="85"/>
      <c r="X1335" s="85"/>
    </row>
    <row r="1336" spans="2:24" s="58" customFormat="1" ht="12" x14ac:dyDescent="0.2">
      <c r="B1336" s="91"/>
      <c r="E1336" s="92"/>
      <c r="F1336" s="93"/>
      <c r="G1336" s="94"/>
      <c r="H1336" s="94"/>
      <c r="I1336" s="94"/>
      <c r="J1336" s="94"/>
      <c r="K1336" s="93"/>
      <c r="L1336" s="86"/>
      <c r="M1336" s="86"/>
      <c r="N1336" s="86"/>
      <c r="O1336" s="86"/>
      <c r="P1336" s="86"/>
      <c r="Q1336" s="85"/>
      <c r="S1336" s="85"/>
      <c r="T1336" s="85"/>
      <c r="U1336" s="85"/>
      <c r="V1336" s="85"/>
      <c r="W1336" s="85"/>
      <c r="X1336" s="85"/>
    </row>
    <row r="1337" spans="2:24" s="58" customFormat="1" ht="12" x14ac:dyDescent="0.2">
      <c r="B1337" s="91"/>
      <c r="E1337" s="92"/>
      <c r="F1337" s="93"/>
      <c r="G1337" s="94"/>
      <c r="H1337" s="94"/>
      <c r="I1337" s="94"/>
      <c r="J1337" s="94"/>
      <c r="K1337" s="93"/>
      <c r="L1337" s="86"/>
      <c r="M1337" s="86"/>
      <c r="N1337" s="86"/>
      <c r="O1337" s="86"/>
      <c r="P1337" s="86"/>
      <c r="Q1337" s="85"/>
      <c r="S1337" s="85"/>
      <c r="T1337" s="85"/>
      <c r="U1337" s="85"/>
      <c r="V1337" s="85"/>
      <c r="W1337" s="85"/>
      <c r="X1337" s="85"/>
    </row>
    <row r="1338" spans="2:24" s="58" customFormat="1" ht="12" x14ac:dyDescent="0.2">
      <c r="B1338" s="91"/>
      <c r="E1338" s="92"/>
      <c r="F1338" s="93"/>
      <c r="G1338" s="94"/>
      <c r="H1338" s="94"/>
      <c r="I1338" s="94"/>
      <c r="J1338" s="94"/>
      <c r="K1338" s="93"/>
      <c r="L1338" s="86"/>
      <c r="M1338" s="86"/>
      <c r="N1338" s="86"/>
      <c r="O1338" s="86"/>
      <c r="P1338" s="86"/>
      <c r="Q1338" s="85"/>
      <c r="S1338" s="85"/>
      <c r="T1338" s="85"/>
      <c r="U1338" s="85"/>
      <c r="V1338" s="85"/>
      <c r="W1338" s="85"/>
      <c r="X1338" s="85"/>
    </row>
    <row r="1339" spans="2:24" s="58" customFormat="1" ht="12" x14ac:dyDescent="0.2">
      <c r="B1339" s="91"/>
      <c r="E1339" s="92"/>
      <c r="F1339" s="93"/>
      <c r="G1339" s="94"/>
      <c r="H1339" s="94"/>
      <c r="I1339" s="94"/>
      <c r="J1339" s="94"/>
      <c r="K1339" s="93"/>
      <c r="L1339" s="86"/>
      <c r="M1339" s="86"/>
      <c r="N1339" s="86"/>
      <c r="O1339" s="86"/>
      <c r="P1339" s="86"/>
      <c r="Q1339" s="85"/>
      <c r="S1339" s="85"/>
      <c r="T1339" s="85"/>
      <c r="U1339" s="85"/>
      <c r="V1339" s="85"/>
      <c r="W1339" s="85"/>
      <c r="X1339" s="85"/>
    </row>
    <row r="1340" spans="2:24" s="58" customFormat="1" ht="12" x14ac:dyDescent="0.2">
      <c r="B1340" s="91"/>
      <c r="E1340" s="92"/>
      <c r="F1340" s="93"/>
      <c r="G1340" s="94"/>
      <c r="H1340" s="94"/>
      <c r="I1340" s="94"/>
      <c r="J1340" s="94"/>
      <c r="K1340" s="93"/>
      <c r="L1340" s="86"/>
      <c r="M1340" s="86"/>
      <c r="N1340" s="86"/>
      <c r="O1340" s="86"/>
      <c r="P1340" s="86"/>
      <c r="Q1340" s="85"/>
      <c r="S1340" s="85"/>
      <c r="T1340" s="85"/>
      <c r="U1340" s="85"/>
      <c r="V1340" s="85"/>
      <c r="W1340" s="85"/>
      <c r="X1340" s="85"/>
    </row>
    <row r="1341" spans="2:24" s="58" customFormat="1" ht="12" x14ac:dyDescent="0.2">
      <c r="B1341" s="91"/>
      <c r="E1341" s="92"/>
      <c r="F1341" s="93"/>
      <c r="G1341" s="94"/>
      <c r="H1341" s="94"/>
      <c r="I1341" s="94"/>
      <c r="J1341" s="94"/>
      <c r="K1341" s="93"/>
      <c r="L1341" s="86"/>
      <c r="M1341" s="86"/>
      <c r="N1341" s="86"/>
      <c r="O1341" s="86"/>
      <c r="P1341" s="86"/>
      <c r="Q1341" s="85"/>
      <c r="S1341" s="85"/>
      <c r="T1341" s="85"/>
      <c r="U1341" s="85"/>
      <c r="V1341" s="85"/>
      <c r="W1341" s="85"/>
      <c r="X1341" s="85"/>
    </row>
    <row r="1342" spans="2:24" s="58" customFormat="1" ht="12" x14ac:dyDescent="0.2">
      <c r="B1342" s="91"/>
      <c r="E1342" s="92"/>
      <c r="F1342" s="93"/>
      <c r="G1342" s="94"/>
      <c r="H1342" s="94"/>
      <c r="I1342" s="94"/>
      <c r="J1342" s="94"/>
      <c r="K1342" s="93"/>
      <c r="L1342" s="86"/>
      <c r="M1342" s="86"/>
      <c r="N1342" s="86"/>
      <c r="O1342" s="86"/>
      <c r="P1342" s="86"/>
      <c r="Q1342" s="85"/>
      <c r="S1342" s="85"/>
      <c r="T1342" s="85"/>
      <c r="U1342" s="85"/>
      <c r="V1342" s="85"/>
      <c r="W1342" s="85"/>
      <c r="X1342" s="85"/>
    </row>
    <row r="1343" spans="2:24" s="58" customFormat="1" ht="12" x14ac:dyDescent="0.2">
      <c r="B1343" s="91"/>
      <c r="E1343" s="92"/>
      <c r="F1343" s="93"/>
      <c r="G1343" s="94"/>
      <c r="H1343" s="94"/>
      <c r="I1343" s="94"/>
      <c r="J1343" s="94"/>
      <c r="K1343" s="93"/>
      <c r="L1343" s="86"/>
      <c r="M1343" s="86"/>
      <c r="N1343" s="86"/>
      <c r="O1343" s="86"/>
      <c r="P1343" s="86"/>
      <c r="Q1343" s="85"/>
      <c r="S1343" s="85"/>
      <c r="T1343" s="85"/>
      <c r="U1343" s="85"/>
      <c r="V1343" s="85"/>
      <c r="W1343" s="85"/>
      <c r="X1343" s="85"/>
    </row>
    <row r="1344" spans="2:24" s="58" customFormat="1" ht="12" x14ac:dyDescent="0.2">
      <c r="B1344" s="91"/>
      <c r="E1344" s="92"/>
      <c r="F1344" s="93"/>
      <c r="G1344" s="94"/>
      <c r="H1344" s="94"/>
      <c r="I1344" s="94"/>
      <c r="J1344" s="94"/>
      <c r="K1344" s="93"/>
      <c r="L1344" s="86"/>
      <c r="M1344" s="86"/>
      <c r="N1344" s="86"/>
      <c r="O1344" s="86"/>
      <c r="P1344" s="86"/>
      <c r="Q1344" s="85"/>
      <c r="S1344" s="85"/>
      <c r="T1344" s="85"/>
      <c r="U1344" s="85"/>
      <c r="V1344" s="85"/>
      <c r="W1344" s="85"/>
      <c r="X1344" s="85"/>
    </row>
    <row r="1345" spans="2:24" s="58" customFormat="1" ht="12" x14ac:dyDescent="0.2">
      <c r="B1345" s="91"/>
      <c r="E1345" s="92"/>
      <c r="F1345" s="93"/>
      <c r="G1345" s="94"/>
      <c r="H1345" s="94"/>
      <c r="I1345" s="94"/>
      <c r="J1345" s="94"/>
      <c r="K1345" s="93"/>
      <c r="L1345" s="86"/>
      <c r="M1345" s="86"/>
      <c r="N1345" s="86"/>
      <c r="O1345" s="86"/>
      <c r="P1345" s="86"/>
      <c r="Q1345" s="85"/>
      <c r="S1345" s="85"/>
      <c r="T1345" s="85"/>
      <c r="U1345" s="85"/>
      <c r="V1345" s="85"/>
      <c r="W1345" s="85"/>
      <c r="X1345" s="85"/>
    </row>
    <row r="1346" spans="2:24" s="58" customFormat="1" ht="12" x14ac:dyDescent="0.2">
      <c r="B1346" s="91"/>
      <c r="E1346" s="92"/>
      <c r="F1346" s="93"/>
      <c r="G1346" s="94"/>
      <c r="H1346" s="94"/>
      <c r="I1346" s="94"/>
      <c r="J1346" s="94"/>
      <c r="K1346" s="93"/>
      <c r="L1346" s="86"/>
      <c r="M1346" s="86"/>
      <c r="N1346" s="86"/>
      <c r="O1346" s="86"/>
      <c r="P1346" s="86"/>
      <c r="Q1346" s="85"/>
      <c r="S1346" s="85"/>
      <c r="T1346" s="85"/>
      <c r="U1346" s="85"/>
      <c r="V1346" s="85"/>
      <c r="W1346" s="85"/>
      <c r="X1346" s="85"/>
    </row>
    <row r="1347" spans="2:24" s="58" customFormat="1" ht="12" x14ac:dyDescent="0.2">
      <c r="B1347" s="91"/>
      <c r="E1347" s="92"/>
      <c r="F1347" s="93"/>
      <c r="G1347" s="94"/>
      <c r="H1347" s="94"/>
      <c r="I1347" s="94"/>
      <c r="J1347" s="94"/>
      <c r="K1347" s="93"/>
      <c r="L1347" s="86"/>
      <c r="M1347" s="86"/>
      <c r="N1347" s="86"/>
      <c r="O1347" s="86"/>
      <c r="P1347" s="86"/>
      <c r="Q1347" s="85"/>
      <c r="S1347" s="85"/>
      <c r="T1347" s="85"/>
      <c r="U1347" s="85"/>
      <c r="V1347" s="85"/>
      <c r="W1347" s="85"/>
      <c r="X1347" s="85"/>
    </row>
    <row r="1348" spans="2:24" s="58" customFormat="1" ht="12" x14ac:dyDescent="0.2">
      <c r="B1348" s="91"/>
      <c r="E1348" s="92"/>
      <c r="F1348" s="93"/>
      <c r="G1348" s="94"/>
      <c r="H1348" s="94"/>
      <c r="I1348" s="94"/>
      <c r="J1348" s="94"/>
      <c r="K1348" s="93"/>
      <c r="L1348" s="86"/>
      <c r="M1348" s="86"/>
      <c r="N1348" s="86"/>
      <c r="O1348" s="86"/>
      <c r="P1348" s="86"/>
      <c r="Q1348" s="85"/>
      <c r="S1348" s="85"/>
      <c r="T1348" s="85"/>
      <c r="U1348" s="85"/>
      <c r="V1348" s="85"/>
      <c r="W1348" s="85"/>
      <c r="X1348" s="85"/>
    </row>
    <row r="1349" spans="2:24" s="58" customFormat="1" ht="12" x14ac:dyDescent="0.2">
      <c r="B1349" s="91"/>
      <c r="E1349" s="92"/>
      <c r="F1349" s="93"/>
      <c r="G1349" s="94"/>
      <c r="H1349" s="94"/>
      <c r="I1349" s="94"/>
      <c r="J1349" s="94"/>
      <c r="K1349" s="93"/>
      <c r="L1349" s="86"/>
      <c r="M1349" s="86"/>
      <c r="N1349" s="86"/>
      <c r="O1349" s="86"/>
      <c r="P1349" s="86"/>
      <c r="Q1349" s="85"/>
      <c r="S1349" s="85"/>
      <c r="T1349" s="85"/>
      <c r="U1349" s="85"/>
      <c r="V1349" s="85"/>
      <c r="W1349" s="85"/>
      <c r="X1349" s="85"/>
    </row>
    <row r="1350" spans="2:24" s="58" customFormat="1" ht="12" x14ac:dyDescent="0.2">
      <c r="B1350" s="91"/>
      <c r="E1350" s="92"/>
      <c r="F1350" s="93"/>
      <c r="G1350" s="94"/>
      <c r="H1350" s="94"/>
      <c r="I1350" s="94"/>
      <c r="J1350" s="94"/>
      <c r="K1350" s="93"/>
      <c r="L1350" s="86"/>
      <c r="M1350" s="86"/>
      <c r="N1350" s="86"/>
      <c r="O1350" s="86"/>
      <c r="P1350" s="86"/>
      <c r="Q1350" s="85"/>
      <c r="S1350" s="85"/>
      <c r="T1350" s="85"/>
      <c r="U1350" s="85"/>
      <c r="V1350" s="85"/>
      <c r="W1350" s="85"/>
      <c r="X1350" s="85"/>
    </row>
    <row r="1351" spans="2:24" s="58" customFormat="1" ht="12" x14ac:dyDescent="0.2">
      <c r="B1351" s="91"/>
      <c r="E1351" s="92"/>
      <c r="F1351" s="93"/>
      <c r="G1351" s="94"/>
      <c r="H1351" s="94"/>
      <c r="I1351" s="94"/>
      <c r="J1351" s="94"/>
      <c r="K1351" s="93"/>
      <c r="L1351" s="86"/>
      <c r="M1351" s="86"/>
      <c r="N1351" s="86"/>
      <c r="O1351" s="86"/>
      <c r="P1351" s="86"/>
      <c r="Q1351" s="85"/>
      <c r="S1351" s="85"/>
      <c r="T1351" s="85"/>
      <c r="U1351" s="85"/>
      <c r="V1351" s="85"/>
      <c r="W1351" s="85"/>
      <c r="X1351" s="85"/>
    </row>
    <row r="1352" spans="2:24" s="58" customFormat="1" ht="12" x14ac:dyDescent="0.2">
      <c r="B1352" s="91"/>
      <c r="E1352" s="92"/>
      <c r="F1352" s="93"/>
      <c r="G1352" s="94"/>
      <c r="H1352" s="94"/>
      <c r="I1352" s="94"/>
      <c r="J1352" s="94"/>
      <c r="K1352" s="93"/>
      <c r="L1352" s="86"/>
      <c r="M1352" s="86"/>
      <c r="N1352" s="86"/>
      <c r="O1352" s="86"/>
      <c r="P1352" s="86"/>
      <c r="Q1352" s="85"/>
      <c r="S1352" s="85"/>
      <c r="T1352" s="85"/>
      <c r="U1352" s="85"/>
      <c r="V1352" s="85"/>
      <c r="W1352" s="85"/>
      <c r="X1352" s="85"/>
    </row>
    <row r="1353" spans="2:24" s="58" customFormat="1" ht="12" x14ac:dyDescent="0.2">
      <c r="B1353" s="91"/>
      <c r="E1353" s="92"/>
      <c r="F1353" s="93"/>
      <c r="G1353" s="94"/>
      <c r="H1353" s="94"/>
      <c r="I1353" s="94"/>
      <c r="J1353" s="94"/>
      <c r="K1353" s="93"/>
      <c r="L1353" s="86"/>
      <c r="M1353" s="86"/>
      <c r="N1353" s="86"/>
      <c r="O1353" s="86"/>
      <c r="P1353" s="86"/>
      <c r="Q1353" s="85"/>
      <c r="S1353" s="85"/>
      <c r="T1353" s="85"/>
      <c r="U1353" s="85"/>
      <c r="V1353" s="85"/>
      <c r="W1353" s="85"/>
      <c r="X1353" s="85"/>
    </row>
    <row r="1354" spans="2:24" s="58" customFormat="1" ht="12" x14ac:dyDescent="0.2">
      <c r="B1354" s="91"/>
      <c r="E1354" s="92"/>
      <c r="F1354" s="93"/>
      <c r="G1354" s="94"/>
      <c r="H1354" s="94"/>
      <c r="I1354" s="94"/>
      <c r="J1354" s="94"/>
      <c r="K1354" s="93"/>
      <c r="L1354" s="86"/>
      <c r="M1354" s="86"/>
      <c r="N1354" s="86"/>
      <c r="O1354" s="86"/>
      <c r="P1354" s="86"/>
      <c r="Q1354" s="85"/>
      <c r="S1354" s="85"/>
      <c r="T1354" s="85"/>
      <c r="U1354" s="85"/>
      <c r="V1354" s="85"/>
      <c r="W1354" s="85"/>
      <c r="X1354" s="85"/>
    </row>
    <row r="1355" spans="2:24" s="58" customFormat="1" ht="12" x14ac:dyDescent="0.2">
      <c r="B1355" s="91"/>
      <c r="E1355" s="92"/>
      <c r="F1355" s="93"/>
      <c r="G1355" s="94"/>
      <c r="H1355" s="94"/>
      <c r="I1355" s="94"/>
      <c r="J1355" s="94"/>
      <c r="K1355" s="93"/>
      <c r="L1355" s="86"/>
      <c r="M1355" s="86"/>
      <c r="N1355" s="86"/>
      <c r="O1355" s="86"/>
      <c r="P1355" s="86"/>
      <c r="Q1355" s="85"/>
      <c r="S1355" s="85"/>
      <c r="T1355" s="85"/>
      <c r="U1355" s="85"/>
      <c r="V1355" s="85"/>
      <c r="W1355" s="85"/>
      <c r="X1355" s="85"/>
    </row>
    <row r="1356" spans="2:24" s="58" customFormat="1" ht="12" x14ac:dyDescent="0.2">
      <c r="B1356" s="91"/>
      <c r="E1356" s="92"/>
      <c r="F1356" s="93"/>
      <c r="G1356" s="94"/>
      <c r="H1356" s="94"/>
      <c r="I1356" s="94"/>
      <c r="J1356" s="94"/>
      <c r="K1356" s="93"/>
      <c r="L1356" s="86"/>
      <c r="M1356" s="86"/>
      <c r="N1356" s="86"/>
      <c r="O1356" s="86"/>
      <c r="P1356" s="86"/>
      <c r="Q1356" s="85"/>
      <c r="S1356" s="85"/>
      <c r="T1356" s="85"/>
      <c r="U1356" s="85"/>
      <c r="V1356" s="85"/>
      <c r="W1356" s="85"/>
      <c r="X1356" s="85"/>
    </row>
    <row r="1357" spans="2:24" s="58" customFormat="1" ht="12" x14ac:dyDescent="0.2">
      <c r="B1357" s="91"/>
      <c r="E1357" s="92"/>
      <c r="F1357" s="93"/>
      <c r="G1357" s="94"/>
      <c r="H1357" s="94"/>
      <c r="I1357" s="94"/>
      <c r="J1357" s="94"/>
      <c r="K1357" s="93"/>
      <c r="L1357" s="86"/>
      <c r="M1357" s="86"/>
      <c r="N1357" s="86"/>
      <c r="O1357" s="86"/>
      <c r="P1357" s="86"/>
      <c r="Q1357" s="85"/>
      <c r="S1357" s="85"/>
      <c r="T1357" s="85"/>
      <c r="U1357" s="85"/>
      <c r="V1357" s="85"/>
      <c r="W1357" s="85"/>
      <c r="X1357" s="85"/>
    </row>
    <row r="1358" spans="2:24" s="58" customFormat="1" ht="12" x14ac:dyDescent="0.2">
      <c r="B1358" s="91"/>
      <c r="E1358" s="92"/>
      <c r="F1358" s="93"/>
      <c r="G1358" s="94"/>
      <c r="H1358" s="94"/>
      <c r="I1358" s="94"/>
      <c r="J1358" s="94"/>
      <c r="K1358" s="93"/>
      <c r="L1358" s="86"/>
      <c r="M1358" s="86"/>
      <c r="N1358" s="86"/>
      <c r="O1358" s="86"/>
      <c r="P1358" s="86"/>
      <c r="Q1358" s="85"/>
      <c r="S1358" s="85"/>
      <c r="T1358" s="85"/>
      <c r="U1358" s="85"/>
      <c r="V1358" s="85"/>
      <c r="W1358" s="85"/>
      <c r="X1358" s="85"/>
    </row>
    <row r="1359" spans="2:24" s="58" customFormat="1" ht="12" x14ac:dyDescent="0.2">
      <c r="B1359" s="91"/>
      <c r="E1359" s="92"/>
      <c r="F1359" s="93"/>
      <c r="G1359" s="94"/>
      <c r="H1359" s="94"/>
      <c r="I1359" s="94"/>
      <c r="J1359" s="94"/>
      <c r="K1359" s="93"/>
      <c r="L1359" s="86"/>
      <c r="M1359" s="86"/>
      <c r="N1359" s="86"/>
      <c r="O1359" s="86"/>
      <c r="P1359" s="86"/>
      <c r="Q1359" s="85"/>
      <c r="S1359" s="85"/>
      <c r="T1359" s="85"/>
      <c r="U1359" s="85"/>
      <c r="V1359" s="85"/>
      <c r="W1359" s="85"/>
      <c r="X1359" s="85"/>
    </row>
    <row r="1360" spans="2:24" s="58" customFormat="1" ht="12" x14ac:dyDescent="0.2">
      <c r="B1360" s="91"/>
      <c r="E1360" s="92"/>
      <c r="F1360" s="93"/>
      <c r="G1360" s="94"/>
      <c r="H1360" s="94"/>
      <c r="I1360" s="94"/>
      <c r="J1360" s="94"/>
      <c r="K1360" s="93"/>
      <c r="L1360" s="86"/>
      <c r="M1360" s="86"/>
      <c r="N1360" s="86"/>
      <c r="O1360" s="86"/>
      <c r="P1360" s="86"/>
      <c r="Q1360" s="85"/>
      <c r="S1360" s="85"/>
      <c r="T1360" s="85"/>
      <c r="U1360" s="85"/>
      <c r="V1360" s="85"/>
      <c r="W1360" s="85"/>
      <c r="X1360" s="85"/>
    </row>
    <row r="1361" spans="2:24" s="58" customFormat="1" ht="12" x14ac:dyDescent="0.2">
      <c r="B1361" s="91"/>
      <c r="E1361" s="92"/>
      <c r="F1361" s="93"/>
      <c r="G1361" s="94"/>
      <c r="H1361" s="94"/>
      <c r="I1361" s="94"/>
      <c r="J1361" s="94"/>
      <c r="K1361" s="93"/>
      <c r="L1361" s="86"/>
      <c r="M1361" s="86"/>
      <c r="N1361" s="86"/>
      <c r="O1361" s="86"/>
      <c r="P1361" s="86"/>
      <c r="Q1361" s="85"/>
      <c r="S1361" s="85"/>
      <c r="T1361" s="85"/>
      <c r="U1361" s="85"/>
      <c r="V1361" s="85"/>
      <c r="W1361" s="85"/>
      <c r="X1361" s="85"/>
    </row>
    <row r="1362" spans="2:24" s="58" customFormat="1" ht="12" x14ac:dyDescent="0.2">
      <c r="B1362" s="91"/>
      <c r="E1362" s="92"/>
      <c r="F1362" s="93"/>
      <c r="G1362" s="94"/>
      <c r="H1362" s="94"/>
      <c r="I1362" s="94"/>
      <c r="J1362" s="94"/>
      <c r="K1362" s="93"/>
      <c r="L1362" s="86"/>
      <c r="M1362" s="86"/>
      <c r="N1362" s="86"/>
      <c r="O1362" s="86"/>
      <c r="P1362" s="86"/>
      <c r="Q1362" s="85"/>
      <c r="S1362" s="85"/>
      <c r="T1362" s="85"/>
      <c r="U1362" s="85"/>
      <c r="V1362" s="85"/>
      <c r="W1362" s="85"/>
      <c r="X1362" s="85"/>
    </row>
    <row r="1363" spans="2:24" s="58" customFormat="1" ht="12" x14ac:dyDescent="0.2">
      <c r="B1363" s="91"/>
      <c r="E1363" s="92"/>
      <c r="F1363" s="93"/>
      <c r="G1363" s="94"/>
      <c r="H1363" s="94"/>
      <c r="I1363" s="94"/>
      <c r="J1363" s="94"/>
      <c r="K1363" s="93"/>
      <c r="L1363" s="86"/>
      <c r="M1363" s="86"/>
      <c r="N1363" s="86"/>
      <c r="O1363" s="86"/>
      <c r="P1363" s="86"/>
      <c r="Q1363" s="85"/>
      <c r="S1363" s="85"/>
      <c r="T1363" s="85"/>
      <c r="U1363" s="85"/>
      <c r="V1363" s="85"/>
      <c r="W1363" s="85"/>
      <c r="X1363" s="85"/>
    </row>
    <row r="1364" spans="2:24" s="58" customFormat="1" ht="12" x14ac:dyDescent="0.2">
      <c r="B1364" s="91"/>
      <c r="E1364" s="92"/>
      <c r="F1364" s="93"/>
      <c r="G1364" s="94"/>
      <c r="H1364" s="94"/>
      <c r="I1364" s="94"/>
      <c r="J1364" s="94"/>
      <c r="K1364" s="93"/>
      <c r="L1364" s="86"/>
      <c r="M1364" s="86"/>
      <c r="N1364" s="86"/>
      <c r="O1364" s="86"/>
      <c r="P1364" s="86"/>
      <c r="Q1364" s="85"/>
      <c r="S1364" s="85"/>
      <c r="T1364" s="85"/>
      <c r="U1364" s="85"/>
      <c r="V1364" s="85"/>
      <c r="W1364" s="85"/>
      <c r="X1364" s="85"/>
    </row>
    <row r="1365" spans="2:24" s="58" customFormat="1" ht="12" x14ac:dyDescent="0.2">
      <c r="B1365" s="91"/>
      <c r="E1365" s="92"/>
      <c r="F1365" s="93"/>
      <c r="G1365" s="94"/>
      <c r="H1365" s="94"/>
      <c r="I1365" s="94"/>
      <c r="J1365" s="94"/>
      <c r="K1365" s="93"/>
      <c r="L1365" s="86"/>
      <c r="M1365" s="86"/>
      <c r="N1365" s="86"/>
      <c r="O1365" s="86"/>
      <c r="P1365" s="86"/>
      <c r="Q1365" s="85"/>
      <c r="S1365" s="85"/>
      <c r="T1365" s="85"/>
      <c r="U1365" s="85"/>
      <c r="V1365" s="85"/>
      <c r="W1365" s="85"/>
      <c r="X1365" s="85"/>
    </row>
    <row r="1366" spans="2:24" s="58" customFormat="1" ht="12" x14ac:dyDescent="0.2">
      <c r="B1366" s="91"/>
      <c r="E1366" s="92"/>
      <c r="F1366" s="93"/>
      <c r="G1366" s="94"/>
      <c r="H1366" s="94"/>
      <c r="I1366" s="94"/>
      <c r="J1366" s="94"/>
      <c r="K1366" s="93"/>
      <c r="L1366" s="86"/>
      <c r="M1366" s="86"/>
      <c r="N1366" s="86"/>
      <c r="O1366" s="86"/>
      <c r="P1366" s="86"/>
      <c r="Q1366" s="85"/>
      <c r="S1366" s="85"/>
      <c r="T1366" s="85"/>
      <c r="U1366" s="85"/>
      <c r="V1366" s="85"/>
      <c r="W1366" s="85"/>
      <c r="X1366" s="85"/>
    </row>
    <row r="1367" spans="2:24" s="58" customFormat="1" ht="12" x14ac:dyDescent="0.2">
      <c r="B1367" s="91"/>
      <c r="E1367" s="92"/>
      <c r="F1367" s="93"/>
      <c r="G1367" s="94"/>
      <c r="H1367" s="94"/>
      <c r="I1367" s="94"/>
      <c r="J1367" s="94"/>
      <c r="K1367" s="93"/>
      <c r="L1367" s="86"/>
      <c r="M1367" s="86"/>
      <c r="N1367" s="86"/>
      <c r="O1367" s="86"/>
      <c r="P1367" s="86"/>
      <c r="Q1367" s="85"/>
      <c r="S1367" s="85"/>
      <c r="T1367" s="85"/>
      <c r="U1367" s="85"/>
      <c r="V1367" s="85"/>
      <c r="W1367" s="85"/>
      <c r="X1367" s="85"/>
    </row>
    <row r="1368" spans="2:24" s="58" customFormat="1" ht="12" x14ac:dyDescent="0.2">
      <c r="B1368" s="91"/>
      <c r="E1368" s="92"/>
      <c r="F1368" s="93"/>
      <c r="G1368" s="94"/>
      <c r="H1368" s="94"/>
      <c r="I1368" s="94"/>
      <c r="J1368" s="94"/>
      <c r="K1368" s="93"/>
      <c r="L1368" s="86"/>
      <c r="M1368" s="86"/>
      <c r="N1368" s="86"/>
      <c r="O1368" s="86"/>
      <c r="P1368" s="86"/>
      <c r="Q1368" s="85"/>
      <c r="S1368" s="85"/>
      <c r="T1368" s="85"/>
      <c r="U1368" s="85"/>
      <c r="V1368" s="85"/>
      <c r="W1368" s="85"/>
      <c r="X1368" s="85"/>
    </row>
    <row r="1369" spans="2:24" s="58" customFormat="1" ht="12" x14ac:dyDescent="0.2">
      <c r="B1369" s="91"/>
      <c r="E1369" s="92"/>
      <c r="F1369" s="93"/>
      <c r="G1369" s="94"/>
      <c r="H1369" s="94"/>
      <c r="I1369" s="94"/>
      <c r="J1369" s="94"/>
      <c r="K1369" s="93"/>
      <c r="L1369" s="86"/>
      <c r="M1369" s="86"/>
      <c r="N1369" s="86"/>
      <c r="O1369" s="86"/>
      <c r="P1369" s="86"/>
      <c r="Q1369" s="85"/>
      <c r="S1369" s="85"/>
      <c r="T1369" s="85"/>
      <c r="U1369" s="85"/>
      <c r="V1369" s="85"/>
      <c r="W1369" s="85"/>
      <c r="X1369" s="85"/>
    </row>
    <row r="1370" spans="2:24" s="58" customFormat="1" ht="12" x14ac:dyDescent="0.2">
      <c r="B1370" s="91"/>
      <c r="E1370" s="92"/>
      <c r="F1370" s="93"/>
      <c r="G1370" s="94"/>
      <c r="H1370" s="94"/>
      <c r="I1370" s="94"/>
      <c r="J1370" s="94"/>
      <c r="K1370" s="93"/>
      <c r="L1370" s="86"/>
      <c r="M1370" s="86"/>
      <c r="N1370" s="86"/>
      <c r="O1370" s="86"/>
      <c r="P1370" s="86"/>
      <c r="Q1370" s="85"/>
      <c r="S1370" s="85"/>
      <c r="T1370" s="85"/>
      <c r="U1370" s="85"/>
      <c r="V1370" s="85"/>
      <c r="W1370" s="85"/>
      <c r="X1370" s="85"/>
    </row>
    <row r="1371" spans="2:24" s="58" customFormat="1" ht="12" x14ac:dyDescent="0.2">
      <c r="B1371" s="91"/>
      <c r="E1371" s="92"/>
      <c r="F1371" s="93"/>
      <c r="G1371" s="94"/>
      <c r="H1371" s="94"/>
      <c r="I1371" s="94"/>
      <c r="J1371" s="94"/>
      <c r="K1371" s="93"/>
      <c r="L1371" s="86"/>
      <c r="M1371" s="86"/>
      <c r="N1371" s="86"/>
      <c r="O1371" s="86"/>
      <c r="P1371" s="86"/>
      <c r="Q1371" s="85"/>
      <c r="S1371" s="85"/>
      <c r="T1371" s="85"/>
      <c r="U1371" s="85"/>
      <c r="V1371" s="85"/>
      <c r="W1371" s="85"/>
      <c r="X1371" s="85"/>
    </row>
    <row r="1372" spans="2:24" s="58" customFormat="1" ht="12" x14ac:dyDescent="0.2">
      <c r="B1372" s="91"/>
      <c r="E1372" s="92"/>
      <c r="F1372" s="93"/>
      <c r="G1372" s="94"/>
      <c r="H1372" s="94"/>
      <c r="I1372" s="94"/>
      <c r="J1372" s="94"/>
      <c r="K1372" s="93"/>
      <c r="L1372" s="86"/>
      <c r="M1372" s="86"/>
      <c r="N1372" s="86"/>
      <c r="O1372" s="86"/>
      <c r="P1372" s="86"/>
      <c r="Q1372" s="85"/>
      <c r="S1372" s="85"/>
      <c r="T1372" s="85"/>
      <c r="U1372" s="85"/>
      <c r="V1372" s="85"/>
      <c r="W1372" s="85"/>
      <c r="X1372" s="85"/>
    </row>
    <row r="1373" spans="2:24" s="58" customFormat="1" ht="12" x14ac:dyDescent="0.2">
      <c r="B1373" s="91"/>
      <c r="E1373" s="92"/>
      <c r="F1373" s="93"/>
      <c r="G1373" s="94"/>
      <c r="H1373" s="94"/>
      <c r="I1373" s="94"/>
      <c r="J1373" s="94"/>
      <c r="K1373" s="93"/>
      <c r="L1373" s="86"/>
      <c r="M1373" s="86"/>
      <c r="N1373" s="86"/>
      <c r="O1373" s="86"/>
      <c r="P1373" s="86"/>
      <c r="Q1373" s="85"/>
      <c r="S1373" s="85"/>
      <c r="T1373" s="85"/>
      <c r="U1373" s="85"/>
      <c r="V1373" s="85"/>
      <c r="W1373" s="85"/>
      <c r="X1373" s="85"/>
    </row>
    <row r="1374" spans="2:24" s="58" customFormat="1" ht="12" x14ac:dyDescent="0.2">
      <c r="B1374" s="91"/>
      <c r="E1374" s="92"/>
      <c r="F1374" s="93"/>
      <c r="G1374" s="94"/>
      <c r="H1374" s="94"/>
      <c r="I1374" s="94"/>
      <c r="J1374" s="94"/>
      <c r="K1374" s="93"/>
      <c r="L1374" s="86"/>
      <c r="M1374" s="86"/>
      <c r="N1374" s="86"/>
      <c r="O1374" s="86"/>
      <c r="P1374" s="86"/>
      <c r="Q1374" s="85"/>
      <c r="S1374" s="85"/>
      <c r="T1374" s="85"/>
      <c r="U1374" s="85"/>
      <c r="V1374" s="85"/>
      <c r="W1374" s="85"/>
      <c r="X1374" s="85"/>
    </row>
    <row r="1375" spans="2:24" s="58" customFormat="1" ht="12" x14ac:dyDescent="0.2">
      <c r="B1375" s="91"/>
      <c r="E1375" s="92"/>
      <c r="F1375" s="93"/>
      <c r="G1375" s="94"/>
      <c r="H1375" s="94"/>
      <c r="I1375" s="94"/>
      <c r="J1375" s="94"/>
      <c r="K1375" s="93"/>
      <c r="L1375" s="86"/>
      <c r="M1375" s="86"/>
      <c r="N1375" s="86"/>
      <c r="O1375" s="86"/>
      <c r="P1375" s="86"/>
      <c r="Q1375" s="85"/>
      <c r="S1375" s="85"/>
      <c r="T1375" s="85"/>
      <c r="U1375" s="85"/>
      <c r="V1375" s="85"/>
      <c r="W1375" s="85"/>
      <c r="X1375" s="85"/>
    </row>
    <row r="1376" spans="2:24" s="58" customFormat="1" ht="12" x14ac:dyDescent="0.2">
      <c r="B1376" s="91"/>
      <c r="E1376" s="92"/>
      <c r="F1376" s="93"/>
      <c r="G1376" s="94"/>
      <c r="H1376" s="94"/>
      <c r="I1376" s="94"/>
      <c r="J1376" s="94"/>
      <c r="K1376" s="93"/>
      <c r="L1376" s="86"/>
      <c r="M1376" s="86"/>
      <c r="N1376" s="86"/>
      <c r="O1376" s="86"/>
      <c r="P1376" s="86"/>
      <c r="Q1376" s="85"/>
      <c r="S1376" s="85"/>
      <c r="T1376" s="85"/>
      <c r="U1376" s="85"/>
      <c r="V1376" s="85"/>
      <c r="W1376" s="85"/>
      <c r="X1376" s="85"/>
    </row>
    <row r="1377" spans="2:24" s="58" customFormat="1" ht="12" x14ac:dyDescent="0.2">
      <c r="B1377" s="91"/>
      <c r="E1377" s="92"/>
      <c r="F1377" s="93"/>
      <c r="G1377" s="94"/>
      <c r="H1377" s="94"/>
      <c r="I1377" s="94"/>
      <c r="J1377" s="94"/>
      <c r="K1377" s="93"/>
      <c r="L1377" s="86"/>
      <c r="M1377" s="86"/>
      <c r="N1377" s="86"/>
      <c r="O1377" s="86"/>
      <c r="P1377" s="86"/>
      <c r="Q1377" s="85"/>
      <c r="S1377" s="85"/>
      <c r="T1377" s="85"/>
      <c r="U1377" s="85"/>
      <c r="V1377" s="85"/>
      <c r="W1377" s="85"/>
      <c r="X1377" s="85"/>
    </row>
    <row r="1378" spans="2:24" s="58" customFormat="1" ht="12" x14ac:dyDescent="0.2">
      <c r="B1378" s="91"/>
      <c r="E1378" s="92"/>
      <c r="F1378" s="93"/>
      <c r="G1378" s="94"/>
      <c r="H1378" s="94"/>
      <c r="I1378" s="94"/>
      <c r="J1378" s="94"/>
      <c r="K1378" s="93"/>
      <c r="L1378" s="86"/>
      <c r="M1378" s="86"/>
      <c r="N1378" s="86"/>
      <c r="O1378" s="86"/>
      <c r="P1378" s="86"/>
      <c r="Q1378" s="85"/>
      <c r="S1378" s="85"/>
      <c r="T1378" s="85"/>
      <c r="U1378" s="85"/>
      <c r="V1378" s="85"/>
      <c r="W1378" s="85"/>
      <c r="X1378" s="85"/>
    </row>
    <row r="1379" spans="2:24" s="58" customFormat="1" ht="12" x14ac:dyDescent="0.2">
      <c r="B1379" s="91"/>
      <c r="E1379" s="92"/>
      <c r="F1379" s="93"/>
      <c r="G1379" s="94"/>
      <c r="H1379" s="94"/>
      <c r="I1379" s="94"/>
      <c r="J1379" s="94"/>
      <c r="K1379" s="93"/>
      <c r="L1379" s="86"/>
      <c r="M1379" s="86"/>
      <c r="N1379" s="86"/>
      <c r="O1379" s="86"/>
      <c r="P1379" s="86"/>
      <c r="Q1379" s="85"/>
      <c r="S1379" s="85"/>
      <c r="T1379" s="85"/>
      <c r="U1379" s="85"/>
      <c r="V1379" s="85"/>
      <c r="W1379" s="85"/>
      <c r="X1379" s="85"/>
    </row>
    <row r="1380" spans="2:24" s="58" customFormat="1" ht="12" x14ac:dyDescent="0.2">
      <c r="B1380" s="91"/>
      <c r="E1380" s="92"/>
      <c r="F1380" s="93"/>
      <c r="G1380" s="94"/>
      <c r="H1380" s="94"/>
      <c r="I1380" s="94"/>
      <c r="J1380" s="94"/>
      <c r="K1380" s="93"/>
      <c r="L1380" s="86"/>
      <c r="M1380" s="86"/>
      <c r="N1380" s="86"/>
      <c r="O1380" s="86"/>
      <c r="P1380" s="86"/>
      <c r="Q1380" s="85"/>
      <c r="S1380" s="85"/>
      <c r="T1380" s="85"/>
      <c r="U1380" s="85"/>
      <c r="V1380" s="85"/>
      <c r="W1380" s="85"/>
      <c r="X1380" s="85"/>
    </row>
    <row r="1381" spans="2:24" s="58" customFormat="1" ht="12" x14ac:dyDescent="0.2">
      <c r="B1381" s="91"/>
      <c r="E1381" s="92"/>
      <c r="F1381" s="93"/>
      <c r="G1381" s="94"/>
      <c r="H1381" s="94"/>
      <c r="I1381" s="94"/>
      <c r="J1381" s="94"/>
      <c r="K1381" s="93"/>
      <c r="L1381" s="86"/>
      <c r="M1381" s="86"/>
      <c r="N1381" s="86"/>
      <c r="O1381" s="86"/>
      <c r="P1381" s="86"/>
      <c r="Q1381" s="85"/>
      <c r="S1381" s="85"/>
      <c r="T1381" s="85"/>
      <c r="U1381" s="85"/>
      <c r="V1381" s="85"/>
      <c r="W1381" s="85"/>
      <c r="X1381" s="85"/>
    </row>
    <row r="1382" spans="2:24" s="58" customFormat="1" ht="12" x14ac:dyDescent="0.2">
      <c r="B1382" s="91"/>
      <c r="E1382" s="92"/>
      <c r="F1382" s="93"/>
      <c r="G1382" s="94"/>
      <c r="H1382" s="94"/>
      <c r="I1382" s="94"/>
      <c r="J1382" s="94"/>
      <c r="K1382" s="93"/>
      <c r="L1382" s="86"/>
      <c r="M1382" s="86"/>
      <c r="N1382" s="86"/>
      <c r="O1382" s="86"/>
      <c r="P1382" s="86"/>
      <c r="Q1382" s="85"/>
      <c r="S1382" s="85"/>
      <c r="T1382" s="85"/>
      <c r="U1382" s="85"/>
      <c r="V1382" s="85"/>
      <c r="W1382" s="85"/>
      <c r="X1382" s="85"/>
    </row>
    <row r="1383" spans="2:24" s="58" customFormat="1" ht="12" x14ac:dyDescent="0.2">
      <c r="B1383" s="91"/>
      <c r="E1383" s="92"/>
      <c r="F1383" s="93"/>
      <c r="G1383" s="94"/>
      <c r="H1383" s="94"/>
      <c r="I1383" s="94"/>
      <c r="J1383" s="94"/>
      <c r="K1383" s="93"/>
      <c r="L1383" s="86"/>
      <c r="M1383" s="86"/>
      <c r="N1383" s="86"/>
      <c r="O1383" s="86"/>
      <c r="P1383" s="86"/>
      <c r="Q1383" s="85"/>
      <c r="S1383" s="85"/>
      <c r="T1383" s="85"/>
      <c r="U1383" s="85"/>
      <c r="V1383" s="85"/>
      <c r="W1383" s="85"/>
      <c r="X1383" s="85"/>
    </row>
    <row r="1384" spans="2:24" s="58" customFormat="1" ht="12" x14ac:dyDescent="0.2">
      <c r="B1384" s="91"/>
      <c r="E1384" s="92"/>
      <c r="F1384" s="93"/>
      <c r="G1384" s="94"/>
      <c r="H1384" s="94"/>
      <c r="I1384" s="94"/>
      <c r="J1384" s="94"/>
      <c r="K1384" s="93"/>
      <c r="L1384" s="86"/>
      <c r="M1384" s="86"/>
      <c r="N1384" s="86"/>
      <c r="O1384" s="86"/>
      <c r="P1384" s="86"/>
      <c r="Q1384" s="85"/>
      <c r="S1384" s="85"/>
      <c r="T1384" s="85"/>
      <c r="U1384" s="85"/>
      <c r="V1384" s="85"/>
      <c r="W1384" s="85"/>
      <c r="X1384" s="85"/>
    </row>
    <row r="1385" spans="2:24" s="58" customFormat="1" ht="12" x14ac:dyDescent="0.2">
      <c r="B1385" s="91"/>
      <c r="E1385" s="92"/>
      <c r="F1385" s="93"/>
      <c r="G1385" s="94"/>
      <c r="H1385" s="94"/>
      <c r="I1385" s="94"/>
      <c r="J1385" s="94"/>
      <c r="K1385" s="93"/>
      <c r="L1385" s="86"/>
      <c r="M1385" s="86"/>
      <c r="N1385" s="86"/>
      <c r="O1385" s="86"/>
      <c r="P1385" s="86"/>
      <c r="Q1385" s="85"/>
      <c r="S1385" s="85"/>
      <c r="T1385" s="85"/>
      <c r="U1385" s="85"/>
      <c r="V1385" s="85"/>
      <c r="W1385" s="85"/>
      <c r="X1385" s="85"/>
    </row>
    <row r="1386" spans="2:24" s="58" customFormat="1" ht="12" x14ac:dyDescent="0.2">
      <c r="B1386" s="91"/>
      <c r="E1386" s="92"/>
      <c r="F1386" s="93"/>
      <c r="G1386" s="94"/>
      <c r="H1386" s="94"/>
      <c r="I1386" s="94"/>
      <c r="J1386" s="94"/>
      <c r="K1386" s="93"/>
      <c r="L1386" s="86"/>
      <c r="M1386" s="86"/>
      <c r="N1386" s="86"/>
      <c r="O1386" s="86"/>
      <c r="P1386" s="86"/>
      <c r="Q1386" s="85"/>
      <c r="S1386" s="85"/>
      <c r="T1386" s="85"/>
      <c r="U1386" s="85"/>
      <c r="V1386" s="85"/>
      <c r="W1386" s="85"/>
      <c r="X1386" s="85"/>
    </row>
    <row r="1387" spans="2:24" s="58" customFormat="1" ht="12" x14ac:dyDescent="0.2">
      <c r="B1387" s="91"/>
      <c r="E1387" s="92"/>
      <c r="F1387" s="93"/>
      <c r="G1387" s="94"/>
      <c r="H1387" s="94"/>
      <c r="I1387" s="94"/>
      <c r="J1387" s="94"/>
      <c r="K1387" s="93"/>
      <c r="L1387" s="86"/>
      <c r="M1387" s="86"/>
      <c r="N1387" s="86"/>
      <c r="O1387" s="86"/>
      <c r="P1387" s="86"/>
      <c r="Q1387" s="85"/>
      <c r="S1387" s="85"/>
      <c r="T1387" s="85"/>
      <c r="U1387" s="85"/>
      <c r="V1387" s="85"/>
      <c r="W1387" s="85"/>
      <c r="X1387" s="85"/>
    </row>
    <row r="1388" spans="2:24" s="58" customFormat="1" ht="12" x14ac:dyDescent="0.2">
      <c r="B1388" s="91"/>
      <c r="E1388" s="92"/>
      <c r="F1388" s="93"/>
      <c r="G1388" s="94"/>
      <c r="H1388" s="94"/>
      <c r="I1388" s="94"/>
      <c r="J1388" s="94"/>
      <c r="K1388" s="93"/>
      <c r="L1388" s="86"/>
      <c r="M1388" s="86"/>
      <c r="N1388" s="86"/>
      <c r="O1388" s="86"/>
      <c r="P1388" s="86"/>
      <c r="Q1388" s="85"/>
      <c r="S1388" s="85"/>
      <c r="T1388" s="85"/>
      <c r="U1388" s="85"/>
      <c r="V1388" s="85"/>
      <c r="W1388" s="85"/>
      <c r="X1388" s="85"/>
    </row>
    <row r="1389" spans="2:24" s="58" customFormat="1" ht="12" x14ac:dyDescent="0.2">
      <c r="B1389" s="91"/>
      <c r="E1389" s="92"/>
      <c r="F1389" s="93"/>
      <c r="G1389" s="94"/>
      <c r="H1389" s="94"/>
      <c r="I1389" s="94"/>
      <c r="J1389" s="94"/>
      <c r="K1389" s="93"/>
      <c r="L1389" s="86"/>
      <c r="M1389" s="86"/>
      <c r="N1389" s="86"/>
      <c r="O1389" s="86"/>
      <c r="P1389" s="86"/>
      <c r="Q1389" s="85"/>
      <c r="S1389" s="85"/>
      <c r="T1389" s="85"/>
      <c r="U1389" s="85"/>
      <c r="V1389" s="85"/>
      <c r="W1389" s="85"/>
      <c r="X1389" s="85"/>
    </row>
    <row r="1390" spans="2:24" s="58" customFormat="1" ht="12" x14ac:dyDescent="0.2">
      <c r="B1390" s="91"/>
      <c r="E1390" s="92"/>
      <c r="F1390" s="93"/>
      <c r="G1390" s="94"/>
      <c r="H1390" s="94"/>
      <c r="I1390" s="94"/>
      <c r="J1390" s="94"/>
      <c r="K1390" s="93"/>
      <c r="L1390" s="86"/>
      <c r="M1390" s="86"/>
      <c r="N1390" s="86"/>
      <c r="O1390" s="86"/>
      <c r="P1390" s="86"/>
      <c r="Q1390" s="85"/>
      <c r="S1390" s="85"/>
      <c r="T1390" s="85"/>
      <c r="U1390" s="85"/>
      <c r="V1390" s="85"/>
      <c r="W1390" s="85"/>
      <c r="X1390" s="85"/>
    </row>
    <row r="1391" spans="2:24" s="58" customFormat="1" ht="12" x14ac:dyDescent="0.2">
      <c r="B1391" s="91"/>
      <c r="E1391" s="92"/>
      <c r="F1391" s="93"/>
      <c r="G1391" s="94"/>
      <c r="H1391" s="94"/>
      <c r="I1391" s="94"/>
      <c r="J1391" s="94"/>
      <c r="K1391" s="93"/>
      <c r="L1391" s="86"/>
      <c r="M1391" s="86"/>
      <c r="N1391" s="86"/>
      <c r="O1391" s="86"/>
      <c r="P1391" s="86"/>
      <c r="Q1391" s="85"/>
      <c r="S1391" s="85"/>
      <c r="T1391" s="85"/>
      <c r="U1391" s="85"/>
      <c r="V1391" s="85"/>
      <c r="W1391" s="85"/>
      <c r="X1391" s="85"/>
    </row>
    <row r="1392" spans="2:24" s="58" customFormat="1" ht="12" x14ac:dyDescent="0.2">
      <c r="B1392" s="91"/>
      <c r="E1392" s="92"/>
      <c r="F1392" s="93"/>
      <c r="G1392" s="94"/>
      <c r="H1392" s="94"/>
      <c r="I1392" s="94"/>
      <c r="J1392" s="94"/>
      <c r="K1392" s="93"/>
      <c r="L1392" s="86"/>
      <c r="M1392" s="86"/>
      <c r="N1392" s="86"/>
      <c r="O1392" s="86"/>
      <c r="P1392" s="86"/>
      <c r="Q1392" s="85"/>
      <c r="S1392" s="85"/>
      <c r="T1392" s="85"/>
      <c r="U1392" s="85"/>
      <c r="V1392" s="85"/>
      <c r="W1392" s="85"/>
      <c r="X1392" s="85"/>
    </row>
    <row r="1393" spans="2:24" s="58" customFormat="1" ht="12" x14ac:dyDescent="0.2">
      <c r="B1393" s="91"/>
      <c r="E1393" s="92"/>
      <c r="F1393" s="93"/>
      <c r="G1393" s="94"/>
      <c r="H1393" s="94"/>
      <c r="I1393" s="94"/>
      <c r="J1393" s="94"/>
      <c r="K1393" s="93"/>
      <c r="L1393" s="86"/>
      <c r="M1393" s="86"/>
      <c r="N1393" s="86"/>
      <c r="O1393" s="86"/>
      <c r="P1393" s="86"/>
      <c r="Q1393" s="85"/>
      <c r="S1393" s="85"/>
      <c r="T1393" s="85"/>
      <c r="U1393" s="85"/>
      <c r="V1393" s="85"/>
      <c r="W1393" s="85"/>
      <c r="X1393" s="85"/>
    </row>
    <row r="1394" spans="2:24" s="58" customFormat="1" ht="12" x14ac:dyDescent="0.2">
      <c r="B1394" s="91"/>
      <c r="E1394" s="92"/>
      <c r="F1394" s="93"/>
      <c r="G1394" s="94"/>
      <c r="H1394" s="94"/>
      <c r="I1394" s="94"/>
      <c r="J1394" s="94"/>
      <c r="K1394" s="93"/>
      <c r="L1394" s="86"/>
      <c r="M1394" s="86"/>
      <c r="N1394" s="86"/>
      <c r="O1394" s="86"/>
      <c r="P1394" s="86"/>
      <c r="Q1394" s="85"/>
      <c r="S1394" s="85"/>
      <c r="T1394" s="85"/>
      <c r="U1394" s="85"/>
      <c r="V1394" s="85"/>
      <c r="W1394" s="85"/>
      <c r="X1394" s="85"/>
    </row>
    <row r="1395" spans="2:24" s="58" customFormat="1" ht="12" x14ac:dyDescent="0.2">
      <c r="B1395" s="91"/>
      <c r="E1395" s="92"/>
      <c r="F1395" s="93"/>
      <c r="G1395" s="94"/>
      <c r="H1395" s="94"/>
      <c r="I1395" s="94"/>
      <c r="J1395" s="94"/>
      <c r="K1395" s="93"/>
      <c r="L1395" s="86"/>
      <c r="M1395" s="86"/>
      <c r="N1395" s="86"/>
      <c r="O1395" s="86"/>
      <c r="P1395" s="86"/>
      <c r="Q1395" s="85"/>
      <c r="S1395" s="85"/>
      <c r="T1395" s="85"/>
      <c r="U1395" s="85"/>
      <c r="V1395" s="85"/>
      <c r="W1395" s="85"/>
      <c r="X1395" s="85"/>
    </row>
    <row r="1396" spans="2:24" s="58" customFormat="1" ht="12" x14ac:dyDescent="0.2">
      <c r="B1396" s="91"/>
      <c r="E1396" s="92"/>
      <c r="F1396" s="93"/>
      <c r="G1396" s="94"/>
      <c r="H1396" s="94"/>
      <c r="I1396" s="94"/>
      <c r="J1396" s="94"/>
      <c r="K1396" s="93"/>
      <c r="L1396" s="86"/>
      <c r="M1396" s="86"/>
      <c r="N1396" s="86"/>
      <c r="O1396" s="86"/>
      <c r="P1396" s="86"/>
      <c r="Q1396" s="85"/>
      <c r="S1396" s="85"/>
      <c r="T1396" s="85"/>
      <c r="U1396" s="85"/>
      <c r="V1396" s="85"/>
      <c r="W1396" s="85"/>
      <c r="X1396" s="85"/>
    </row>
    <row r="1397" spans="2:24" s="58" customFormat="1" ht="12" x14ac:dyDescent="0.2">
      <c r="B1397" s="91"/>
      <c r="E1397" s="92"/>
      <c r="F1397" s="93"/>
      <c r="G1397" s="94"/>
      <c r="H1397" s="94"/>
      <c r="I1397" s="94"/>
      <c r="J1397" s="94"/>
      <c r="K1397" s="93"/>
      <c r="L1397" s="86"/>
      <c r="M1397" s="86"/>
      <c r="N1397" s="86"/>
      <c r="O1397" s="86"/>
      <c r="P1397" s="86"/>
      <c r="Q1397" s="85"/>
      <c r="S1397" s="85"/>
      <c r="T1397" s="85"/>
      <c r="U1397" s="85"/>
      <c r="V1397" s="85"/>
      <c r="W1397" s="85"/>
      <c r="X1397" s="85"/>
    </row>
    <row r="1398" spans="2:24" s="58" customFormat="1" ht="12" x14ac:dyDescent="0.2">
      <c r="B1398" s="91"/>
      <c r="E1398" s="92"/>
      <c r="F1398" s="93"/>
      <c r="G1398" s="94"/>
      <c r="H1398" s="94"/>
      <c r="I1398" s="94"/>
      <c r="J1398" s="94"/>
      <c r="K1398" s="93"/>
      <c r="L1398" s="86"/>
      <c r="M1398" s="86"/>
      <c r="N1398" s="86"/>
      <c r="O1398" s="86"/>
      <c r="P1398" s="86"/>
      <c r="Q1398" s="85"/>
      <c r="S1398" s="85"/>
      <c r="T1398" s="85"/>
      <c r="U1398" s="85"/>
      <c r="V1398" s="85"/>
      <c r="W1398" s="85"/>
      <c r="X1398" s="85"/>
    </row>
    <row r="1399" spans="2:24" s="58" customFormat="1" ht="12" x14ac:dyDescent="0.2">
      <c r="B1399" s="91"/>
      <c r="E1399" s="92"/>
      <c r="F1399" s="93"/>
      <c r="G1399" s="94"/>
      <c r="H1399" s="94"/>
      <c r="I1399" s="94"/>
      <c r="J1399" s="94"/>
      <c r="K1399" s="93"/>
      <c r="L1399" s="86"/>
      <c r="M1399" s="86"/>
      <c r="N1399" s="86"/>
      <c r="O1399" s="86"/>
      <c r="P1399" s="86"/>
      <c r="Q1399" s="85"/>
      <c r="S1399" s="85"/>
      <c r="T1399" s="85"/>
      <c r="U1399" s="85"/>
      <c r="V1399" s="85"/>
      <c r="W1399" s="85"/>
      <c r="X1399" s="85"/>
    </row>
    <row r="1400" spans="2:24" s="58" customFormat="1" ht="12" x14ac:dyDescent="0.2">
      <c r="B1400" s="91"/>
      <c r="E1400" s="92"/>
      <c r="F1400" s="93"/>
      <c r="G1400" s="94"/>
      <c r="H1400" s="94"/>
      <c r="I1400" s="94"/>
      <c r="J1400" s="94"/>
      <c r="K1400" s="93"/>
      <c r="L1400" s="86"/>
      <c r="M1400" s="86"/>
      <c r="N1400" s="86"/>
      <c r="O1400" s="86"/>
      <c r="P1400" s="86"/>
      <c r="Q1400" s="85"/>
      <c r="S1400" s="85"/>
      <c r="T1400" s="85"/>
      <c r="U1400" s="85"/>
      <c r="V1400" s="85"/>
      <c r="W1400" s="85"/>
      <c r="X1400" s="85"/>
    </row>
    <row r="1401" spans="2:24" s="58" customFormat="1" ht="12" x14ac:dyDescent="0.2">
      <c r="B1401" s="91"/>
      <c r="E1401" s="92"/>
      <c r="F1401" s="93"/>
      <c r="G1401" s="94"/>
      <c r="H1401" s="94"/>
      <c r="I1401" s="94"/>
      <c r="J1401" s="94"/>
      <c r="K1401" s="93"/>
      <c r="L1401" s="86"/>
      <c r="M1401" s="86"/>
      <c r="N1401" s="86"/>
      <c r="O1401" s="86"/>
      <c r="P1401" s="86"/>
      <c r="Q1401" s="85"/>
      <c r="S1401" s="85"/>
      <c r="T1401" s="85"/>
      <c r="U1401" s="85"/>
      <c r="V1401" s="85"/>
      <c r="W1401" s="85"/>
      <c r="X1401" s="85"/>
    </row>
    <row r="1402" spans="2:24" s="58" customFormat="1" ht="12" x14ac:dyDescent="0.2">
      <c r="B1402" s="91"/>
      <c r="E1402" s="92"/>
      <c r="F1402" s="93"/>
      <c r="G1402" s="94"/>
      <c r="H1402" s="94"/>
      <c r="I1402" s="94"/>
      <c r="J1402" s="94"/>
      <c r="K1402" s="93"/>
      <c r="L1402" s="86"/>
      <c r="M1402" s="86"/>
      <c r="N1402" s="86"/>
      <c r="O1402" s="86"/>
      <c r="P1402" s="86"/>
      <c r="Q1402" s="85"/>
      <c r="S1402" s="85"/>
      <c r="T1402" s="85"/>
      <c r="U1402" s="85"/>
      <c r="V1402" s="85"/>
      <c r="W1402" s="85"/>
      <c r="X1402" s="85"/>
    </row>
    <row r="1403" spans="2:24" s="58" customFormat="1" ht="12" x14ac:dyDescent="0.2">
      <c r="B1403" s="91"/>
      <c r="E1403" s="92"/>
      <c r="F1403" s="93"/>
      <c r="G1403" s="94"/>
      <c r="H1403" s="94"/>
      <c r="I1403" s="94"/>
      <c r="J1403" s="94"/>
      <c r="K1403" s="93"/>
      <c r="L1403" s="86"/>
      <c r="M1403" s="86"/>
      <c r="N1403" s="86"/>
      <c r="O1403" s="86"/>
      <c r="P1403" s="86"/>
      <c r="Q1403" s="85"/>
      <c r="S1403" s="85"/>
      <c r="T1403" s="85"/>
      <c r="U1403" s="85"/>
      <c r="V1403" s="85"/>
      <c r="W1403" s="85"/>
      <c r="X1403" s="85"/>
    </row>
    <row r="1404" spans="2:24" s="58" customFormat="1" ht="12" x14ac:dyDescent="0.2">
      <c r="B1404" s="91"/>
      <c r="E1404" s="92"/>
      <c r="F1404" s="93"/>
      <c r="G1404" s="94"/>
      <c r="H1404" s="94"/>
      <c r="I1404" s="94"/>
      <c r="J1404" s="94"/>
      <c r="K1404" s="93"/>
      <c r="L1404" s="86"/>
      <c r="M1404" s="86"/>
      <c r="N1404" s="86"/>
      <c r="O1404" s="86"/>
      <c r="P1404" s="86"/>
      <c r="Q1404" s="85"/>
      <c r="S1404" s="85"/>
      <c r="T1404" s="85"/>
      <c r="U1404" s="85"/>
      <c r="V1404" s="85"/>
      <c r="W1404" s="85"/>
      <c r="X1404" s="85"/>
    </row>
    <row r="1405" spans="2:24" s="58" customFormat="1" ht="12" x14ac:dyDescent="0.2">
      <c r="B1405" s="91"/>
      <c r="E1405" s="92"/>
      <c r="F1405" s="93"/>
      <c r="G1405" s="94"/>
      <c r="H1405" s="94"/>
      <c r="I1405" s="94"/>
      <c r="J1405" s="94"/>
      <c r="K1405" s="93"/>
      <c r="L1405" s="86"/>
      <c r="M1405" s="86"/>
      <c r="N1405" s="86"/>
      <c r="O1405" s="86"/>
      <c r="P1405" s="86"/>
      <c r="Q1405" s="85"/>
      <c r="S1405" s="85"/>
      <c r="T1405" s="85"/>
      <c r="U1405" s="85"/>
      <c r="V1405" s="85"/>
      <c r="W1405" s="85"/>
      <c r="X1405" s="85"/>
    </row>
    <row r="1406" spans="2:24" s="58" customFormat="1" ht="12" x14ac:dyDescent="0.2">
      <c r="B1406" s="91"/>
      <c r="E1406" s="92"/>
      <c r="F1406" s="93"/>
      <c r="G1406" s="94"/>
      <c r="H1406" s="94"/>
      <c r="I1406" s="94"/>
      <c r="J1406" s="94"/>
      <c r="K1406" s="93"/>
      <c r="L1406" s="86"/>
      <c r="M1406" s="86"/>
      <c r="N1406" s="86"/>
      <c r="O1406" s="86"/>
      <c r="P1406" s="86"/>
      <c r="Q1406" s="85"/>
      <c r="S1406" s="85"/>
      <c r="T1406" s="85"/>
      <c r="U1406" s="85"/>
      <c r="V1406" s="85"/>
      <c r="W1406" s="85"/>
      <c r="X1406" s="85"/>
    </row>
    <row r="1407" spans="2:24" s="58" customFormat="1" ht="12" x14ac:dyDescent="0.2">
      <c r="B1407" s="91"/>
      <c r="E1407" s="92"/>
      <c r="F1407" s="93"/>
      <c r="G1407" s="94"/>
      <c r="H1407" s="94"/>
      <c r="I1407" s="94"/>
      <c r="J1407" s="94"/>
      <c r="K1407" s="93"/>
      <c r="L1407" s="86"/>
      <c r="M1407" s="86"/>
      <c r="N1407" s="86"/>
      <c r="O1407" s="86"/>
      <c r="P1407" s="86"/>
      <c r="Q1407" s="85"/>
      <c r="S1407" s="85"/>
      <c r="T1407" s="85"/>
      <c r="U1407" s="85"/>
      <c r="V1407" s="85"/>
      <c r="W1407" s="85"/>
      <c r="X1407" s="85"/>
    </row>
    <row r="1408" spans="2:24" s="58" customFormat="1" ht="12" x14ac:dyDescent="0.2">
      <c r="B1408" s="91"/>
      <c r="E1408" s="92"/>
      <c r="F1408" s="93"/>
      <c r="G1408" s="94"/>
      <c r="H1408" s="94"/>
      <c r="I1408" s="94"/>
      <c r="J1408" s="94"/>
      <c r="K1408" s="93"/>
      <c r="L1408" s="86"/>
      <c r="M1408" s="86"/>
      <c r="N1408" s="86"/>
      <c r="O1408" s="86"/>
      <c r="P1408" s="86"/>
      <c r="Q1408" s="85"/>
      <c r="S1408" s="85"/>
      <c r="T1408" s="85"/>
      <c r="U1408" s="85"/>
      <c r="V1408" s="85"/>
      <c r="W1408" s="85"/>
      <c r="X1408" s="85"/>
    </row>
    <row r="1409" spans="2:24" s="58" customFormat="1" ht="12" x14ac:dyDescent="0.2">
      <c r="B1409" s="91"/>
      <c r="E1409" s="92"/>
      <c r="F1409" s="93"/>
      <c r="G1409" s="94"/>
      <c r="H1409" s="94"/>
      <c r="I1409" s="94"/>
      <c r="J1409" s="94"/>
      <c r="K1409" s="93"/>
      <c r="L1409" s="86"/>
      <c r="M1409" s="86"/>
      <c r="N1409" s="86"/>
      <c r="O1409" s="86"/>
      <c r="P1409" s="86"/>
      <c r="Q1409" s="85"/>
      <c r="S1409" s="85"/>
      <c r="T1409" s="85"/>
      <c r="U1409" s="85"/>
      <c r="V1409" s="85"/>
      <c r="W1409" s="85"/>
      <c r="X1409" s="85"/>
    </row>
    <row r="1410" spans="2:24" s="58" customFormat="1" ht="12" x14ac:dyDescent="0.2">
      <c r="B1410" s="91"/>
      <c r="E1410" s="92"/>
      <c r="F1410" s="93"/>
      <c r="G1410" s="94"/>
      <c r="H1410" s="94"/>
      <c r="I1410" s="94"/>
      <c r="J1410" s="94"/>
      <c r="K1410" s="93"/>
      <c r="L1410" s="86"/>
      <c r="M1410" s="86"/>
      <c r="N1410" s="86"/>
      <c r="O1410" s="86"/>
      <c r="P1410" s="86"/>
      <c r="Q1410" s="85"/>
      <c r="S1410" s="85"/>
      <c r="T1410" s="85"/>
      <c r="U1410" s="85"/>
      <c r="V1410" s="85"/>
      <c r="W1410" s="85"/>
      <c r="X1410" s="85"/>
    </row>
    <row r="1411" spans="2:24" s="58" customFormat="1" ht="12" x14ac:dyDescent="0.2">
      <c r="B1411" s="91"/>
      <c r="E1411" s="92"/>
      <c r="F1411" s="93"/>
      <c r="G1411" s="94"/>
      <c r="H1411" s="94"/>
      <c r="I1411" s="94"/>
      <c r="J1411" s="94"/>
      <c r="K1411" s="93"/>
      <c r="L1411" s="86"/>
      <c r="M1411" s="86"/>
      <c r="N1411" s="86"/>
      <c r="O1411" s="86"/>
      <c r="P1411" s="86"/>
      <c r="Q1411" s="85"/>
      <c r="S1411" s="85"/>
      <c r="T1411" s="85"/>
      <c r="U1411" s="85"/>
      <c r="V1411" s="85"/>
      <c r="W1411" s="85"/>
      <c r="X1411" s="85"/>
    </row>
    <row r="1412" spans="2:24" s="58" customFormat="1" ht="12" x14ac:dyDescent="0.2">
      <c r="B1412" s="91"/>
      <c r="E1412" s="92"/>
      <c r="F1412" s="93"/>
      <c r="G1412" s="94"/>
      <c r="H1412" s="94"/>
      <c r="I1412" s="94"/>
      <c r="J1412" s="94"/>
      <c r="K1412" s="93"/>
      <c r="L1412" s="86"/>
      <c r="M1412" s="86"/>
      <c r="N1412" s="86"/>
      <c r="O1412" s="86"/>
      <c r="P1412" s="86"/>
      <c r="Q1412" s="85"/>
      <c r="S1412" s="85"/>
      <c r="T1412" s="85"/>
      <c r="U1412" s="85"/>
      <c r="V1412" s="85"/>
      <c r="W1412" s="85"/>
      <c r="X1412" s="85"/>
    </row>
    <row r="1413" spans="2:24" s="58" customFormat="1" ht="12" x14ac:dyDescent="0.2">
      <c r="B1413" s="91"/>
      <c r="E1413" s="92"/>
      <c r="F1413" s="93"/>
      <c r="G1413" s="94"/>
      <c r="H1413" s="94"/>
      <c r="I1413" s="94"/>
      <c r="J1413" s="94"/>
      <c r="K1413" s="93"/>
      <c r="L1413" s="86"/>
      <c r="M1413" s="86"/>
      <c r="N1413" s="86"/>
      <c r="O1413" s="86"/>
      <c r="P1413" s="86"/>
      <c r="Q1413" s="85"/>
      <c r="S1413" s="85"/>
      <c r="T1413" s="85"/>
      <c r="U1413" s="85"/>
      <c r="V1413" s="85"/>
      <c r="W1413" s="85"/>
      <c r="X1413" s="85"/>
    </row>
    <row r="1414" spans="2:24" s="58" customFormat="1" ht="12" x14ac:dyDescent="0.2">
      <c r="B1414" s="91"/>
      <c r="E1414" s="92"/>
      <c r="F1414" s="93"/>
      <c r="G1414" s="94"/>
      <c r="H1414" s="94"/>
      <c r="I1414" s="94"/>
      <c r="J1414" s="94"/>
      <c r="K1414" s="93"/>
      <c r="L1414" s="86"/>
      <c r="M1414" s="86"/>
      <c r="N1414" s="86"/>
      <c r="O1414" s="86"/>
      <c r="P1414" s="86"/>
      <c r="Q1414" s="85"/>
      <c r="S1414" s="85"/>
      <c r="T1414" s="85"/>
      <c r="U1414" s="85"/>
      <c r="V1414" s="85"/>
      <c r="W1414" s="85"/>
      <c r="X1414" s="85"/>
    </row>
    <row r="1415" spans="2:24" s="58" customFormat="1" ht="12" x14ac:dyDescent="0.2">
      <c r="B1415" s="91"/>
      <c r="E1415" s="92"/>
      <c r="F1415" s="93"/>
      <c r="G1415" s="94"/>
      <c r="H1415" s="94"/>
      <c r="I1415" s="94"/>
      <c r="J1415" s="94"/>
      <c r="K1415" s="93"/>
      <c r="L1415" s="86"/>
      <c r="M1415" s="86"/>
      <c r="N1415" s="86"/>
      <c r="O1415" s="86"/>
      <c r="P1415" s="86"/>
      <c r="Q1415" s="85"/>
      <c r="S1415" s="85"/>
      <c r="T1415" s="85"/>
      <c r="U1415" s="85"/>
      <c r="V1415" s="85"/>
      <c r="W1415" s="85"/>
      <c r="X1415" s="85"/>
    </row>
    <row r="1416" spans="2:24" s="58" customFormat="1" ht="12" x14ac:dyDescent="0.2">
      <c r="B1416" s="91"/>
      <c r="E1416" s="92"/>
      <c r="F1416" s="93"/>
      <c r="G1416" s="94"/>
      <c r="H1416" s="94"/>
      <c r="I1416" s="94"/>
      <c r="J1416" s="94"/>
      <c r="K1416" s="93"/>
      <c r="L1416" s="86"/>
      <c r="M1416" s="86"/>
      <c r="N1416" s="86"/>
      <c r="O1416" s="86"/>
      <c r="P1416" s="86"/>
      <c r="Q1416" s="85"/>
      <c r="S1416" s="85"/>
      <c r="T1416" s="85"/>
      <c r="U1416" s="85"/>
      <c r="V1416" s="85"/>
      <c r="W1416" s="85"/>
      <c r="X1416" s="85"/>
    </row>
    <row r="1417" spans="2:24" s="58" customFormat="1" ht="12" x14ac:dyDescent="0.2">
      <c r="B1417" s="91"/>
      <c r="E1417" s="92"/>
      <c r="F1417" s="93"/>
      <c r="G1417" s="94"/>
      <c r="H1417" s="94"/>
      <c r="I1417" s="94"/>
      <c r="J1417" s="94"/>
      <c r="K1417" s="93"/>
      <c r="L1417" s="86"/>
      <c r="M1417" s="86"/>
      <c r="N1417" s="86"/>
      <c r="O1417" s="86"/>
      <c r="P1417" s="86"/>
      <c r="Q1417" s="85"/>
      <c r="S1417" s="85"/>
      <c r="T1417" s="85"/>
      <c r="U1417" s="85"/>
      <c r="V1417" s="85"/>
      <c r="W1417" s="85"/>
      <c r="X1417" s="85"/>
    </row>
    <row r="1418" spans="2:24" s="58" customFormat="1" ht="12" x14ac:dyDescent="0.2">
      <c r="B1418" s="91"/>
      <c r="E1418" s="92"/>
      <c r="F1418" s="93"/>
      <c r="G1418" s="94"/>
      <c r="H1418" s="94"/>
      <c r="I1418" s="94"/>
      <c r="J1418" s="94"/>
      <c r="K1418" s="93"/>
      <c r="L1418" s="86"/>
      <c r="M1418" s="86"/>
      <c r="N1418" s="86"/>
      <c r="O1418" s="86"/>
      <c r="P1418" s="86"/>
      <c r="Q1418" s="85"/>
      <c r="S1418" s="85"/>
      <c r="T1418" s="85"/>
      <c r="U1418" s="85"/>
      <c r="V1418" s="85"/>
      <c r="W1418" s="85"/>
      <c r="X1418" s="85"/>
    </row>
    <row r="1419" spans="2:24" s="58" customFormat="1" ht="12" x14ac:dyDescent="0.2">
      <c r="B1419" s="91"/>
      <c r="E1419" s="92"/>
      <c r="F1419" s="93"/>
      <c r="G1419" s="94"/>
      <c r="H1419" s="94"/>
      <c r="I1419" s="94"/>
      <c r="J1419" s="94"/>
      <c r="K1419" s="93"/>
      <c r="L1419" s="86"/>
      <c r="M1419" s="86"/>
      <c r="N1419" s="86"/>
      <c r="O1419" s="86"/>
      <c r="P1419" s="86"/>
      <c r="Q1419" s="85"/>
      <c r="S1419" s="85"/>
      <c r="T1419" s="85"/>
      <c r="U1419" s="85"/>
      <c r="V1419" s="85"/>
      <c r="W1419" s="85"/>
      <c r="X1419" s="85"/>
    </row>
    <row r="1420" spans="2:24" s="58" customFormat="1" ht="12" x14ac:dyDescent="0.2">
      <c r="B1420" s="91"/>
      <c r="E1420" s="92"/>
      <c r="F1420" s="93"/>
      <c r="G1420" s="94"/>
      <c r="H1420" s="94"/>
      <c r="I1420" s="94"/>
      <c r="J1420" s="94"/>
      <c r="K1420" s="93"/>
      <c r="L1420" s="86"/>
      <c r="M1420" s="86"/>
      <c r="N1420" s="86"/>
      <c r="O1420" s="86"/>
      <c r="P1420" s="86"/>
      <c r="Q1420" s="85"/>
      <c r="S1420" s="85"/>
      <c r="T1420" s="85"/>
      <c r="U1420" s="85"/>
      <c r="V1420" s="85"/>
      <c r="W1420" s="85"/>
      <c r="X1420" s="85"/>
    </row>
    <row r="1421" spans="2:24" s="58" customFormat="1" ht="12" x14ac:dyDescent="0.2">
      <c r="B1421" s="91"/>
      <c r="E1421" s="92"/>
      <c r="F1421" s="93"/>
      <c r="G1421" s="94"/>
      <c r="H1421" s="94"/>
      <c r="I1421" s="94"/>
      <c r="J1421" s="94"/>
      <c r="K1421" s="93"/>
      <c r="L1421" s="86"/>
      <c r="M1421" s="86"/>
      <c r="N1421" s="86"/>
      <c r="O1421" s="86"/>
      <c r="P1421" s="86"/>
      <c r="Q1421" s="85"/>
      <c r="S1421" s="85"/>
      <c r="T1421" s="85"/>
      <c r="U1421" s="85"/>
      <c r="V1421" s="85"/>
      <c r="W1421" s="85"/>
      <c r="X1421" s="85"/>
    </row>
    <row r="1422" spans="2:24" s="58" customFormat="1" ht="12" x14ac:dyDescent="0.2">
      <c r="B1422" s="91"/>
      <c r="E1422" s="92"/>
      <c r="F1422" s="93"/>
      <c r="G1422" s="94"/>
      <c r="H1422" s="94"/>
      <c r="I1422" s="94"/>
      <c r="J1422" s="94"/>
      <c r="K1422" s="93"/>
      <c r="L1422" s="86"/>
      <c r="M1422" s="86"/>
      <c r="N1422" s="86"/>
      <c r="O1422" s="86"/>
      <c r="P1422" s="86"/>
      <c r="Q1422" s="85"/>
      <c r="S1422" s="85"/>
      <c r="T1422" s="85"/>
      <c r="U1422" s="85"/>
      <c r="V1422" s="85"/>
      <c r="W1422" s="85"/>
      <c r="X1422" s="85"/>
    </row>
    <row r="1423" spans="2:24" s="58" customFormat="1" ht="12" x14ac:dyDescent="0.2">
      <c r="B1423" s="91"/>
      <c r="E1423" s="92"/>
      <c r="F1423" s="93"/>
      <c r="G1423" s="94"/>
      <c r="H1423" s="94"/>
      <c r="I1423" s="94"/>
      <c r="J1423" s="94"/>
      <c r="K1423" s="93"/>
      <c r="L1423" s="86"/>
      <c r="M1423" s="86"/>
      <c r="N1423" s="86"/>
      <c r="O1423" s="86"/>
      <c r="P1423" s="86"/>
      <c r="Q1423" s="85"/>
      <c r="S1423" s="85"/>
      <c r="T1423" s="85"/>
      <c r="U1423" s="85"/>
      <c r="V1423" s="85"/>
      <c r="W1423" s="85"/>
      <c r="X1423" s="85"/>
    </row>
    <row r="1424" spans="2:24" s="58" customFormat="1" ht="12" x14ac:dyDescent="0.2">
      <c r="B1424" s="91"/>
      <c r="E1424" s="92"/>
      <c r="F1424" s="93"/>
      <c r="G1424" s="94"/>
      <c r="H1424" s="94"/>
      <c r="I1424" s="94"/>
      <c r="J1424" s="94"/>
      <c r="K1424" s="93"/>
      <c r="L1424" s="86"/>
      <c r="M1424" s="86"/>
      <c r="N1424" s="86"/>
      <c r="O1424" s="86"/>
      <c r="P1424" s="86"/>
      <c r="Q1424" s="85"/>
      <c r="S1424" s="85"/>
      <c r="T1424" s="85"/>
      <c r="U1424" s="85"/>
      <c r="V1424" s="85"/>
      <c r="W1424" s="85"/>
      <c r="X1424" s="85"/>
    </row>
    <row r="1425" spans="2:24" s="58" customFormat="1" ht="12" x14ac:dyDescent="0.2">
      <c r="B1425" s="91"/>
      <c r="E1425" s="92"/>
      <c r="F1425" s="93"/>
      <c r="G1425" s="94"/>
      <c r="H1425" s="94"/>
      <c r="I1425" s="94"/>
      <c r="J1425" s="94"/>
      <c r="K1425" s="93"/>
      <c r="L1425" s="86"/>
      <c r="M1425" s="86"/>
      <c r="N1425" s="86"/>
      <c r="O1425" s="86"/>
      <c r="P1425" s="86"/>
      <c r="Q1425" s="85"/>
      <c r="S1425" s="85"/>
      <c r="T1425" s="85"/>
      <c r="U1425" s="85"/>
      <c r="V1425" s="85"/>
      <c r="W1425" s="85"/>
      <c r="X1425" s="85"/>
    </row>
    <row r="1426" spans="2:24" s="58" customFormat="1" ht="12" x14ac:dyDescent="0.2">
      <c r="B1426" s="91"/>
      <c r="E1426" s="92"/>
      <c r="F1426" s="93"/>
      <c r="G1426" s="94"/>
      <c r="H1426" s="94"/>
      <c r="I1426" s="94"/>
      <c r="J1426" s="94"/>
      <c r="K1426" s="93"/>
      <c r="L1426" s="86"/>
      <c r="M1426" s="86"/>
      <c r="N1426" s="86"/>
      <c r="O1426" s="86"/>
      <c r="P1426" s="86"/>
      <c r="Q1426" s="85"/>
      <c r="S1426" s="85"/>
      <c r="T1426" s="85"/>
      <c r="U1426" s="85"/>
      <c r="V1426" s="85"/>
      <c r="W1426" s="85"/>
      <c r="X1426" s="85"/>
    </row>
    <row r="1427" spans="2:24" s="58" customFormat="1" ht="12" x14ac:dyDescent="0.2">
      <c r="B1427" s="91"/>
      <c r="E1427" s="92"/>
      <c r="F1427" s="93"/>
      <c r="G1427" s="94"/>
      <c r="H1427" s="94"/>
      <c r="I1427" s="94"/>
      <c r="J1427" s="94"/>
      <c r="K1427" s="93"/>
      <c r="L1427" s="86"/>
      <c r="M1427" s="86"/>
      <c r="N1427" s="86"/>
      <c r="O1427" s="86"/>
      <c r="P1427" s="86"/>
      <c r="Q1427" s="85"/>
      <c r="S1427" s="85"/>
      <c r="T1427" s="85"/>
      <c r="U1427" s="85"/>
      <c r="V1427" s="85"/>
      <c r="W1427" s="85"/>
      <c r="X1427" s="85"/>
    </row>
    <row r="1428" spans="2:24" s="58" customFormat="1" ht="12" x14ac:dyDescent="0.2">
      <c r="B1428" s="91"/>
      <c r="E1428" s="92"/>
      <c r="F1428" s="93"/>
      <c r="G1428" s="94"/>
      <c r="H1428" s="94"/>
      <c r="I1428" s="94"/>
      <c r="J1428" s="94"/>
      <c r="K1428" s="93"/>
      <c r="L1428" s="86"/>
      <c r="M1428" s="86"/>
      <c r="N1428" s="86"/>
      <c r="O1428" s="86"/>
      <c r="P1428" s="86"/>
      <c r="Q1428" s="85"/>
      <c r="S1428" s="85"/>
      <c r="T1428" s="85"/>
      <c r="U1428" s="85"/>
      <c r="V1428" s="85"/>
      <c r="W1428" s="85"/>
      <c r="X1428" s="85"/>
    </row>
    <row r="1429" spans="2:24" s="58" customFormat="1" ht="12" x14ac:dyDescent="0.2">
      <c r="B1429" s="91"/>
      <c r="E1429" s="92"/>
      <c r="F1429" s="93"/>
      <c r="G1429" s="94"/>
      <c r="H1429" s="94"/>
      <c r="I1429" s="94"/>
      <c r="J1429" s="94"/>
      <c r="K1429" s="93"/>
      <c r="L1429" s="86"/>
      <c r="M1429" s="86"/>
      <c r="N1429" s="86"/>
      <c r="O1429" s="86"/>
      <c r="P1429" s="86"/>
      <c r="Q1429" s="85"/>
      <c r="S1429" s="85"/>
      <c r="T1429" s="85"/>
      <c r="U1429" s="85"/>
      <c r="V1429" s="85"/>
      <c r="W1429" s="85"/>
      <c r="X1429" s="85"/>
    </row>
    <row r="1430" spans="2:24" s="58" customFormat="1" ht="12" x14ac:dyDescent="0.2">
      <c r="B1430" s="91"/>
      <c r="E1430" s="92"/>
      <c r="F1430" s="93"/>
      <c r="G1430" s="94"/>
      <c r="H1430" s="94"/>
      <c r="I1430" s="94"/>
      <c r="J1430" s="94"/>
      <c r="K1430" s="93"/>
      <c r="L1430" s="86"/>
      <c r="M1430" s="86"/>
      <c r="N1430" s="86"/>
      <c r="O1430" s="86"/>
      <c r="P1430" s="86"/>
      <c r="Q1430" s="85"/>
      <c r="S1430" s="85"/>
      <c r="T1430" s="85"/>
      <c r="U1430" s="85"/>
      <c r="V1430" s="85"/>
      <c r="W1430" s="85"/>
      <c r="X1430" s="85"/>
    </row>
    <row r="1431" spans="2:24" s="58" customFormat="1" ht="12" x14ac:dyDescent="0.2">
      <c r="B1431" s="91"/>
      <c r="E1431" s="92"/>
      <c r="F1431" s="93"/>
      <c r="G1431" s="94"/>
      <c r="H1431" s="94"/>
      <c r="I1431" s="94"/>
      <c r="J1431" s="94"/>
      <c r="K1431" s="93"/>
      <c r="L1431" s="86"/>
      <c r="M1431" s="86"/>
      <c r="N1431" s="86"/>
      <c r="O1431" s="86"/>
      <c r="P1431" s="86"/>
      <c r="Q1431" s="85"/>
      <c r="S1431" s="85"/>
      <c r="T1431" s="85"/>
      <c r="U1431" s="85"/>
      <c r="V1431" s="85"/>
      <c r="W1431" s="85"/>
      <c r="X1431" s="85"/>
    </row>
    <row r="1432" spans="2:24" s="58" customFormat="1" ht="12" x14ac:dyDescent="0.2">
      <c r="B1432" s="91"/>
      <c r="E1432" s="92"/>
      <c r="F1432" s="93"/>
      <c r="G1432" s="94"/>
      <c r="H1432" s="94"/>
      <c r="I1432" s="94"/>
      <c r="J1432" s="94"/>
      <c r="K1432" s="93"/>
      <c r="L1432" s="86"/>
      <c r="M1432" s="86"/>
      <c r="N1432" s="86"/>
      <c r="O1432" s="86"/>
      <c r="P1432" s="86"/>
      <c r="Q1432" s="85"/>
      <c r="S1432" s="85"/>
      <c r="T1432" s="85"/>
      <c r="U1432" s="85"/>
      <c r="V1432" s="85"/>
      <c r="W1432" s="85"/>
      <c r="X1432" s="85"/>
    </row>
    <row r="1433" spans="2:24" s="58" customFormat="1" ht="12" x14ac:dyDescent="0.2">
      <c r="B1433" s="91"/>
      <c r="E1433" s="92"/>
      <c r="F1433" s="93"/>
      <c r="G1433" s="94"/>
      <c r="H1433" s="94"/>
      <c r="I1433" s="94"/>
      <c r="J1433" s="94"/>
      <c r="K1433" s="93"/>
      <c r="L1433" s="86"/>
      <c r="M1433" s="86"/>
      <c r="N1433" s="86"/>
      <c r="O1433" s="86"/>
      <c r="P1433" s="86"/>
      <c r="Q1433" s="85"/>
      <c r="S1433" s="85"/>
      <c r="T1433" s="85"/>
      <c r="U1433" s="85"/>
      <c r="V1433" s="85"/>
      <c r="W1433" s="85"/>
      <c r="X1433" s="85"/>
    </row>
    <row r="1434" spans="2:24" s="58" customFormat="1" ht="12" x14ac:dyDescent="0.2">
      <c r="B1434" s="91"/>
      <c r="E1434" s="92"/>
      <c r="F1434" s="93"/>
      <c r="G1434" s="94"/>
      <c r="H1434" s="94"/>
      <c r="I1434" s="94"/>
      <c r="J1434" s="94"/>
      <c r="K1434" s="93"/>
      <c r="L1434" s="86"/>
      <c r="M1434" s="86"/>
      <c r="N1434" s="86"/>
      <c r="O1434" s="86"/>
      <c r="P1434" s="86"/>
      <c r="Q1434" s="85"/>
      <c r="S1434" s="85"/>
      <c r="T1434" s="85"/>
      <c r="U1434" s="85"/>
      <c r="V1434" s="85"/>
      <c r="W1434" s="85"/>
      <c r="X1434" s="85"/>
    </row>
    <row r="1435" spans="2:24" s="58" customFormat="1" ht="12" x14ac:dyDescent="0.2">
      <c r="B1435" s="91"/>
      <c r="E1435" s="92"/>
      <c r="F1435" s="93"/>
      <c r="G1435" s="94"/>
      <c r="H1435" s="94"/>
      <c r="I1435" s="94"/>
      <c r="J1435" s="94"/>
      <c r="K1435" s="93"/>
      <c r="L1435" s="86"/>
      <c r="M1435" s="86"/>
      <c r="N1435" s="86"/>
      <c r="O1435" s="86"/>
      <c r="P1435" s="86"/>
      <c r="Q1435" s="85"/>
      <c r="S1435" s="85"/>
      <c r="T1435" s="85"/>
      <c r="U1435" s="85"/>
      <c r="V1435" s="85"/>
      <c r="W1435" s="85"/>
      <c r="X1435" s="85"/>
    </row>
    <row r="1436" spans="2:24" s="58" customFormat="1" ht="12" x14ac:dyDescent="0.2">
      <c r="B1436" s="91"/>
      <c r="E1436" s="92"/>
      <c r="F1436" s="93"/>
      <c r="G1436" s="94"/>
      <c r="H1436" s="94"/>
      <c r="I1436" s="94"/>
      <c r="J1436" s="94"/>
      <c r="K1436" s="93"/>
      <c r="L1436" s="86"/>
      <c r="M1436" s="86"/>
      <c r="N1436" s="86"/>
      <c r="O1436" s="86"/>
      <c r="P1436" s="86"/>
      <c r="Q1436" s="85"/>
      <c r="S1436" s="85"/>
      <c r="T1436" s="85"/>
      <c r="U1436" s="85"/>
      <c r="V1436" s="85"/>
      <c r="W1436" s="85"/>
      <c r="X1436" s="85"/>
    </row>
    <row r="1437" spans="2:24" s="58" customFormat="1" ht="12" x14ac:dyDescent="0.2">
      <c r="B1437" s="91"/>
      <c r="E1437" s="92"/>
      <c r="F1437" s="93"/>
      <c r="G1437" s="94"/>
      <c r="H1437" s="94"/>
      <c r="I1437" s="94"/>
      <c r="J1437" s="94"/>
      <c r="K1437" s="93"/>
      <c r="L1437" s="86"/>
      <c r="M1437" s="86"/>
      <c r="N1437" s="86"/>
      <c r="O1437" s="86"/>
      <c r="P1437" s="86"/>
      <c r="Q1437" s="85"/>
      <c r="S1437" s="85"/>
      <c r="T1437" s="85"/>
      <c r="U1437" s="85"/>
      <c r="V1437" s="85"/>
      <c r="W1437" s="85"/>
      <c r="X1437" s="85"/>
    </row>
    <row r="1438" spans="2:24" s="58" customFormat="1" ht="12" x14ac:dyDescent="0.2">
      <c r="B1438" s="91"/>
      <c r="E1438" s="92"/>
      <c r="F1438" s="93"/>
      <c r="G1438" s="94"/>
      <c r="H1438" s="94"/>
      <c r="I1438" s="94"/>
      <c r="J1438" s="94"/>
      <c r="K1438" s="93"/>
      <c r="L1438" s="86"/>
      <c r="M1438" s="86"/>
      <c r="N1438" s="86"/>
      <c r="O1438" s="86"/>
      <c r="P1438" s="86"/>
      <c r="Q1438" s="85"/>
      <c r="S1438" s="85"/>
      <c r="T1438" s="85"/>
      <c r="U1438" s="85"/>
      <c r="V1438" s="85"/>
      <c r="W1438" s="85"/>
      <c r="X1438" s="85"/>
    </row>
    <row r="1439" spans="2:24" s="58" customFormat="1" ht="12" x14ac:dyDescent="0.2">
      <c r="B1439" s="91"/>
      <c r="E1439" s="92"/>
      <c r="F1439" s="93"/>
      <c r="G1439" s="94"/>
      <c r="H1439" s="94"/>
      <c r="I1439" s="94"/>
      <c r="J1439" s="94"/>
      <c r="K1439" s="93"/>
      <c r="L1439" s="86"/>
      <c r="M1439" s="86"/>
      <c r="N1439" s="86"/>
      <c r="O1439" s="86"/>
      <c r="P1439" s="86"/>
      <c r="Q1439" s="85"/>
      <c r="S1439" s="85"/>
      <c r="T1439" s="85"/>
      <c r="U1439" s="85"/>
      <c r="V1439" s="85"/>
      <c r="W1439" s="85"/>
      <c r="X1439" s="85"/>
    </row>
    <row r="1440" spans="2:24" s="58" customFormat="1" ht="12" x14ac:dyDescent="0.2">
      <c r="B1440" s="91"/>
      <c r="E1440" s="92"/>
      <c r="F1440" s="93"/>
      <c r="G1440" s="94"/>
      <c r="H1440" s="94"/>
      <c r="I1440" s="94"/>
      <c r="J1440" s="94"/>
      <c r="K1440" s="93"/>
      <c r="L1440" s="86"/>
      <c r="M1440" s="86"/>
      <c r="N1440" s="86"/>
      <c r="O1440" s="86"/>
      <c r="P1440" s="86"/>
      <c r="Q1440" s="85"/>
      <c r="S1440" s="85"/>
      <c r="T1440" s="85"/>
      <c r="U1440" s="85"/>
      <c r="V1440" s="85"/>
      <c r="W1440" s="85"/>
      <c r="X1440" s="85"/>
    </row>
    <row r="1441" spans="2:24" s="58" customFormat="1" ht="12" x14ac:dyDescent="0.2">
      <c r="B1441" s="91"/>
      <c r="E1441" s="92"/>
      <c r="F1441" s="93"/>
      <c r="G1441" s="94"/>
      <c r="H1441" s="94"/>
      <c r="I1441" s="94"/>
      <c r="J1441" s="94"/>
      <c r="K1441" s="93"/>
      <c r="L1441" s="86"/>
      <c r="M1441" s="86"/>
      <c r="N1441" s="86"/>
      <c r="O1441" s="86"/>
      <c r="P1441" s="86"/>
      <c r="Q1441" s="85"/>
      <c r="S1441" s="85"/>
      <c r="T1441" s="85"/>
      <c r="U1441" s="85"/>
      <c r="V1441" s="85"/>
      <c r="W1441" s="85"/>
      <c r="X1441" s="85"/>
    </row>
    <row r="1442" spans="2:24" s="58" customFormat="1" ht="12" x14ac:dyDescent="0.2">
      <c r="B1442" s="91"/>
      <c r="E1442" s="92"/>
      <c r="F1442" s="93"/>
      <c r="G1442" s="94"/>
      <c r="H1442" s="94"/>
      <c r="I1442" s="94"/>
      <c r="J1442" s="94"/>
      <c r="K1442" s="93"/>
      <c r="L1442" s="86"/>
      <c r="M1442" s="86"/>
      <c r="N1442" s="86"/>
      <c r="O1442" s="86"/>
      <c r="P1442" s="86"/>
      <c r="Q1442" s="85"/>
      <c r="S1442" s="85"/>
      <c r="T1442" s="85"/>
      <c r="U1442" s="85"/>
      <c r="V1442" s="85"/>
      <c r="W1442" s="85"/>
      <c r="X1442" s="85"/>
    </row>
    <row r="1443" spans="2:24" s="58" customFormat="1" ht="12" x14ac:dyDescent="0.2">
      <c r="B1443" s="91"/>
      <c r="E1443" s="92"/>
      <c r="F1443" s="93"/>
      <c r="G1443" s="94"/>
      <c r="H1443" s="94"/>
      <c r="I1443" s="94"/>
      <c r="J1443" s="94"/>
      <c r="K1443" s="93"/>
      <c r="L1443" s="86"/>
      <c r="M1443" s="86"/>
      <c r="N1443" s="86"/>
      <c r="O1443" s="86"/>
      <c r="P1443" s="86"/>
      <c r="Q1443" s="85"/>
      <c r="S1443" s="85"/>
      <c r="T1443" s="85"/>
      <c r="U1443" s="85"/>
      <c r="V1443" s="85"/>
      <c r="W1443" s="85"/>
      <c r="X1443" s="85"/>
    </row>
    <row r="1444" spans="2:24" s="58" customFormat="1" ht="12" x14ac:dyDescent="0.2">
      <c r="B1444" s="91"/>
      <c r="E1444" s="92"/>
      <c r="F1444" s="93"/>
      <c r="G1444" s="94"/>
      <c r="H1444" s="94"/>
      <c r="I1444" s="94"/>
      <c r="J1444" s="94"/>
      <c r="K1444" s="93"/>
      <c r="L1444" s="86"/>
      <c r="M1444" s="86"/>
      <c r="N1444" s="86"/>
      <c r="O1444" s="86"/>
      <c r="P1444" s="86"/>
      <c r="Q1444" s="85"/>
      <c r="S1444" s="85"/>
      <c r="T1444" s="85"/>
      <c r="U1444" s="85"/>
      <c r="V1444" s="85"/>
      <c r="W1444" s="85"/>
      <c r="X1444" s="85"/>
    </row>
    <row r="1445" spans="2:24" s="58" customFormat="1" ht="12" x14ac:dyDescent="0.2">
      <c r="B1445" s="91"/>
      <c r="E1445" s="92"/>
      <c r="F1445" s="93"/>
      <c r="G1445" s="94"/>
      <c r="H1445" s="94"/>
      <c r="I1445" s="94"/>
      <c r="J1445" s="94"/>
      <c r="K1445" s="93"/>
      <c r="L1445" s="86"/>
      <c r="M1445" s="86"/>
      <c r="N1445" s="86"/>
      <c r="O1445" s="86"/>
      <c r="P1445" s="86"/>
      <c r="Q1445" s="85"/>
      <c r="S1445" s="85"/>
      <c r="T1445" s="85"/>
      <c r="U1445" s="85"/>
      <c r="V1445" s="85"/>
      <c r="W1445" s="85"/>
      <c r="X1445" s="85"/>
    </row>
    <row r="1446" spans="2:24" s="58" customFormat="1" ht="12" x14ac:dyDescent="0.2">
      <c r="B1446" s="91"/>
      <c r="E1446" s="92"/>
      <c r="F1446" s="93"/>
      <c r="G1446" s="94"/>
      <c r="H1446" s="94"/>
      <c r="I1446" s="94"/>
      <c r="J1446" s="94"/>
      <c r="K1446" s="93"/>
      <c r="L1446" s="86"/>
      <c r="M1446" s="86"/>
      <c r="N1446" s="86"/>
      <c r="O1446" s="86"/>
      <c r="P1446" s="86"/>
      <c r="Q1446" s="85"/>
      <c r="S1446" s="85"/>
      <c r="T1446" s="85"/>
      <c r="U1446" s="85"/>
      <c r="V1446" s="85"/>
      <c r="W1446" s="85"/>
      <c r="X1446" s="85"/>
    </row>
    <row r="1447" spans="2:24" s="58" customFormat="1" ht="12" x14ac:dyDescent="0.2">
      <c r="B1447" s="91"/>
      <c r="E1447" s="92"/>
      <c r="F1447" s="93"/>
      <c r="G1447" s="94"/>
      <c r="H1447" s="94"/>
      <c r="I1447" s="94"/>
      <c r="J1447" s="94"/>
      <c r="K1447" s="93"/>
      <c r="L1447" s="86"/>
      <c r="M1447" s="86"/>
      <c r="N1447" s="86"/>
      <c r="O1447" s="86"/>
      <c r="P1447" s="86"/>
      <c r="Q1447" s="85"/>
      <c r="S1447" s="85"/>
      <c r="T1447" s="85"/>
      <c r="U1447" s="85"/>
      <c r="V1447" s="85"/>
      <c r="W1447" s="85"/>
      <c r="X1447" s="85"/>
    </row>
    <row r="1448" spans="2:24" s="58" customFormat="1" ht="12" x14ac:dyDescent="0.2">
      <c r="B1448" s="91"/>
      <c r="E1448" s="92"/>
      <c r="F1448" s="93"/>
      <c r="G1448" s="94"/>
      <c r="H1448" s="94"/>
      <c r="I1448" s="94"/>
      <c r="J1448" s="94"/>
      <c r="K1448" s="93"/>
      <c r="L1448" s="86"/>
      <c r="M1448" s="86"/>
      <c r="N1448" s="86"/>
      <c r="O1448" s="86"/>
      <c r="P1448" s="86"/>
      <c r="Q1448" s="85"/>
      <c r="S1448" s="85"/>
      <c r="T1448" s="85"/>
      <c r="U1448" s="85"/>
      <c r="V1448" s="85"/>
      <c r="W1448" s="85"/>
      <c r="X1448" s="85"/>
    </row>
    <row r="1449" spans="2:24" s="58" customFormat="1" ht="12" x14ac:dyDescent="0.2">
      <c r="B1449" s="91"/>
      <c r="E1449" s="92"/>
      <c r="F1449" s="93"/>
      <c r="G1449" s="94"/>
      <c r="H1449" s="94"/>
      <c r="I1449" s="94"/>
      <c r="J1449" s="94"/>
      <c r="K1449" s="93"/>
      <c r="L1449" s="86"/>
      <c r="M1449" s="86"/>
      <c r="N1449" s="86"/>
      <c r="O1449" s="86"/>
      <c r="P1449" s="86"/>
      <c r="Q1449" s="85"/>
      <c r="S1449" s="85"/>
      <c r="T1449" s="85"/>
      <c r="U1449" s="85"/>
      <c r="V1449" s="85"/>
      <c r="W1449" s="85"/>
      <c r="X1449" s="85"/>
    </row>
    <row r="1450" spans="2:24" s="58" customFormat="1" ht="12" x14ac:dyDescent="0.2">
      <c r="B1450" s="91"/>
      <c r="E1450" s="92"/>
      <c r="F1450" s="93"/>
      <c r="G1450" s="94"/>
      <c r="H1450" s="94"/>
      <c r="I1450" s="94"/>
      <c r="J1450" s="94"/>
      <c r="K1450" s="93"/>
      <c r="L1450" s="86"/>
      <c r="M1450" s="86"/>
      <c r="N1450" s="86"/>
      <c r="O1450" s="86"/>
      <c r="P1450" s="86"/>
      <c r="Q1450" s="85"/>
      <c r="S1450" s="85"/>
      <c r="T1450" s="85"/>
      <c r="U1450" s="85"/>
      <c r="V1450" s="85"/>
      <c r="W1450" s="85"/>
      <c r="X1450" s="85"/>
    </row>
    <row r="1451" spans="2:24" s="58" customFormat="1" ht="12" x14ac:dyDescent="0.2">
      <c r="B1451" s="91"/>
      <c r="E1451" s="92"/>
      <c r="F1451" s="93"/>
      <c r="G1451" s="94"/>
      <c r="H1451" s="94"/>
      <c r="I1451" s="94"/>
      <c r="J1451" s="94"/>
      <c r="K1451" s="93"/>
      <c r="L1451" s="86"/>
      <c r="M1451" s="86"/>
      <c r="N1451" s="86"/>
      <c r="O1451" s="86"/>
      <c r="P1451" s="86"/>
      <c r="Q1451" s="85"/>
      <c r="S1451" s="85"/>
      <c r="T1451" s="85"/>
      <c r="U1451" s="85"/>
      <c r="V1451" s="85"/>
      <c r="W1451" s="85"/>
      <c r="X1451" s="85"/>
    </row>
    <row r="1452" spans="2:24" s="58" customFormat="1" ht="12" x14ac:dyDescent="0.2">
      <c r="B1452" s="91"/>
      <c r="E1452" s="92"/>
      <c r="F1452" s="93"/>
      <c r="G1452" s="94"/>
      <c r="H1452" s="94"/>
      <c r="I1452" s="94"/>
      <c r="J1452" s="94"/>
      <c r="K1452" s="93"/>
      <c r="L1452" s="86"/>
      <c r="M1452" s="86"/>
      <c r="N1452" s="86"/>
      <c r="O1452" s="86"/>
      <c r="P1452" s="86"/>
      <c r="Q1452" s="85"/>
      <c r="S1452" s="85"/>
      <c r="T1452" s="85"/>
      <c r="U1452" s="85"/>
      <c r="V1452" s="85"/>
      <c r="W1452" s="85"/>
      <c r="X1452" s="85"/>
    </row>
    <row r="1453" spans="2:24" s="58" customFormat="1" ht="12" x14ac:dyDescent="0.2">
      <c r="B1453" s="91"/>
      <c r="E1453" s="92"/>
      <c r="F1453" s="93"/>
      <c r="G1453" s="94"/>
      <c r="H1453" s="94"/>
      <c r="I1453" s="94"/>
      <c r="J1453" s="94"/>
      <c r="K1453" s="93"/>
      <c r="L1453" s="86"/>
      <c r="M1453" s="86"/>
      <c r="N1453" s="86"/>
      <c r="O1453" s="86"/>
      <c r="P1453" s="86"/>
      <c r="Q1453" s="85"/>
      <c r="S1453" s="85"/>
      <c r="T1453" s="85"/>
      <c r="U1453" s="85"/>
      <c r="V1453" s="85"/>
      <c r="W1453" s="85"/>
      <c r="X1453" s="85"/>
    </row>
    <row r="1454" spans="2:24" s="58" customFormat="1" ht="12" x14ac:dyDescent="0.2">
      <c r="B1454" s="91"/>
      <c r="E1454" s="92"/>
      <c r="F1454" s="93"/>
      <c r="G1454" s="94"/>
      <c r="H1454" s="94"/>
      <c r="I1454" s="94"/>
      <c r="J1454" s="94"/>
      <c r="K1454" s="93"/>
      <c r="L1454" s="86"/>
      <c r="M1454" s="86"/>
      <c r="N1454" s="86"/>
      <c r="O1454" s="86"/>
      <c r="P1454" s="86"/>
      <c r="Q1454" s="85"/>
      <c r="S1454" s="85"/>
      <c r="T1454" s="85"/>
      <c r="U1454" s="85"/>
      <c r="V1454" s="85"/>
      <c r="W1454" s="85"/>
      <c r="X1454" s="85"/>
    </row>
    <row r="1455" spans="2:24" s="58" customFormat="1" ht="12" x14ac:dyDescent="0.2">
      <c r="B1455" s="91"/>
      <c r="E1455" s="92"/>
      <c r="F1455" s="93"/>
      <c r="G1455" s="94"/>
      <c r="H1455" s="94"/>
      <c r="I1455" s="94"/>
      <c r="J1455" s="94"/>
      <c r="K1455" s="93"/>
      <c r="L1455" s="86"/>
      <c r="M1455" s="86"/>
      <c r="N1455" s="86"/>
      <c r="O1455" s="86"/>
      <c r="P1455" s="86"/>
      <c r="Q1455" s="85"/>
      <c r="S1455" s="85"/>
      <c r="T1455" s="85"/>
      <c r="U1455" s="85"/>
      <c r="V1455" s="85"/>
      <c r="W1455" s="85"/>
      <c r="X1455" s="85"/>
    </row>
    <row r="1456" spans="2:24" s="58" customFormat="1" ht="12" x14ac:dyDescent="0.2">
      <c r="B1456" s="91"/>
      <c r="E1456" s="92"/>
      <c r="F1456" s="93"/>
      <c r="G1456" s="94"/>
      <c r="H1456" s="94"/>
      <c r="I1456" s="94"/>
      <c r="J1456" s="94"/>
      <c r="K1456" s="93"/>
      <c r="L1456" s="86"/>
      <c r="M1456" s="86"/>
      <c r="N1456" s="86"/>
      <c r="O1456" s="86"/>
      <c r="P1456" s="86"/>
      <c r="Q1456" s="85"/>
      <c r="S1456" s="85"/>
      <c r="T1456" s="85"/>
      <c r="U1456" s="85"/>
      <c r="V1456" s="85"/>
      <c r="W1456" s="85"/>
      <c r="X1456" s="85"/>
    </row>
    <row r="1457" spans="2:24" s="58" customFormat="1" ht="12" x14ac:dyDescent="0.2">
      <c r="B1457" s="91"/>
      <c r="E1457" s="92"/>
      <c r="F1457" s="93"/>
      <c r="G1457" s="94"/>
      <c r="H1457" s="94"/>
      <c r="I1457" s="94"/>
      <c r="J1457" s="94"/>
      <c r="K1457" s="93"/>
      <c r="L1457" s="86"/>
      <c r="M1457" s="86"/>
      <c r="N1457" s="86"/>
      <c r="O1457" s="86"/>
      <c r="P1457" s="86"/>
      <c r="Q1457" s="85"/>
      <c r="S1457" s="85"/>
      <c r="T1457" s="85"/>
      <c r="U1457" s="85"/>
      <c r="V1457" s="85"/>
      <c r="W1457" s="85"/>
      <c r="X1457" s="85"/>
    </row>
    <row r="1458" spans="2:24" s="58" customFormat="1" ht="12" x14ac:dyDescent="0.2">
      <c r="B1458" s="91"/>
      <c r="E1458" s="92"/>
      <c r="F1458" s="93"/>
      <c r="G1458" s="94"/>
      <c r="H1458" s="94"/>
      <c r="I1458" s="94"/>
      <c r="J1458" s="94"/>
      <c r="K1458" s="93"/>
      <c r="L1458" s="86"/>
      <c r="M1458" s="86"/>
      <c r="N1458" s="86"/>
      <c r="O1458" s="86"/>
      <c r="P1458" s="86"/>
      <c r="Q1458" s="85"/>
      <c r="S1458" s="85"/>
      <c r="T1458" s="85"/>
      <c r="U1458" s="85"/>
      <c r="V1458" s="85"/>
      <c r="W1458" s="85"/>
      <c r="X1458" s="85"/>
    </row>
    <row r="1459" spans="2:24" s="58" customFormat="1" ht="12" x14ac:dyDescent="0.2">
      <c r="B1459" s="91"/>
      <c r="E1459" s="92"/>
      <c r="F1459" s="93"/>
      <c r="G1459" s="94"/>
      <c r="H1459" s="94"/>
      <c r="I1459" s="94"/>
      <c r="J1459" s="94"/>
      <c r="K1459" s="93"/>
      <c r="L1459" s="86"/>
      <c r="M1459" s="86"/>
      <c r="N1459" s="86"/>
      <c r="O1459" s="86"/>
      <c r="P1459" s="86"/>
      <c r="Q1459" s="85"/>
      <c r="S1459" s="85"/>
      <c r="T1459" s="85"/>
      <c r="U1459" s="85"/>
      <c r="V1459" s="85"/>
      <c r="W1459" s="85"/>
      <c r="X1459" s="85"/>
    </row>
    <row r="1460" spans="2:24" s="58" customFormat="1" ht="12" x14ac:dyDescent="0.2">
      <c r="B1460" s="91"/>
      <c r="E1460" s="92"/>
      <c r="F1460" s="93"/>
      <c r="G1460" s="94"/>
      <c r="H1460" s="94"/>
      <c r="I1460" s="94"/>
      <c r="J1460" s="94"/>
      <c r="K1460" s="93"/>
      <c r="L1460" s="86"/>
      <c r="M1460" s="86"/>
      <c r="N1460" s="86"/>
      <c r="O1460" s="86"/>
      <c r="P1460" s="86"/>
      <c r="Q1460" s="85"/>
      <c r="S1460" s="85"/>
      <c r="T1460" s="85"/>
      <c r="U1460" s="85"/>
      <c r="V1460" s="85"/>
      <c r="W1460" s="85"/>
      <c r="X1460" s="85"/>
    </row>
    <row r="1461" spans="2:24" s="58" customFormat="1" ht="12" x14ac:dyDescent="0.2">
      <c r="B1461" s="91"/>
      <c r="E1461" s="92"/>
      <c r="F1461" s="93"/>
      <c r="G1461" s="94"/>
      <c r="H1461" s="94"/>
      <c r="I1461" s="94"/>
      <c r="J1461" s="94"/>
      <c r="K1461" s="93"/>
      <c r="L1461" s="86"/>
      <c r="M1461" s="86"/>
      <c r="N1461" s="86"/>
      <c r="O1461" s="86"/>
      <c r="P1461" s="86"/>
      <c r="Q1461" s="85"/>
      <c r="S1461" s="85"/>
      <c r="T1461" s="85"/>
      <c r="U1461" s="85"/>
      <c r="V1461" s="85"/>
      <c r="W1461" s="85"/>
      <c r="X1461" s="85"/>
    </row>
    <row r="1462" spans="2:24" s="58" customFormat="1" ht="12" x14ac:dyDescent="0.2">
      <c r="B1462" s="91"/>
      <c r="E1462" s="92"/>
      <c r="F1462" s="93"/>
      <c r="G1462" s="94"/>
      <c r="H1462" s="94"/>
      <c r="I1462" s="94"/>
      <c r="J1462" s="94"/>
      <c r="K1462" s="93"/>
      <c r="L1462" s="86"/>
      <c r="M1462" s="86"/>
      <c r="N1462" s="86"/>
      <c r="O1462" s="86"/>
      <c r="P1462" s="86"/>
      <c r="Q1462" s="85"/>
      <c r="S1462" s="85"/>
      <c r="T1462" s="85"/>
      <c r="U1462" s="85"/>
      <c r="V1462" s="85"/>
      <c r="W1462" s="85"/>
      <c r="X1462" s="85"/>
    </row>
    <row r="1463" spans="2:24" s="58" customFormat="1" ht="12" x14ac:dyDescent="0.2">
      <c r="B1463" s="91"/>
      <c r="E1463" s="92"/>
      <c r="F1463" s="93"/>
      <c r="G1463" s="94"/>
      <c r="H1463" s="94"/>
      <c r="I1463" s="94"/>
      <c r="J1463" s="94"/>
      <c r="K1463" s="93"/>
      <c r="L1463" s="86"/>
      <c r="M1463" s="86"/>
      <c r="N1463" s="86"/>
      <c r="O1463" s="86"/>
      <c r="P1463" s="86"/>
      <c r="Q1463" s="85"/>
      <c r="S1463" s="85"/>
      <c r="T1463" s="85"/>
      <c r="U1463" s="85"/>
      <c r="V1463" s="85"/>
      <c r="W1463" s="85"/>
      <c r="X1463" s="85"/>
    </row>
    <row r="1464" spans="2:24" s="58" customFormat="1" ht="12" x14ac:dyDescent="0.2">
      <c r="B1464" s="91"/>
      <c r="E1464" s="92"/>
      <c r="F1464" s="93"/>
      <c r="G1464" s="94"/>
      <c r="H1464" s="94"/>
      <c r="I1464" s="94"/>
      <c r="J1464" s="94"/>
      <c r="K1464" s="93"/>
      <c r="L1464" s="86"/>
      <c r="M1464" s="86"/>
      <c r="N1464" s="86"/>
      <c r="O1464" s="86"/>
      <c r="P1464" s="86"/>
      <c r="Q1464" s="85"/>
      <c r="S1464" s="85"/>
      <c r="T1464" s="85"/>
      <c r="U1464" s="85"/>
      <c r="V1464" s="85"/>
      <c r="W1464" s="85"/>
      <c r="X1464" s="85"/>
    </row>
    <row r="1465" spans="2:24" s="58" customFormat="1" ht="12" x14ac:dyDescent="0.2">
      <c r="B1465" s="91"/>
      <c r="E1465" s="92"/>
      <c r="F1465" s="93"/>
      <c r="G1465" s="94"/>
      <c r="H1465" s="94"/>
      <c r="I1465" s="94"/>
      <c r="J1465" s="94"/>
      <c r="K1465" s="93"/>
      <c r="L1465" s="86"/>
      <c r="M1465" s="86"/>
      <c r="N1465" s="86"/>
      <c r="O1465" s="86"/>
      <c r="P1465" s="86"/>
      <c r="Q1465" s="85"/>
      <c r="S1465" s="85"/>
      <c r="T1465" s="85"/>
      <c r="U1465" s="85"/>
      <c r="V1465" s="85"/>
      <c r="W1465" s="85"/>
      <c r="X1465" s="85"/>
    </row>
    <row r="1466" spans="2:24" s="58" customFormat="1" ht="12" x14ac:dyDescent="0.2">
      <c r="B1466" s="91"/>
      <c r="E1466" s="92"/>
      <c r="F1466" s="93"/>
      <c r="G1466" s="94"/>
      <c r="H1466" s="94"/>
      <c r="I1466" s="94"/>
      <c r="J1466" s="94"/>
      <c r="K1466" s="93"/>
      <c r="L1466" s="86"/>
      <c r="M1466" s="86"/>
      <c r="N1466" s="86"/>
      <c r="O1466" s="86"/>
      <c r="P1466" s="86"/>
      <c r="Q1466" s="85"/>
      <c r="S1466" s="85"/>
      <c r="T1466" s="85"/>
      <c r="U1466" s="85"/>
      <c r="V1466" s="85"/>
      <c r="W1466" s="85"/>
      <c r="X1466" s="85"/>
    </row>
    <row r="1467" spans="2:24" s="58" customFormat="1" ht="12" x14ac:dyDescent="0.2">
      <c r="B1467" s="91"/>
      <c r="E1467" s="92"/>
      <c r="F1467" s="93"/>
      <c r="G1467" s="94"/>
      <c r="H1467" s="94"/>
      <c r="I1467" s="94"/>
      <c r="J1467" s="94"/>
      <c r="K1467" s="93"/>
      <c r="L1467" s="86"/>
      <c r="M1467" s="86"/>
      <c r="N1467" s="86"/>
      <c r="O1467" s="86"/>
      <c r="P1467" s="86"/>
      <c r="Q1467" s="85"/>
      <c r="S1467" s="85"/>
      <c r="T1467" s="85"/>
      <c r="U1467" s="85"/>
      <c r="V1467" s="85"/>
      <c r="W1467" s="85"/>
      <c r="X1467" s="85"/>
    </row>
    <row r="1468" spans="2:24" s="58" customFormat="1" ht="12" x14ac:dyDescent="0.2">
      <c r="B1468" s="91"/>
      <c r="E1468" s="92"/>
      <c r="F1468" s="93"/>
      <c r="G1468" s="94"/>
      <c r="H1468" s="94"/>
      <c r="I1468" s="94"/>
      <c r="J1468" s="94"/>
      <c r="K1468" s="93"/>
      <c r="L1468" s="86"/>
      <c r="M1468" s="86"/>
      <c r="N1468" s="86"/>
      <c r="O1468" s="86"/>
      <c r="P1468" s="86"/>
      <c r="Q1468" s="85"/>
      <c r="S1468" s="85"/>
      <c r="T1468" s="85"/>
      <c r="U1468" s="85"/>
      <c r="V1468" s="85"/>
      <c r="W1468" s="85"/>
      <c r="X1468" s="85"/>
    </row>
    <row r="1469" spans="2:24" s="58" customFormat="1" ht="12" x14ac:dyDescent="0.2">
      <c r="B1469" s="91"/>
      <c r="E1469" s="92"/>
      <c r="F1469" s="93"/>
      <c r="G1469" s="94"/>
      <c r="H1469" s="94"/>
      <c r="I1469" s="94"/>
      <c r="J1469" s="94"/>
      <c r="K1469" s="93"/>
      <c r="L1469" s="86"/>
      <c r="M1469" s="86"/>
      <c r="N1469" s="86"/>
      <c r="O1469" s="86"/>
      <c r="P1469" s="86"/>
      <c r="Q1469" s="85"/>
      <c r="S1469" s="85"/>
      <c r="T1469" s="85"/>
      <c r="U1469" s="85"/>
      <c r="V1469" s="85"/>
      <c r="W1469" s="85"/>
      <c r="X1469" s="85"/>
    </row>
    <row r="1470" spans="2:24" s="58" customFormat="1" ht="12" x14ac:dyDescent="0.2">
      <c r="B1470" s="91"/>
      <c r="E1470" s="92"/>
      <c r="F1470" s="93"/>
      <c r="G1470" s="94"/>
      <c r="H1470" s="94"/>
      <c r="I1470" s="94"/>
      <c r="J1470" s="94"/>
      <c r="K1470" s="93"/>
      <c r="L1470" s="86"/>
      <c r="M1470" s="86"/>
      <c r="N1470" s="86"/>
      <c r="O1470" s="86"/>
      <c r="P1470" s="86"/>
      <c r="Q1470" s="85"/>
      <c r="S1470" s="85"/>
      <c r="T1470" s="85"/>
      <c r="U1470" s="85"/>
      <c r="V1470" s="85"/>
      <c r="W1470" s="85"/>
      <c r="X1470" s="85"/>
    </row>
    <row r="1471" spans="2:24" s="58" customFormat="1" ht="12" x14ac:dyDescent="0.2">
      <c r="B1471" s="91"/>
      <c r="E1471" s="92"/>
      <c r="F1471" s="93"/>
      <c r="G1471" s="94"/>
      <c r="H1471" s="94"/>
      <c r="I1471" s="94"/>
      <c r="J1471" s="94"/>
      <c r="K1471" s="93"/>
      <c r="L1471" s="86"/>
      <c r="M1471" s="86"/>
      <c r="N1471" s="86"/>
      <c r="O1471" s="86"/>
      <c r="P1471" s="86"/>
      <c r="Q1471" s="85"/>
      <c r="S1471" s="85"/>
      <c r="T1471" s="85"/>
      <c r="U1471" s="85"/>
      <c r="V1471" s="85"/>
      <c r="W1471" s="85"/>
      <c r="X1471" s="85"/>
    </row>
    <row r="1472" spans="2:24" s="58" customFormat="1" ht="12" x14ac:dyDescent="0.2">
      <c r="B1472" s="91"/>
      <c r="E1472" s="92"/>
      <c r="F1472" s="93"/>
      <c r="G1472" s="94"/>
      <c r="H1472" s="94"/>
      <c r="I1472" s="94"/>
      <c r="J1472" s="94"/>
      <c r="K1472" s="93"/>
      <c r="L1472" s="86"/>
      <c r="M1472" s="86"/>
      <c r="N1472" s="86"/>
      <c r="O1472" s="86"/>
      <c r="P1472" s="86"/>
      <c r="Q1472" s="85"/>
      <c r="S1472" s="85"/>
      <c r="T1472" s="85"/>
      <c r="U1472" s="85"/>
      <c r="V1472" s="85"/>
      <c r="W1472" s="85"/>
      <c r="X1472" s="85"/>
    </row>
    <row r="1473" spans="2:24" s="58" customFormat="1" ht="12" x14ac:dyDescent="0.2">
      <c r="B1473" s="91"/>
      <c r="E1473" s="92"/>
      <c r="F1473" s="93"/>
      <c r="G1473" s="94"/>
      <c r="H1473" s="94"/>
      <c r="I1473" s="94"/>
      <c r="J1473" s="94"/>
      <c r="K1473" s="93"/>
      <c r="L1473" s="86"/>
      <c r="M1473" s="86"/>
      <c r="N1473" s="86"/>
      <c r="O1473" s="86"/>
      <c r="P1473" s="86"/>
      <c r="Q1473" s="85"/>
      <c r="S1473" s="85"/>
      <c r="T1473" s="85"/>
      <c r="U1473" s="85"/>
      <c r="V1473" s="85"/>
      <c r="W1473" s="85"/>
      <c r="X1473" s="85"/>
    </row>
    <row r="1474" spans="2:24" s="58" customFormat="1" ht="12" x14ac:dyDescent="0.2">
      <c r="B1474" s="91"/>
      <c r="E1474" s="92"/>
      <c r="F1474" s="93"/>
      <c r="G1474" s="94"/>
      <c r="H1474" s="94"/>
      <c r="I1474" s="94"/>
      <c r="J1474" s="94"/>
      <c r="K1474" s="93"/>
      <c r="L1474" s="86"/>
      <c r="M1474" s="86"/>
      <c r="N1474" s="86"/>
      <c r="O1474" s="86"/>
      <c r="P1474" s="86"/>
      <c r="Q1474" s="85"/>
      <c r="S1474" s="85"/>
      <c r="T1474" s="85"/>
      <c r="U1474" s="85"/>
      <c r="V1474" s="85"/>
      <c r="W1474" s="85"/>
      <c r="X1474" s="85"/>
    </row>
    <row r="1475" spans="2:24" s="58" customFormat="1" ht="12" x14ac:dyDescent="0.2">
      <c r="B1475" s="91"/>
      <c r="E1475" s="92"/>
      <c r="F1475" s="93"/>
      <c r="G1475" s="94"/>
      <c r="H1475" s="94"/>
      <c r="I1475" s="94"/>
      <c r="J1475" s="94"/>
      <c r="K1475" s="93"/>
      <c r="L1475" s="86"/>
      <c r="M1475" s="86"/>
      <c r="N1475" s="86"/>
      <c r="O1475" s="86"/>
      <c r="P1475" s="86"/>
      <c r="Q1475" s="85"/>
      <c r="S1475" s="85"/>
      <c r="T1475" s="85"/>
      <c r="U1475" s="85"/>
      <c r="V1475" s="85"/>
      <c r="W1475" s="85"/>
      <c r="X1475" s="85"/>
    </row>
    <row r="1476" spans="2:24" s="58" customFormat="1" ht="12" x14ac:dyDescent="0.2">
      <c r="B1476" s="91"/>
      <c r="E1476" s="92"/>
      <c r="F1476" s="93"/>
      <c r="G1476" s="94"/>
      <c r="H1476" s="94"/>
      <c r="I1476" s="94"/>
      <c r="J1476" s="94"/>
      <c r="K1476" s="93"/>
      <c r="L1476" s="86"/>
      <c r="M1476" s="86"/>
      <c r="N1476" s="86"/>
      <c r="O1476" s="86"/>
      <c r="P1476" s="86"/>
      <c r="Q1476" s="85"/>
      <c r="S1476" s="85"/>
      <c r="T1476" s="85"/>
      <c r="U1476" s="85"/>
      <c r="V1476" s="85"/>
      <c r="W1476" s="85"/>
      <c r="X1476" s="85"/>
    </row>
    <row r="1477" spans="2:24" s="58" customFormat="1" ht="12" x14ac:dyDescent="0.2">
      <c r="B1477" s="91"/>
      <c r="E1477" s="92"/>
      <c r="F1477" s="93"/>
      <c r="G1477" s="94"/>
      <c r="H1477" s="94"/>
      <c r="I1477" s="94"/>
      <c r="J1477" s="94"/>
      <c r="K1477" s="93"/>
      <c r="L1477" s="86"/>
      <c r="M1477" s="86"/>
      <c r="N1477" s="86"/>
      <c r="O1477" s="86"/>
      <c r="P1477" s="86"/>
      <c r="Q1477" s="85"/>
      <c r="S1477" s="85"/>
      <c r="T1477" s="85"/>
      <c r="U1477" s="85"/>
      <c r="V1477" s="85"/>
      <c r="W1477" s="85"/>
      <c r="X1477" s="85"/>
    </row>
    <row r="1478" spans="2:24" s="58" customFormat="1" ht="12" x14ac:dyDescent="0.2">
      <c r="B1478" s="91"/>
      <c r="E1478" s="92"/>
      <c r="F1478" s="93"/>
      <c r="G1478" s="94"/>
      <c r="H1478" s="94"/>
      <c r="I1478" s="94"/>
      <c r="J1478" s="94"/>
      <c r="K1478" s="93"/>
      <c r="L1478" s="86"/>
      <c r="M1478" s="86"/>
      <c r="N1478" s="86"/>
      <c r="O1478" s="86"/>
      <c r="P1478" s="86"/>
      <c r="Q1478" s="85"/>
      <c r="S1478" s="85"/>
      <c r="T1478" s="85"/>
      <c r="U1478" s="85"/>
      <c r="V1478" s="85"/>
      <c r="W1478" s="85"/>
      <c r="X1478" s="85"/>
    </row>
    <row r="1479" spans="2:24" s="58" customFormat="1" ht="12" x14ac:dyDescent="0.2">
      <c r="B1479" s="91"/>
      <c r="E1479" s="92"/>
      <c r="F1479" s="93"/>
      <c r="G1479" s="94"/>
      <c r="H1479" s="94"/>
      <c r="I1479" s="94"/>
      <c r="J1479" s="94"/>
      <c r="K1479" s="93"/>
      <c r="L1479" s="86"/>
      <c r="M1479" s="86"/>
      <c r="N1479" s="86"/>
      <c r="O1479" s="86"/>
      <c r="P1479" s="86"/>
      <c r="Q1479" s="85"/>
      <c r="S1479" s="85"/>
      <c r="T1479" s="85"/>
      <c r="U1479" s="85"/>
      <c r="V1479" s="85"/>
      <c r="W1479" s="85"/>
      <c r="X1479" s="85"/>
    </row>
    <row r="1480" spans="2:24" s="58" customFormat="1" ht="12" x14ac:dyDescent="0.2">
      <c r="B1480" s="91"/>
      <c r="E1480" s="92"/>
      <c r="F1480" s="93"/>
      <c r="G1480" s="94"/>
      <c r="H1480" s="94"/>
      <c r="I1480" s="94"/>
      <c r="J1480" s="94"/>
      <c r="K1480" s="93"/>
      <c r="L1480" s="86"/>
      <c r="M1480" s="86"/>
      <c r="N1480" s="86"/>
      <c r="O1480" s="86"/>
      <c r="P1480" s="86"/>
      <c r="Q1480" s="85"/>
      <c r="S1480" s="85"/>
      <c r="T1480" s="85"/>
      <c r="U1480" s="85"/>
      <c r="V1480" s="85"/>
      <c r="W1480" s="85"/>
      <c r="X1480" s="85"/>
    </row>
    <row r="1481" spans="2:24" s="58" customFormat="1" ht="12" x14ac:dyDescent="0.2">
      <c r="B1481" s="91"/>
      <c r="E1481" s="92"/>
      <c r="F1481" s="93"/>
      <c r="G1481" s="94"/>
      <c r="H1481" s="94"/>
      <c r="I1481" s="94"/>
      <c r="J1481" s="94"/>
      <c r="K1481" s="93"/>
      <c r="L1481" s="86"/>
      <c r="M1481" s="86"/>
      <c r="N1481" s="86"/>
      <c r="O1481" s="86"/>
      <c r="P1481" s="86"/>
      <c r="Q1481" s="85"/>
      <c r="S1481" s="85"/>
      <c r="T1481" s="85"/>
      <c r="U1481" s="85"/>
      <c r="V1481" s="85"/>
      <c r="W1481" s="85"/>
      <c r="X1481" s="85"/>
    </row>
    <row r="1482" spans="2:24" s="58" customFormat="1" ht="12" x14ac:dyDescent="0.2">
      <c r="B1482" s="91"/>
      <c r="E1482" s="92"/>
      <c r="F1482" s="93"/>
      <c r="G1482" s="94"/>
      <c r="H1482" s="94"/>
      <c r="I1482" s="94"/>
      <c r="J1482" s="94"/>
      <c r="K1482" s="93"/>
      <c r="L1482" s="86"/>
      <c r="M1482" s="86"/>
      <c r="N1482" s="86"/>
      <c r="O1482" s="86"/>
      <c r="P1482" s="86"/>
      <c r="Q1482" s="85"/>
      <c r="S1482" s="85"/>
      <c r="T1482" s="85"/>
      <c r="U1482" s="85"/>
      <c r="V1482" s="85"/>
      <c r="W1482" s="85"/>
      <c r="X1482" s="85"/>
    </row>
    <row r="1483" spans="2:24" s="58" customFormat="1" ht="12" x14ac:dyDescent="0.2">
      <c r="B1483" s="91"/>
      <c r="E1483" s="92"/>
      <c r="F1483" s="93"/>
      <c r="G1483" s="94"/>
      <c r="H1483" s="94"/>
      <c r="I1483" s="94"/>
      <c r="J1483" s="94"/>
      <c r="K1483" s="93"/>
      <c r="L1483" s="86"/>
      <c r="M1483" s="86"/>
      <c r="N1483" s="86"/>
      <c r="O1483" s="86"/>
      <c r="P1483" s="86"/>
      <c r="Q1483" s="85"/>
      <c r="S1483" s="85"/>
      <c r="T1483" s="85"/>
      <c r="U1483" s="85"/>
      <c r="V1483" s="85"/>
      <c r="W1483" s="85"/>
      <c r="X1483" s="85"/>
    </row>
    <row r="1484" spans="2:24" s="58" customFormat="1" ht="12" x14ac:dyDescent="0.2">
      <c r="B1484" s="91"/>
      <c r="E1484" s="92"/>
      <c r="F1484" s="93"/>
      <c r="G1484" s="94"/>
      <c r="H1484" s="94"/>
      <c r="I1484" s="94"/>
      <c r="J1484" s="94"/>
      <c r="K1484" s="93"/>
      <c r="L1484" s="86"/>
      <c r="M1484" s="86"/>
      <c r="N1484" s="86"/>
      <c r="O1484" s="86"/>
      <c r="P1484" s="86"/>
      <c r="Q1484" s="85"/>
      <c r="S1484" s="85"/>
      <c r="T1484" s="85"/>
      <c r="U1484" s="85"/>
      <c r="V1484" s="85"/>
      <c r="W1484" s="85"/>
      <c r="X1484" s="85"/>
    </row>
    <row r="1485" spans="2:24" s="58" customFormat="1" ht="12" x14ac:dyDescent="0.2">
      <c r="B1485" s="91"/>
      <c r="E1485" s="92"/>
      <c r="F1485" s="93"/>
      <c r="G1485" s="94"/>
      <c r="H1485" s="94"/>
      <c r="I1485" s="94"/>
      <c r="J1485" s="94"/>
      <c r="K1485" s="93"/>
      <c r="L1485" s="86"/>
      <c r="M1485" s="86"/>
      <c r="N1485" s="86"/>
      <c r="O1485" s="86"/>
      <c r="P1485" s="86"/>
      <c r="Q1485" s="85"/>
      <c r="S1485" s="85"/>
      <c r="T1485" s="85"/>
      <c r="U1485" s="85"/>
      <c r="V1485" s="85"/>
      <c r="W1485" s="85"/>
      <c r="X1485" s="85"/>
    </row>
    <row r="1486" spans="2:24" s="58" customFormat="1" ht="12" x14ac:dyDescent="0.2">
      <c r="B1486" s="91"/>
      <c r="E1486" s="92"/>
      <c r="F1486" s="93"/>
      <c r="G1486" s="94"/>
      <c r="H1486" s="94"/>
      <c r="I1486" s="94"/>
      <c r="J1486" s="94"/>
      <c r="K1486" s="93"/>
      <c r="L1486" s="86"/>
      <c r="M1486" s="86"/>
      <c r="N1486" s="86"/>
      <c r="O1486" s="86"/>
      <c r="P1486" s="86"/>
      <c r="Q1486" s="85"/>
      <c r="S1486" s="85"/>
      <c r="T1486" s="85"/>
      <c r="U1486" s="85"/>
      <c r="V1486" s="85"/>
      <c r="W1486" s="85"/>
      <c r="X1486" s="85"/>
    </row>
    <row r="1487" spans="2:24" s="58" customFormat="1" ht="12" x14ac:dyDescent="0.2">
      <c r="B1487" s="91"/>
      <c r="E1487" s="92"/>
      <c r="F1487" s="93"/>
      <c r="G1487" s="94"/>
      <c r="H1487" s="94"/>
      <c r="I1487" s="94"/>
      <c r="J1487" s="94"/>
      <c r="K1487" s="93"/>
      <c r="L1487" s="86"/>
      <c r="M1487" s="86"/>
      <c r="N1487" s="86"/>
      <c r="O1487" s="86"/>
      <c r="P1487" s="86"/>
      <c r="Q1487" s="85"/>
      <c r="S1487" s="85"/>
      <c r="T1487" s="85"/>
      <c r="U1487" s="85"/>
      <c r="V1487" s="85"/>
      <c r="W1487" s="85"/>
      <c r="X1487" s="85"/>
    </row>
    <row r="1488" spans="2:24" s="58" customFormat="1" ht="12" x14ac:dyDescent="0.2">
      <c r="B1488" s="91"/>
      <c r="E1488" s="92"/>
      <c r="F1488" s="93"/>
      <c r="G1488" s="94"/>
      <c r="H1488" s="94"/>
      <c r="I1488" s="94"/>
      <c r="J1488" s="94"/>
      <c r="K1488" s="93"/>
      <c r="L1488" s="86"/>
      <c r="M1488" s="86"/>
      <c r="N1488" s="86"/>
      <c r="O1488" s="86"/>
      <c r="P1488" s="86"/>
      <c r="Q1488" s="85"/>
      <c r="S1488" s="85"/>
      <c r="T1488" s="85"/>
      <c r="U1488" s="85"/>
      <c r="V1488" s="85"/>
      <c r="W1488" s="85"/>
      <c r="X1488" s="85"/>
    </row>
    <row r="1489" spans="2:24" s="58" customFormat="1" ht="12" x14ac:dyDescent="0.2">
      <c r="B1489" s="91"/>
      <c r="E1489" s="92"/>
      <c r="F1489" s="93"/>
      <c r="G1489" s="94"/>
      <c r="H1489" s="94"/>
      <c r="I1489" s="94"/>
      <c r="J1489" s="94"/>
      <c r="K1489" s="93"/>
      <c r="L1489" s="86"/>
      <c r="M1489" s="86"/>
      <c r="N1489" s="86"/>
      <c r="O1489" s="86"/>
      <c r="P1489" s="86"/>
      <c r="Q1489" s="85"/>
      <c r="S1489" s="85"/>
      <c r="T1489" s="85"/>
      <c r="U1489" s="85"/>
      <c r="V1489" s="85"/>
      <c r="W1489" s="85"/>
      <c r="X1489" s="85"/>
    </row>
    <row r="1490" spans="2:24" s="58" customFormat="1" ht="12" x14ac:dyDescent="0.2">
      <c r="B1490" s="91"/>
      <c r="E1490" s="92"/>
      <c r="F1490" s="93"/>
      <c r="G1490" s="94"/>
      <c r="H1490" s="94"/>
      <c r="I1490" s="94"/>
      <c r="J1490" s="94"/>
      <c r="K1490" s="93"/>
      <c r="L1490" s="86"/>
      <c r="M1490" s="86"/>
      <c r="N1490" s="86"/>
      <c r="O1490" s="86"/>
      <c r="P1490" s="86"/>
      <c r="Q1490" s="85"/>
      <c r="S1490" s="85"/>
      <c r="T1490" s="85"/>
      <c r="U1490" s="85"/>
      <c r="V1490" s="85"/>
      <c r="W1490" s="85"/>
      <c r="X1490" s="85"/>
    </row>
    <row r="1491" spans="2:24" s="58" customFormat="1" ht="12" x14ac:dyDescent="0.2">
      <c r="B1491" s="91"/>
      <c r="E1491" s="92"/>
      <c r="F1491" s="93"/>
      <c r="G1491" s="94"/>
      <c r="H1491" s="94"/>
      <c r="I1491" s="94"/>
      <c r="J1491" s="94"/>
      <c r="K1491" s="93"/>
      <c r="L1491" s="86"/>
      <c r="M1491" s="86"/>
      <c r="N1491" s="86"/>
      <c r="O1491" s="86"/>
      <c r="P1491" s="86"/>
      <c r="Q1491" s="85"/>
      <c r="S1491" s="85"/>
      <c r="T1491" s="85"/>
      <c r="U1491" s="85"/>
      <c r="V1491" s="85"/>
      <c r="W1491" s="85"/>
      <c r="X1491" s="85"/>
    </row>
    <row r="1492" spans="2:24" s="58" customFormat="1" ht="12" x14ac:dyDescent="0.2">
      <c r="B1492" s="91"/>
      <c r="E1492" s="92"/>
      <c r="F1492" s="93"/>
      <c r="G1492" s="94"/>
      <c r="H1492" s="94"/>
      <c r="I1492" s="94"/>
      <c r="J1492" s="94"/>
      <c r="K1492" s="93"/>
      <c r="L1492" s="86"/>
      <c r="M1492" s="86"/>
      <c r="N1492" s="86"/>
      <c r="O1492" s="86"/>
      <c r="P1492" s="86"/>
      <c r="Q1492" s="85"/>
      <c r="S1492" s="85"/>
      <c r="T1492" s="85"/>
      <c r="U1492" s="85"/>
      <c r="V1492" s="85"/>
      <c r="W1492" s="85"/>
      <c r="X1492" s="85"/>
    </row>
    <row r="1493" spans="2:24" s="58" customFormat="1" ht="12" x14ac:dyDescent="0.2">
      <c r="B1493" s="91"/>
      <c r="E1493" s="92"/>
      <c r="F1493" s="93"/>
      <c r="G1493" s="94"/>
      <c r="H1493" s="94"/>
      <c r="I1493" s="94"/>
      <c r="J1493" s="94"/>
      <c r="K1493" s="93"/>
      <c r="L1493" s="86"/>
      <c r="M1493" s="86"/>
      <c r="N1493" s="86"/>
      <c r="O1493" s="86"/>
      <c r="P1493" s="86"/>
      <c r="Q1493" s="85"/>
      <c r="S1493" s="85"/>
      <c r="T1493" s="85"/>
      <c r="U1493" s="85"/>
      <c r="V1493" s="85"/>
      <c r="W1493" s="85"/>
      <c r="X1493" s="85"/>
    </row>
    <row r="1494" spans="2:24" s="58" customFormat="1" ht="12" x14ac:dyDescent="0.2">
      <c r="B1494" s="91"/>
      <c r="E1494" s="92"/>
      <c r="F1494" s="93"/>
      <c r="G1494" s="94"/>
      <c r="H1494" s="94"/>
      <c r="I1494" s="94"/>
      <c r="J1494" s="94"/>
      <c r="K1494" s="93"/>
      <c r="L1494" s="86"/>
      <c r="M1494" s="86"/>
      <c r="N1494" s="86"/>
      <c r="O1494" s="86"/>
      <c r="P1494" s="86"/>
      <c r="Q1494" s="85"/>
      <c r="S1494" s="85"/>
      <c r="T1494" s="85"/>
      <c r="U1494" s="85"/>
      <c r="V1494" s="85"/>
      <c r="W1494" s="85"/>
      <c r="X1494" s="85"/>
    </row>
    <row r="1495" spans="2:24" s="58" customFormat="1" ht="12" x14ac:dyDescent="0.2">
      <c r="B1495" s="91"/>
      <c r="E1495" s="92"/>
      <c r="F1495" s="93"/>
      <c r="G1495" s="94"/>
      <c r="H1495" s="94"/>
      <c r="I1495" s="94"/>
      <c r="J1495" s="94"/>
      <c r="K1495" s="93"/>
      <c r="L1495" s="86"/>
      <c r="M1495" s="86"/>
      <c r="N1495" s="86"/>
      <c r="O1495" s="86"/>
      <c r="P1495" s="86"/>
      <c r="Q1495" s="85"/>
      <c r="S1495" s="85"/>
      <c r="T1495" s="85"/>
      <c r="U1495" s="85"/>
      <c r="V1495" s="85"/>
      <c r="W1495" s="85"/>
      <c r="X1495" s="85"/>
    </row>
    <row r="1496" spans="2:24" s="58" customFormat="1" ht="12" x14ac:dyDescent="0.2">
      <c r="B1496" s="91"/>
      <c r="E1496" s="92"/>
      <c r="F1496" s="93"/>
      <c r="G1496" s="94"/>
      <c r="H1496" s="94"/>
      <c r="I1496" s="94"/>
      <c r="J1496" s="94"/>
      <c r="K1496" s="93"/>
      <c r="L1496" s="86"/>
      <c r="M1496" s="86"/>
      <c r="N1496" s="86"/>
      <c r="O1496" s="86"/>
      <c r="P1496" s="86"/>
      <c r="Q1496" s="85"/>
      <c r="S1496" s="85"/>
      <c r="T1496" s="85"/>
      <c r="U1496" s="85"/>
      <c r="V1496" s="85"/>
      <c r="W1496" s="85"/>
      <c r="X1496" s="85"/>
    </row>
    <row r="1497" spans="2:24" s="58" customFormat="1" ht="12" x14ac:dyDescent="0.2">
      <c r="B1497" s="91"/>
      <c r="E1497" s="92"/>
      <c r="F1497" s="93"/>
      <c r="G1497" s="94"/>
      <c r="H1497" s="94"/>
      <c r="I1497" s="94"/>
      <c r="J1497" s="94"/>
      <c r="K1497" s="93"/>
      <c r="L1497" s="86"/>
      <c r="M1497" s="86"/>
      <c r="N1497" s="86"/>
      <c r="O1497" s="86"/>
      <c r="P1497" s="86"/>
      <c r="Q1497" s="85"/>
      <c r="S1497" s="85"/>
      <c r="T1497" s="85"/>
      <c r="U1497" s="85"/>
      <c r="V1497" s="85"/>
      <c r="W1497" s="85"/>
      <c r="X1497" s="85"/>
    </row>
    <row r="1498" spans="2:24" s="58" customFormat="1" ht="12" x14ac:dyDescent="0.2">
      <c r="B1498" s="91"/>
      <c r="E1498" s="92"/>
      <c r="F1498" s="93"/>
      <c r="G1498" s="94"/>
      <c r="H1498" s="94"/>
      <c r="I1498" s="94"/>
      <c r="J1498" s="94"/>
      <c r="K1498" s="93"/>
      <c r="L1498" s="86"/>
      <c r="M1498" s="86"/>
      <c r="N1498" s="86"/>
      <c r="O1498" s="86"/>
      <c r="P1498" s="86"/>
      <c r="Q1498" s="85"/>
      <c r="S1498" s="85"/>
      <c r="T1498" s="85"/>
      <c r="U1498" s="85"/>
      <c r="V1498" s="85"/>
      <c r="W1498" s="85"/>
      <c r="X1498" s="85"/>
    </row>
    <row r="1499" spans="2:24" s="58" customFormat="1" ht="12" x14ac:dyDescent="0.2">
      <c r="B1499" s="91"/>
      <c r="E1499" s="92"/>
      <c r="F1499" s="93"/>
      <c r="G1499" s="94"/>
      <c r="H1499" s="94"/>
      <c r="I1499" s="94"/>
      <c r="J1499" s="94"/>
      <c r="K1499" s="93"/>
      <c r="L1499" s="86"/>
      <c r="M1499" s="86"/>
      <c r="N1499" s="86"/>
      <c r="O1499" s="86"/>
      <c r="P1499" s="86"/>
      <c r="Q1499" s="85"/>
      <c r="S1499" s="85"/>
      <c r="T1499" s="85"/>
      <c r="U1499" s="85"/>
      <c r="V1499" s="85"/>
      <c r="W1499" s="85"/>
      <c r="X1499" s="85"/>
    </row>
    <row r="1500" spans="2:24" s="58" customFormat="1" ht="12" x14ac:dyDescent="0.2">
      <c r="B1500" s="91"/>
      <c r="E1500" s="92"/>
      <c r="F1500" s="93"/>
      <c r="G1500" s="94"/>
      <c r="H1500" s="94"/>
      <c r="I1500" s="94"/>
      <c r="J1500" s="94"/>
      <c r="K1500" s="93"/>
      <c r="L1500" s="86"/>
      <c r="M1500" s="86"/>
      <c r="N1500" s="86"/>
      <c r="O1500" s="86"/>
      <c r="P1500" s="86"/>
      <c r="Q1500" s="85"/>
      <c r="S1500" s="85"/>
      <c r="T1500" s="85"/>
      <c r="U1500" s="85"/>
      <c r="V1500" s="85"/>
      <c r="W1500" s="85"/>
      <c r="X1500" s="85"/>
    </row>
    <row r="1501" spans="2:24" s="58" customFormat="1" ht="12" x14ac:dyDescent="0.2">
      <c r="B1501" s="91"/>
      <c r="E1501" s="92"/>
      <c r="F1501" s="93"/>
      <c r="G1501" s="94"/>
      <c r="H1501" s="94"/>
      <c r="I1501" s="94"/>
      <c r="J1501" s="94"/>
      <c r="K1501" s="93"/>
      <c r="L1501" s="86"/>
      <c r="M1501" s="86"/>
      <c r="N1501" s="86"/>
      <c r="O1501" s="86"/>
      <c r="P1501" s="86"/>
      <c r="Q1501" s="85"/>
      <c r="S1501" s="85"/>
      <c r="T1501" s="85"/>
      <c r="U1501" s="85"/>
      <c r="V1501" s="85"/>
      <c r="W1501" s="85"/>
      <c r="X1501" s="85"/>
    </row>
    <row r="1502" spans="2:24" s="58" customFormat="1" ht="12" x14ac:dyDescent="0.2">
      <c r="B1502" s="91"/>
      <c r="E1502" s="92"/>
      <c r="F1502" s="93"/>
      <c r="G1502" s="94"/>
      <c r="H1502" s="94"/>
      <c r="I1502" s="94"/>
      <c r="J1502" s="94"/>
      <c r="K1502" s="93"/>
      <c r="L1502" s="86"/>
      <c r="M1502" s="86"/>
      <c r="N1502" s="86"/>
      <c r="O1502" s="86"/>
      <c r="P1502" s="86"/>
      <c r="Q1502" s="85"/>
      <c r="S1502" s="85"/>
      <c r="T1502" s="85"/>
      <c r="U1502" s="85"/>
      <c r="V1502" s="85"/>
      <c r="W1502" s="85"/>
      <c r="X1502" s="85"/>
    </row>
    <row r="1503" spans="2:24" s="58" customFormat="1" ht="12" x14ac:dyDescent="0.2">
      <c r="B1503" s="91"/>
      <c r="E1503" s="92"/>
      <c r="F1503" s="93"/>
      <c r="G1503" s="94"/>
      <c r="H1503" s="94"/>
      <c r="I1503" s="94"/>
      <c r="J1503" s="94"/>
      <c r="K1503" s="93"/>
      <c r="L1503" s="86"/>
      <c r="M1503" s="86"/>
      <c r="N1503" s="86"/>
      <c r="O1503" s="86"/>
      <c r="P1503" s="86"/>
      <c r="Q1503" s="85"/>
      <c r="S1503" s="85"/>
      <c r="T1503" s="85"/>
      <c r="U1503" s="85"/>
      <c r="V1503" s="85"/>
      <c r="W1503" s="85"/>
      <c r="X1503" s="85"/>
    </row>
    <row r="1504" spans="2:24" s="58" customFormat="1" ht="12" x14ac:dyDescent="0.2">
      <c r="B1504" s="91"/>
      <c r="E1504" s="92"/>
      <c r="F1504" s="93"/>
      <c r="G1504" s="94"/>
      <c r="H1504" s="94"/>
      <c r="I1504" s="94"/>
      <c r="J1504" s="94"/>
      <c r="K1504" s="93"/>
      <c r="L1504" s="86"/>
      <c r="M1504" s="86"/>
      <c r="N1504" s="86"/>
      <c r="O1504" s="86"/>
      <c r="P1504" s="86"/>
      <c r="Q1504" s="85"/>
      <c r="S1504" s="85"/>
      <c r="T1504" s="85"/>
      <c r="U1504" s="85"/>
      <c r="V1504" s="85"/>
      <c r="W1504" s="85"/>
      <c r="X1504" s="85"/>
    </row>
    <row r="1505" spans="2:24" s="58" customFormat="1" ht="12" x14ac:dyDescent="0.2">
      <c r="B1505" s="91"/>
      <c r="E1505" s="92"/>
      <c r="F1505" s="93"/>
      <c r="G1505" s="94"/>
      <c r="H1505" s="94"/>
      <c r="I1505" s="94"/>
      <c r="J1505" s="94"/>
      <c r="K1505" s="93"/>
      <c r="L1505" s="86"/>
      <c r="M1505" s="86"/>
      <c r="N1505" s="86"/>
      <c r="O1505" s="86"/>
      <c r="P1505" s="86"/>
      <c r="Q1505" s="85"/>
      <c r="S1505" s="85"/>
      <c r="T1505" s="85"/>
      <c r="U1505" s="85"/>
      <c r="V1505" s="85"/>
      <c r="W1505" s="85"/>
      <c r="X1505" s="85"/>
    </row>
    <row r="1506" spans="2:24" s="58" customFormat="1" ht="12" x14ac:dyDescent="0.2">
      <c r="B1506" s="91"/>
      <c r="E1506" s="92"/>
      <c r="F1506" s="93"/>
      <c r="G1506" s="94"/>
      <c r="H1506" s="94"/>
      <c r="I1506" s="94"/>
      <c r="J1506" s="94"/>
      <c r="K1506" s="93"/>
      <c r="L1506" s="86"/>
      <c r="M1506" s="86"/>
      <c r="N1506" s="86"/>
      <c r="O1506" s="86"/>
      <c r="P1506" s="86"/>
      <c r="Q1506" s="85"/>
      <c r="S1506" s="85"/>
      <c r="T1506" s="85"/>
      <c r="U1506" s="85"/>
      <c r="V1506" s="85"/>
      <c r="W1506" s="85"/>
      <c r="X1506" s="85"/>
    </row>
    <row r="1507" spans="2:24" s="58" customFormat="1" ht="12" x14ac:dyDescent="0.2">
      <c r="B1507" s="91"/>
      <c r="E1507" s="92"/>
      <c r="F1507" s="93"/>
      <c r="G1507" s="94"/>
      <c r="H1507" s="94"/>
      <c r="I1507" s="94"/>
      <c r="J1507" s="94"/>
      <c r="K1507" s="93"/>
      <c r="L1507" s="86"/>
      <c r="M1507" s="86"/>
      <c r="N1507" s="86"/>
      <c r="O1507" s="86"/>
      <c r="P1507" s="86"/>
      <c r="Q1507" s="85"/>
      <c r="S1507" s="85"/>
      <c r="T1507" s="85"/>
      <c r="U1507" s="85"/>
      <c r="V1507" s="85"/>
      <c r="W1507" s="85"/>
      <c r="X1507" s="85"/>
    </row>
    <row r="1508" spans="2:24" s="58" customFormat="1" ht="12" x14ac:dyDescent="0.2">
      <c r="B1508" s="91"/>
      <c r="E1508" s="92"/>
      <c r="F1508" s="93"/>
      <c r="G1508" s="94"/>
      <c r="H1508" s="94"/>
      <c r="I1508" s="94"/>
      <c r="J1508" s="94"/>
      <c r="K1508" s="93"/>
      <c r="L1508" s="86"/>
      <c r="M1508" s="86"/>
      <c r="N1508" s="86"/>
      <c r="O1508" s="86"/>
      <c r="P1508" s="86"/>
      <c r="Q1508" s="85"/>
      <c r="S1508" s="85"/>
      <c r="T1508" s="85"/>
      <c r="U1508" s="85"/>
      <c r="V1508" s="85"/>
      <c r="W1508" s="85"/>
      <c r="X1508" s="85"/>
    </row>
    <row r="1509" spans="2:24" s="58" customFormat="1" ht="12" x14ac:dyDescent="0.2">
      <c r="B1509" s="91"/>
      <c r="E1509" s="92"/>
      <c r="F1509" s="93"/>
      <c r="G1509" s="94"/>
      <c r="H1509" s="94"/>
      <c r="I1509" s="94"/>
      <c r="J1509" s="94"/>
      <c r="K1509" s="93"/>
      <c r="L1509" s="86"/>
      <c r="M1509" s="86"/>
      <c r="N1509" s="86"/>
      <c r="O1509" s="86"/>
      <c r="P1509" s="86"/>
      <c r="Q1509" s="85"/>
      <c r="S1509" s="85"/>
      <c r="T1509" s="85"/>
      <c r="U1509" s="85"/>
      <c r="V1509" s="85"/>
      <c r="W1509" s="85"/>
      <c r="X1509" s="85"/>
    </row>
    <row r="1510" spans="2:24" s="58" customFormat="1" ht="12" x14ac:dyDescent="0.2">
      <c r="B1510" s="91"/>
      <c r="E1510" s="92"/>
      <c r="F1510" s="93"/>
      <c r="G1510" s="94"/>
      <c r="H1510" s="94"/>
      <c r="I1510" s="94"/>
      <c r="J1510" s="94"/>
      <c r="K1510" s="93"/>
      <c r="L1510" s="86"/>
      <c r="M1510" s="86"/>
      <c r="N1510" s="86"/>
      <c r="O1510" s="86"/>
      <c r="P1510" s="86"/>
      <c r="Q1510" s="85"/>
      <c r="S1510" s="85"/>
      <c r="T1510" s="85"/>
      <c r="U1510" s="85"/>
      <c r="V1510" s="85"/>
      <c r="W1510" s="85"/>
      <c r="X1510" s="85"/>
    </row>
    <row r="1511" spans="2:24" s="58" customFormat="1" ht="12" x14ac:dyDescent="0.2">
      <c r="B1511" s="91"/>
      <c r="E1511" s="92"/>
      <c r="F1511" s="93"/>
      <c r="G1511" s="94"/>
      <c r="H1511" s="94"/>
      <c r="I1511" s="94"/>
      <c r="J1511" s="94"/>
      <c r="K1511" s="93"/>
      <c r="L1511" s="86"/>
      <c r="M1511" s="86"/>
      <c r="N1511" s="86"/>
      <c r="O1511" s="86"/>
      <c r="P1511" s="86"/>
      <c r="Q1511" s="85"/>
      <c r="S1511" s="85"/>
      <c r="T1511" s="85"/>
      <c r="U1511" s="85"/>
      <c r="V1511" s="85"/>
      <c r="W1511" s="85"/>
      <c r="X1511" s="85"/>
    </row>
    <row r="1512" spans="2:24" s="58" customFormat="1" ht="12" x14ac:dyDescent="0.2">
      <c r="B1512" s="91"/>
      <c r="E1512" s="92"/>
      <c r="F1512" s="93"/>
      <c r="G1512" s="94"/>
      <c r="H1512" s="94"/>
      <c r="I1512" s="94"/>
      <c r="J1512" s="94"/>
      <c r="K1512" s="93"/>
      <c r="L1512" s="86"/>
      <c r="M1512" s="86"/>
      <c r="N1512" s="86"/>
      <c r="O1512" s="86"/>
      <c r="P1512" s="86"/>
      <c r="Q1512" s="85"/>
      <c r="S1512" s="85"/>
      <c r="T1512" s="85"/>
      <c r="U1512" s="85"/>
      <c r="V1512" s="85"/>
      <c r="W1512" s="85"/>
      <c r="X1512" s="85"/>
    </row>
    <row r="1513" spans="2:24" s="58" customFormat="1" ht="12" x14ac:dyDescent="0.2">
      <c r="B1513" s="91"/>
      <c r="E1513" s="92"/>
      <c r="F1513" s="93"/>
      <c r="G1513" s="94"/>
      <c r="H1513" s="94"/>
      <c r="I1513" s="94"/>
      <c r="J1513" s="94"/>
      <c r="K1513" s="93"/>
      <c r="L1513" s="86"/>
      <c r="M1513" s="86"/>
      <c r="N1513" s="86"/>
      <c r="O1513" s="86"/>
      <c r="P1513" s="86"/>
      <c r="Q1513" s="85"/>
      <c r="S1513" s="85"/>
      <c r="T1513" s="85"/>
      <c r="U1513" s="85"/>
      <c r="V1513" s="85"/>
      <c r="W1513" s="85"/>
      <c r="X1513" s="85"/>
    </row>
    <row r="1514" spans="2:24" s="58" customFormat="1" ht="12" x14ac:dyDescent="0.2">
      <c r="B1514" s="91"/>
      <c r="E1514" s="92"/>
      <c r="F1514" s="93"/>
      <c r="G1514" s="94"/>
      <c r="H1514" s="94"/>
      <c r="I1514" s="94"/>
      <c r="J1514" s="94"/>
      <c r="K1514" s="93"/>
      <c r="L1514" s="86"/>
      <c r="M1514" s="86"/>
      <c r="N1514" s="86"/>
      <c r="O1514" s="86"/>
      <c r="P1514" s="86"/>
      <c r="Q1514" s="85"/>
      <c r="S1514" s="85"/>
      <c r="T1514" s="85"/>
      <c r="U1514" s="85"/>
      <c r="V1514" s="85"/>
      <c r="W1514" s="85"/>
      <c r="X1514" s="85"/>
    </row>
    <row r="1515" spans="2:24" s="58" customFormat="1" ht="12" x14ac:dyDescent="0.2">
      <c r="B1515" s="91"/>
      <c r="E1515" s="92"/>
      <c r="F1515" s="93"/>
      <c r="G1515" s="94"/>
      <c r="H1515" s="94"/>
      <c r="I1515" s="94"/>
      <c r="J1515" s="94"/>
      <c r="K1515" s="93"/>
      <c r="L1515" s="86"/>
      <c r="M1515" s="86"/>
      <c r="N1515" s="86"/>
      <c r="O1515" s="86"/>
      <c r="P1515" s="86"/>
      <c r="Q1515" s="85"/>
      <c r="S1515" s="85"/>
      <c r="T1515" s="85"/>
      <c r="U1515" s="85"/>
      <c r="V1515" s="85"/>
      <c r="W1515" s="85"/>
      <c r="X1515" s="85"/>
    </row>
    <row r="1516" spans="2:24" s="58" customFormat="1" ht="12" x14ac:dyDescent="0.2">
      <c r="B1516" s="91"/>
      <c r="E1516" s="92"/>
      <c r="F1516" s="93"/>
      <c r="G1516" s="94"/>
      <c r="H1516" s="94"/>
      <c r="I1516" s="94"/>
      <c r="J1516" s="94"/>
      <c r="K1516" s="93"/>
      <c r="L1516" s="86"/>
      <c r="M1516" s="86"/>
      <c r="N1516" s="86"/>
      <c r="O1516" s="86"/>
      <c r="P1516" s="86"/>
      <c r="Q1516" s="85"/>
      <c r="S1516" s="85"/>
      <c r="T1516" s="85"/>
      <c r="U1516" s="85"/>
      <c r="V1516" s="85"/>
      <c r="W1516" s="85"/>
      <c r="X1516" s="85"/>
    </row>
    <row r="1517" spans="2:24" s="58" customFormat="1" ht="12" x14ac:dyDescent="0.2">
      <c r="B1517" s="91"/>
      <c r="E1517" s="92"/>
      <c r="F1517" s="93"/>
      <c r="G1517" s="94"/>
      <c r="H1517" s="94"/>
      <c r="I1517" s="94"/>
      <c r="J1517" s="94"/>
      <c r="K1517" s="93"/>
      <c r="L1517" s="86"/>
      <c r="M1517" s="86"/>
      <c r="N1517" s="86"/>
      <c r="O1517" s="86"/>
      <c r="P1517" s="86"/>
      <c r="Q1517" s="85"/>
      <c r="S1517" s="85"/>
      <c r="T1517" s="85"/>
      <c r="U1517" s="85"/>
      <c r="V1517" s="85"/>
      <c r="W1517" s="85"/>
      <c r="X1517" s="85"/>
    </row>
    <row r="1518" spans="2:24" s="58" customFormat="1" ht="12" x14ac:dyDescent="0.2">
      <c r="B1518" s="91"/>
      <c r="E1518" s="92"/>
      <c r="F1518" s="93"/>
      <c r="G1518" s="94"/>
      <c r="H1518" s="94"/>
      <c r="I1518" s="94"/>
      <c r="J1518" s="94"/>
      <c r="K1518" s="93"/>
      <c r="L1518" s="86"/>
      <c r="M1518" s="86"/>
      <c r="N1518" s="86"/>
      <c r="O1518" s="86"/>
      <c r="P1518" s="86"/>
      <c r="Q1518" s="85"/>
      <c r="S1518" s="85"/>
      <c r="T1518" s="85"/>
      <c r="U1518" s="85"/>
      <c r="V1518" s="85"/>
      <c r="W1518" s="85"/>
      <c r="X1518" s="85"/>
    </row>
    <row r="1519" spans="2:24" s="58" customFormat="1" ht="12" x14ac:dyDescent="0.2">
      <c r="B1519" s="91"/>
      <c r="E1519" s="92"/>
      <c r="F1519" s="93"/>
      <c r="G1519" s="94"/>
      <c r="H1519" s="94"/>
      <c r="I1519" s="94"/>
      <c r="J1519" s="94"/>
      <c r="K1519" s="93"/>
      <c r="L1519" s="86"/>
      <c r="M1519" s="86"/>
      <c r="N1519" s="86"/>
      <c r="O1519" s="86"/>
      <c r="P1519" s="86"/>
      <c r="Q1519" s="85"/>
      <c r="S1519" s="85"/>
      <c r="T1519" s="85"/>
      <c r="U1519" s="85"/>
      <c r="V1519" s="85"/>
      <c r="W1519" s="85"/>
      <c r="X1519" s="85"/>
    </row>
    <row r="1520" spans="2:24" s="58" customFormat="1" ht="12" x14ac:dyDescent="0.2">
      <c r="B1520" s="91"/>
      <c r="E1520" s="92"/>
      <c r="F1520" s="93"/>
      <c r="G1520" s="94"/>
      <c r="H1520" s="94"/>
      <c r="I1520" s="94"/>
      <c r="J1520" s="94"/>
      <c r="K1520" s="93"/>
      <c r="L1520" s="86"/>
      <c r="M1520" s="86"/>
      <c r="N1520" s="86"/>
      <c r="O1520" s="86"/>
      <c r="P1520" s="86"/>
      <c r="Q1520" s="85"/>
      <c r="S1520" s="85"/>
      <c r="T1520" s="85"/>
      <c r="U1520" s="85"/>
      <c r="V1520" s="85"/>
      <c r="W1520" s="85"/>
      <c r="X1520" s="85"/>
    </row>
    <row r="1521" spans="2:24" s="58" customFormat="1" ht="12" x14ac:dyDescent="0.2">
      <c r="B1521" s="91"/>
      <c r="E1521" s="92"/>
      <c r="F1521" s="93"/>
      <c r="G1521" s="94"/>
      <c r="H1521" s="94"/>
      <c r="I1521" s="94"/>
      <c r="J1521" s="94"/>
      <c r="K1521" s="93"/>
      <c r="L1521" s="86"/>
      <c r="M1521" s="86"/>
      <c r="N1521" s="86"/>
      <c r="O1521" s="86"/>
      <c r="P1521" s="86"/>
      <c r="Q1521" s="85"/>
      <c r="S1521" s="85"/>
      <c r="T1521" s="85"/>
      <c r="U1521" s="85"/>
      <c r="V1521" s="85"/>
      <c r="W1521" s="85"/>
      <c r="X1521" s="85"/>
    </row>
    <row r="1522" spans="2:24" s="58" customFormat="1" ht="12" x14ac:dyDescent="0.2">
      <c r="B1522" s="91"/>
      <c r="E1522" s="92"/>
      <c r="F1522" s="93"/>
      <c r="G1522" s="94"/>
      <c r="H1522" s="94"/>
      <c r="I1522" s="94"/>
      <c r="J1522" s="94"/>
      <c r="K1522" s="93"/>
      <c r="L1522" s="86"/>
      <c r="M1522" s="86"/>
      <c r="N1522" s="86"/>
      <c r="O1522" s="86"/>
      <c r="P1522" s="86"/>
      <c r="Q1522" s="85"/>
      <c r="S1522" s="85"/>
      <c r="T1522" s="85"/>
      <c r="U1522" s="85"/>
      <c r="V1522" s="85"/>
      <c r="W1522" s="85"/>
      <c r="X1522" s="85"/>
    </row>
    <row r="1523" spans="2:24" s="58" customFormat="1" ht="12" x14ac:dyDescent="0.2">
      <c r="B1523" s="91"/>
      <c r="E1523" s="92"/>
      <c r="F1523" s="93"/>
      <c r="G1523" s="94"/>
      <c r="H1523" s="94"/>
      <c r="I1523" s="94"/>
      <c r="J1523" s="94"/>
      <c r="K1523" s="93"/>
      <c r="L1523" s="86"/>
      <c r="M1523" s="86"/>
      <c r="N1523" s="86"/>
      <c r="O1523" s="86"/>
      <c r="P1523" s="86"/>
      <c r="Q1523" s="85"/>
      <c r="S1523" s="85"/>
      <c r="T1523" s="85"/>
      <c r="U1523" s="85"/>
      <c r="V1523" s="85"/>
      <c r="W1523" s="85"/>
      <c r="X1523" s="85"/>
    </row>
    <row r="1524" spans="2:24" s="58" customFormat="1" ht="12" x14ac:dyDescent="0.2">
      <c r="B1524" s="91"/>
      <c r="E1524" s="92"/>
      <c r="F1524" s="93"/>
      <c r="G1524" s="94"/>
      <c r="H1524" s="94"/>
      <c r="I1524" s="94"/>
      <c r="J1524" s="94"/>
      <c r="K1524" s="93"/>
      <c r="L1524" s="86"/>
      <c r="M1524" s="86"/>
      <c r="N1524" s="86"/>
      <c r="O1524" s="86"/>
      <c r="P1524" s="86"/>
      <c r="Q1524" s="85"/>
      <c r="S1524" s="85"/>
      <c r="T1524" s="85"/>
      <c r="U1524" s="85"/>
      <c r="V1524" s="85"/>
      <c r="W1524" s="85"/>
      <c r="X1524" s="85"/>
    </row>
    <row r="1525" spans="2:24" s="58" customFormat="1" ht="12" x14ac:dyDescent="0.2">
      <c r="B1525" s="91"/>
      <c r="E1525" s="92"/>
      <c r="F1525" s="93"/>
      <c r="G1525" s="94"/>
      <c r="H1525" s="94"/>
      <c r="I1525" s="94"/>
      <c r="J1525" s="94"/>
      <c r="K1525" s="93"/>
      <c r="L1525" s="86"/>
      <c r="M1525" s="86"/>
      <c r="N1525" s="86"/>
      <c r="O1525" s="86"/>
      <c r="P1525" s="86"/>
      <c r="Q1525" s="85"/>
      <c r="S1525" s="85"/>
      <c r="T1525" s="85"/>
      <c r="U1525" s="85"/>
      <c r="V1525" s="85"/>
      <c r="W1525" s="85"/>
      <c r="X1525" s="85"/>
    </row>
    <row r="1526" spans="2:24" s="58" customFormat="1" ht="12" x14ac:dyDescent="0.2">
      <c r="B1526" s="91"/>
      <c r="E1526" s="92"/>
      <c r="F1526" s="93"/>
      <c r="G1526" s="94"/>
      <c r="H1526" s="94"/>
      <c r="I1526" s="94"/>
      <c r="J1526" s="94"/>
      <c r="K1526" s="93"/>
      <c r="L1526" s="86"/>
      <c r="M1526" s="86"/>
      <c r="N1526" s="86"/>
      <c r="O1526" s="86"/>
      <c r="P1526" s="86"/>
      <c r="Q1526" s="85"/>
      <c r="S1526" s="85"/>
      <c r="T1526" s="85"/>
      <c r="U1526" s="85"/>
      <c r="V1526" s="85"/>
      <c r="W1526" s="85"/>
      <c r="X1526" s="85"/>
    </row>
    <row r="1527" spans="2:24" s="58" customFormat="1" ht="12" x14ac:dyDescent="0.2">
      <c r="B1527" s="91"/>
      <c r="E1527" s="92"/>
      <c r="F1527" s="93"/>
      <c r="G1527" s="94"/>
      <c r="H1527" s="94"/>
      <c r="I1527" s="94"/>
      <c r="J1527" s="94"/>
      <c r="K1527" s="93"/>
      <c r="L1527" s="86"/>
      <c r="M1527" s="86"/>
      <c r="N1527" s="86"/>
      <c r="O1527" s="86"/>
      <c r="P1527" s="86"/>
      <c r="Q1527" s="85"/>
      <c r="S1527" s="85"/>
      <c r="T1527" s="85"/>
      <c r="U1527" s="85"/>
      <c r="V1527" s="85"/>
      <c r="W1527" s="85"/>
      <c r="X1527" s="85"/>
    </row>
    <row r="1528" spans="2:24" s="58" customFormat="1" ht="12" x14ac:dyDescent="0.2">
      <c r="B1528" s="91"/>
      <c r="E1528" s="92"/>
      <c r="F1528" s="93"/>
      <c r="G1528" s="94"/>
      <c r="H1528" s="94"/>
      <c r="I1528" s="94"/>
      <c r="J1528" s="94"/>
      <c r="K1528" s="93"/>
      <c r="L1528" s="86"/>
      <c r="M1528" s="86"/>
      <c r="N1528" s="86"/>
      <c r="O1528" s="86"/>
      <c r="P1528" s="86"/>
      <c r="Q1528" s="85"/>
      <c r="S1528" s="85"/>
      <c r="T1528" s="85"/>
      <c r="U1528" s="85"/>
      <c r="V1528" s="85"/>
      <c r="W1528" s="85"/>
      <c r="X1528" s="85"/>
    </row>
    <row r="1529" spans="2:24" s="58" customFormat="1" ht="12" x14ac:dyDescent="0.2">
      <c r="B1529" s="91"/>
      <c r="E1529" s="92"/>
      <c r="F1529" s="93"/>
      <c r="G1529" s="94"/>
      <c r="H1529" s="94"/>
      <c r="I1529" s="94"/>
      <c r="J1529" s="94"/>
      <c r="K1529" s="93"/>
      <c r="L1529" s="86"/>
      <c r="M1529" s="86"/>
      <c r="N1529" s="86"/>
      <c r="O1529" s="86"/>
      <c r="P1529" s="86"/>
      <c r="Q1529" s="85"/>
      <c r="S1529" s="85"/>
      <c r="T1529" s="85"/>
      <c r="U1529" s="85"/>
      <c r="V1529" s="85"/>
      <c r="W1529" s="85"/>
      <c r="X1529" s="85"/>
    </row>
    <row r="1530" spans="2:24" s="58" customFormat="1" ht="12" x14ac:dyDescent="0.2">
      <c r="B1530" s="91"/>
      <c r="E1530" s="92"/>
      <c r="F1530" s="93"/>
      <c r="G1530" s="94"/>
      <c r="H1530" s="94"/>
      <c r="I1530" s="94"/>
      <c r="J1530" s="94"/>
      <c r="K1530" s="93"/>
      <c r="L1530" s="86"/>
      <c r="M1530" s="86"/>
      <c r="N1530" s="86"/>
      <c r="O1530" s="86"/>
      <c r="P1530" s="86"/>
      <c r="Q1530" s="85"/>
      <c r="S1530" s="85"/>
      <c r="T1530" s="85"/>
      <c r="U1530" s="85"/>
      <c r="V1530" s="85"/>
      <c r="W1530" s="85"/>
      <c r="X1530" s="85"/>
    </row>
    <row r="1531" spans="2:24" s="58" customFormat="1" ht="12" x14ac:dyDescent="0.2">
      <c r="B1531" s="91"/>
      <c r="E1531" s="92"/>
      <c r="F1531" s="93"/>
      <c r="G1531" s="94"/>
      <c r="H1531" s="94"/>
      <c r="I1531" s="94"/>
      <c r="J1531" s="94"/>
      <c r="K1531" s="93"/>
      <c r="L1531" s="86"/>
      <c r="M1531" s="86"/>
      <c r="N1531" s="86"/>
      <c r="O1531" s="86"/>
      <c r="P1531" s="86"/>
      <c r="Q1531" s="85"/>
      <c r="S1531" s="85"/>
      <c r="T1531" s="85"/>
      <c r="U1531" s="85"/>
      <c r="V1531" s="85"/>
      <c r="W1531" s="85"/>
      <c r="X1531" s="85"/>
    </row>
    <row r="1532" spans="2:24" s="58" customFormat="1" ht="12" x14ac:dyDescent="0.2">
      <c r="B1532" s="91"/>
      <c r="E1532" s="92"/>
      <c r="F1532" s="93"/>
      <c r="G1532" s="94"/>
      <c r="H1532" s="94"/>
      <c r="I1532" s="94"/>
      <c r="J1532" s="94"/>
      <c r="K1532" s="93"/>
      <c r="L1532" s="86"/>
      <c r="M1532" s="86"/>
      <c r="N1532" s="86"/>
      <c r="O1532" s="86"/>
      <c r="P1532" s="86"/>
      <c r="Q1532" s="85"/>
      <c r="S1532" s="85"/>
      <c r="T1532" s="85"/>
      <c r="U1532" s="85"/>
      <c r="V1532" s="85"/>
      <c r="W1532" s="85"/>
      <c r="X1532" s="85"/>
    </row>
    <row r="1533" spans="2:24" s="58" customFormat="1" ht="12" x14ac:dyDescent="0.2">
      <c r="B1533" s="91"/>
      <c r="E1533" s="92"/>
      <c r="F1533" s="93"/>
      <c r="G1533" s="94"/>
      <c r="H1533" s="94"/>
      <c r="I1533" s="94"/>
      <c r="J1533" s="94"/>
      <c r="K1533" s="93"/>
      <c r="L1533" s="86"/>
      <c r="M1533" s="86"/>
      <c r="N1533" s="86"/>
      <c r="O1533" s="86"/>
      <c r="P1533" s="86"/>
      <c r="Q1533" s="85"/>
      <c r="S1533" s="85"/>
      <c r="T1533" s="85"/>
      <c r="U1533" s="85"/>
      <c r="V1533" s="85"/>
      <c r="W1533" s="85"/>
      <c r="X1533" s="85"/>
    </row>
    <row r="1534" spans="2:24" s="58" customFormat="1" ht="12" x14ac:dyDescent="0.2">
      <c r="B1534" s="91"/>
      <c r="E1534" s="92"/>
      <c r="F1534" s="93"/>
      <c r="G1534" s="94"/>
      <c r="H1534" s="94"/>
      <c r="I1534" s="94"/>
      <c r="J1534" s="94"/>
      <c r="K1534" s="93"/>
      <c r="L1534" s="86"/>
      <c r="M1534" s="86"/>
      <c r="N1534" s="86"/>
      <c r="O1534" s="86"/>
      <c r="P1534" s="86"/>
      <c r="Q1534" s="85"/>
      <c r="S1534" s="85"/>
      <c r="T1534" s="85"/>
      <c r="U1534" s="85"/>
      <c r="V1534" s="85"/>
      <c r="W1534" s="85"/>
      <c r="X1534" s="85"/>
    </row>
    <row r="1535" spans="2:24" s="58" customFormat="1" ht="12" x14ac:dyDescent="0.2">
      <c r="B1535" s="91"/>
      <c r="E1535" s="92"/>
      <c r="F1535" s="93"/>
      <c r="G1535" s="94"/>
      <c r="H1535" s="94"/>
      <c r="I1535" s="94"/>
      <c r="J1535" s="94"/>
      <c r="K1535" s="93"/>
      <c r="L1535" s="86"/>
      <c r="M1535" s="86"/>
      <c r="N1535" s="86"/>
      <c r="O1535" s="86"/>
      <c r="P1535" s="86"/>
      <c r="Q1535" s="85"/>
      <c r="S1535" s="85"/>
      <c r="T1535" s="85"/>
      <c r="U1535" s="85"/>
      <c r="V1535" s="85"/>
      <c r="W1535" s="85"/>
      <c r="X1535" s="85"/>
    </row>
    <row r="1536" spans="2:24" s="58" customFormat="1" ht="12" x14ac:dyDescent="0.2">
      <c r="B1536" s="91"/>
      <c r="E1536" s="92"/>
      <c r="F1536" s="93"/>
      <c r="G1536" s="94"/>
      <c r="H1536" s="94"/>
      <c r="I1536" s="94"/>
      <c r="J1536" s="94"/>
      <c r="K1536" s="93"/>
      <c r="L1536" s="86"/>
      <c r="M1536" s="86"/>
      <c r="N1536" s="86"/>
      <c r="O1536" s="86"/>
      <c r="P1536" s="86"/>
      <c r="Q1536" s="85"/>
      <c r="S1536" s="85"/>
      <c r="T1536" s="85"/>
      <c r="U1536" s="85"/>
      <c r="V1536" s="85"/>
      <c r="W1536" s="85"/>
      <c r="X1536" s="85"/>
    </row>
    <row r="1537" spans="2:24" s="58" customFormat="1" ht="12" x14ac:dyDescent="0.2">
      <c r="B1537" s="91"/>
      <c r="E1537" s="92"/>
      <c r="F1537" s="93"/>
      <c r="G1537" s="94"/>
      <c r="H1537" s="94"/>
      <c r="I1537" s="94"/>
      <c r="J1537" s="94"/>
      <c r="K1537" s="93"/>
      <c r="L1537" s="86"/>
      <c r="M1537" s="86"/>
      <c r="N1537" s="86"/>
      <c r="O1537" s="86"/>
      <c r="P1537" s="86"/>
      <c r="Q1537" s="85"/>
      <c r="S1537" s="85"/>
      <c r="T1537" s="85"/>
      <c r="U1537" s="85"/>
      <c r="V1537" s="85"/>
      <c r="W1537" s="85"/>
      <c r="X1537" s="85"/>
    </row>
    <row r="1538" spans="2:24" s="58" customFormat="1" ht="12" x14ac:dyDescent="0.2">
      <c r="B1538" s="91"/>
      <c r="E1538" s="92"/>
      <c r="F1538" s="93"/>
      <c r="G1538" s="94"/>
      <c r="H1538" s="94"/>
      <c r="I1538" s="94"/>
      <c r="J1538" s="94"/>
      <c r="K1538" s="93"/>
      <c r="L1538" s="86"/>
      <c r="M1538" s="86"/>
      <c r="N1538" s="86"/>
      <c r="O1538" s="86"/>
      <c r="P1538" s="86"/>
      <c r="Q1538" s="85"/>
      <c r="S1538" s="85"/>
      <c r="T1538" s="85"/>
      <c r="U1538" s="85"/>
      <c r="V1538" s="85"/>
      <c r="W1538" s="85"/>
      <c r="X1538" s="85"/>
    </row>
    <row r="1539" spans="2:24" s="58" customFormat="1" ht="12" x14ac:dyDescent="0.2">
      <c r="B1539" s="91"/>
      <c r="E1539" s="92"/>
      <c r="F1539" s="93"/>
      <c r="G1539" s="94"/>
      <c r="H1539" s="94"/>
      <c r="I1539" s="94"/>
      <c r="J1539" s="94"/>
      <c r="K1539" s="93"/>
      <c r="L1539" s="86"/>
      <c r="M1539" s="86"/>
      <c r="N1539" s="86"/>
      <c r="O1539" s="86"/>
      <c r="P1539" s="86"/>
      <c r="Q1539" s="85"/>
      <c r="S1539" s="85"/>
      <c r="T1539" s="85"/>
      <c r="U1539" s="85"/>
      <c r="V1539" s="85"/>
      <c r="W1539" s="85"/>
      <c r="X1539" s="85"/>
    </row>
    <row r="1540" spans="2:24" s="58" customFormat="1" ht="12" x14ac:dyDescent="0.2">
      <c r="B1540" s="91"/>
      <c r="E1540" s="92"/>
      <c r="F1540" s="93"/>
      <c r="G1540" s="94"/>
      <c r="H1540" s="94"/>
      <c r="I1540" s="94"/>
      <c r="J1540" s="94"/>
      <c r="K1540" s="93"/>
      <c r="L1540" s="86"/>
      <c r="M1540" s="86"/>
      <c r="N1540" s="86"/>
      <c r="O1540" s="86"/>
      <c r="P1540" s="86"/>
      <c r="Q1540" s="85"/>
      <c r="S1540" s="85"/>
      <c r="T1540" s="85"/>
      <c r="U1540" s="85"/>
      <c r="V1540" s="85"/>
      <c r="W1540" s="85"/>
      <c r="X1540" s="85"/>
    </row>
    <row r="1541" spans="2:24" s="58" customFormat="1" ht="12" x14ac:dyDescent="0.2">
      <c r="B1541" s="91"/>
      <c r="E1541" s="92"/>
      <c r="F1541" s="93"/>
      <c r="G1541" s="94"/>
      <c r="H1541" s="94"/>
      <c r="I1541" s="94"/>
      <c r="J1541" s="94"/>
      <c r="K1541" s="93"/>
      <c r="L1541" s="86"/>
      <c r="M1541" s="86"/>
      <c r="N1541" s="86"/>
      <c r="O1541" s="86"/>
      <c r="P1541" s="86"/>
      <c r="Q1541" s="85"/>
      <c r="S1541" s="85"/>
      <c r="T1541" s="85"/>
      <c r="U1541" s="85"/>
      <c r="V1541" s="85"/>
      <c r="W1541" s="85"/>
      <c r="X1541" s="85"/>
    </row>
    <row r="1542" spans="2:24" s="58" customFormat="1" ht="12" x14ac:dyDescent="0.2">
      <c r="B1542" s="91"/>
      <c r="E1542" s="92"/>
      <c r="F1542" s="93"/>
      <c r="G1542" s="94"/>
      <c r="H1542" s="94"/>
      <c r="I1542" s="94"/>
      <c r="J1542" s="94"/>
      <c r="K1542" s="93"/>
      <c r="L1542" s="86"/>
      <c r="M1542" s="86"/>
      <c r="N1542" s="86"/>
      <c r="O1542" s="86"/>
      <c r="P1542" s="86"/>
      <c r="Q1542" s="85"/>
      <c r="S1542" s="85"/>
      <c r="T1542" s="85"/>
      <c r="U1542" s="85"/>
      <c r="V1542" s="85"/>
      <c r="W1542" s="85"/>
      <c r="X1542" s="85"/>
    </row>
    <row r="1543" spans="2:24" s="58" customFormat="1" ht="12" x14ac:dyDescent="0.2">
      <c r="B1543" s="91"/>
      <c r="E1543" s="92"/>
      <c r="F1543" s="93"/>
      <c r="G1543" s="94"/>
      <c r="H1543" s="94"/>
      <c r="I1543" s="94"/>
      <c r="J1543" s="94"/>
      <c r="K1543" s="93"/>
      <c r="L1543" s="86"/>
      <c r="M1543" s="86"/>
      <c r="N1543" s="86"/>
      <c r="O1543" s="86"/>
      <c r="P1543" s="86"/>
      <c r="Q1543" s="85"/>
      <c r="S1543" s="85"/>
      <c r="T1543" s="85"/>
      <c r="U1543" s="85"/>
      <c r="V1543" s="85"/>
      <c r="W1543" s="85"/>
      <c r="X1543" s="85"/>
    </row>
    <row r="1544" spans="2:24" s="58" customFormat="1" ht="12" x14ac:dyDescent="0.2">
      <c r="B1544" s="91"/>
      <c r="E1544" s="92"/>
      <c r="F1544" s="93"/>
      <c r="G1544" s="94"/>
      <c r="H1544" s="94"/>
      <c r="I1544" s="94"/>
      <c r="J1544" s="94"/>
      <c r="K1544" s="93"/>
      <c r="L1544" s="86"/>
      <c r="M1544" s="86"/>
      <c r="N1544" s="86"/>
      <c r="O1544" s="86"/>
      <c r="P1544" s="86"/>
      <c r="Q1544" s="85"/>
      <c r="S1544" s="85"/>
      <c r="T1544" s="85"/>
      <c r="U1544" s="85"/>
      <c r="V1544" s="85"/>
      <c r="W1544" s="85"/>
      <c r="X1544" s="85"/>
    </row>
    <row r="1545" spans="2:24" s="58" customFormat="1" ht="12" x14ac:dyDescent="0.2">
      <c r="B1545" s="91"/>
      <c r="E1545" s="92"/>
      <c r="F1545" s="93"/>
      <c r="G1545" s="94"/>
      <c r="H1545" s="94"/>
      <c r="I1545" s="94"/>
      <c r="J1545" s="94"/>
      <c r="K1545" s="93"/>
      <c r="L1545" s="86"/>
      <c r="M1545" s="86"/>
      <c r="N1545" s="86"/>
      <c r="O1545" s="86"/>
      <c r="P1545" s="86"/>
      <c r="Q1545" s="85"/>
      <c r="S1545" s="85"/>
      <c r="T1545" s="85"/>
      <c r="U1545" s="85"/>
      <c r="V1545" s="85"/>
      <c r="W1545" s="85"/>
      <c r="X1545" s="85"/>
    </row>
    <row r="1546" spans="2:24" s="58" customFormat="1" ht="12" x14ac:dyDescent="0.2">
      <c r="B1546" s="91"/>
      <c r="E1546" s="92"/>
      <c r="F1546" s="93"/>
      <c r="G1546" s="94"/>
      <c r="H1546" s="94"/>
      <c r="I1546" s="94"/>
      <c r="J1546" s="94"/>
      <c r="K1546" s="93"/>
      <c r="L1546" s="86"/>
      <c r="M1546" s="86"/>
      <c r="N1546" s="86"/>
      <c r="O1546" s="86"/>
      <c r="P1546" s="86"/>
      <c r="Q1546" s="85"/>
      <c r="S1546" s="85"/>
      <c r="T1546" s="85"/>
      <c r="U1546" s="85"/>
      <c r="V1546" s="85"/>
      <c r="W1546" s="85"/>
      <c r="X1546" s="85"/>
    </row>
    <row r="1547" spans="2:24" s="58" customFormat="1" ht="12" x14ac:dyDescent="0.2">
      <c r="B1547" s="91"/>
      <c r="E1547" s="92"/>
      <c r="F1547" s="93"/>
      <c r="G1547" s="94"/>
      <c r="H1547" s="94"/>
      <c r="I1547" s="94"/>
      <c r="J1547" s="94"/>
      <c r="K1547" s="93"/>
      <c r="L1547" s="86"/>
      <c r="M1547" s="86"/>
      <c r="N1547" s="86"/>
      <c r="O1547" s="86"/>
      <c r="P1547" s="86"/>
      <c r="Q1547" s="85"/>
      <c r="S1547" s="85"/>
      <c r="T1547" s="85"/>
      <c r="U1547" s="85"/>
      <c r="V1547" s="85"/>
      <c r="W1547" s="85"/>
      <c r="X1547" s="85"/>
    </row>
    <row r="1548" spans="2:24" s="58" customFormat="1" ht="12" x14ac:dyDescent="0.2">
      <c r="B1548" s="91"/>
      <c r="E1548" s="92"/>
      <c r="F1548" s="93"/>
      <c r="G1548" s="94"/>
      <c r="H1548" s="94"/>
      <c r="I1548" s="94"/>
      <c r="J1548" s="94"/>
      <c r="K1548" s="93"/>
      <c r="L1548" s="86"/>
      <c r="M1548" s="86"/>
      <c r="N1548" s="86"/>
      <c r="O1548" s="86"/>
      <c r="P1548" s="86"/>
      <c r="Q1548" s="85"/>
      <c r="S1548" s="85"/>
      <c r="T1548" s="85"/>
      <c r="U1548" s="85"/>
      <c r="V1548" s="85"/>
      <c r="W1548" s="85"/>
      <c r="X1548" s="85"/>
    </row>
    <row r="1549" spans="2:24" s="58" customFormat="1" ht="12" x14ac:dyDescent="0.2">
      <c r="B1549" s="91"/>
      <c r="E1549" s="92"/>
      <c r="F1549" s="93"/>
      <c r="G1549" s="94"/>
      <c r="H1549" s="94"/>
      <c r="I1549" s="94"/>
      <c r="J1549" s="94"/>
      <c r="K1549" s="93"/>
      <c r="L1549" s="86"/>
      <c r="M1549" s="86"/>
      <c r="N1549" s="86"/>
      <c r="O1549" s="86"/>
      <c r="P1549" s="86"/>
      <c r="Q1549" s="85"/>
      <c r="S1549" s="85"/>
      <c r="T1549" s="85"/>
      <c r="U1549" s="85"/>
      <c r="V1549" s="85"/>
      <c r="W1549" s="85"/>
      <c r="X1549" s="85"/>
    </row>
    <row r="1550" spans="2:24" s="58" customFormat="1" ht="12" x14ac:dyDescent="0.2">
      <c r="B1550" s="91"/>
      <c r="E1550" s="92"/>
      <c r="F1550" s="93"/>
      <c r="G1550" s="94"/>
      <c r="H1550" s="94"/>
      <c r="I1550" s="94"/>
      <c r="J1550" s="94"/>
      <c r="K1550" s="93"/>
      <c r="L1550" s="86"/>
      <c r="M1550" s="86"/>
      <c r="N1550" s="86"/>
      <c r="O1550" s="86"/>
      <c r="P1550" s="86"/>
      <c r="Q1550" s="85"/>
      <c r="S1550" s="85"/>
      <c r="T1550" s="85"/>
      <c r="U1550" s="85"/>
      <c r="V1550" s="85"/>
      <c r="W1550" s="85"/>
      <c r="X1550" s="85"/>
    </row>
    <row r="1551" spans="2:24" s="58" customFormat="1" ht="12" x14ac:dyDescent="0.2">
      <c r="B1551" s="91"/>
      <c r="E1551" s="92"/>
      <c r="F1551" s="93"/>
      <c r="G1551" s="94"/>
      <c r="H1551" s="94"/>
      <c r="I1551" s="94"/>
      <c r="J1551" s="94"/>
      <c r="K1551" s="93"/>
      <c r="L1551" s="86"/>
      <c r="M1551" s="86"/>
      <c r="N1551" s="86"/>
      <c r="O1551" s="86"/>
      <c r="P1551" s="86"/>
      <c r="Q1551" s="85"/>
      <c r="S1551" s="85"/>
      <c r="T1551" s="85"/>
      <c r="U1551" s="85"/>
      <c r="V1551" s="85"/>
      <c r="W1551" s="85"/>
      <c r="X1551" s="85"/>
    </row>
    <row r="1552" spans="2:24" s="58" customFormat="1" ht="12" x14ac:dyDescent="0.2">
      <c r="B1552" s="91"/>
      <c r="E1552" s="92"/>
      <c r="F1552" s="93"/>
      <c r="G1552" s="94"/>
      <c r="H1552" s="94"/>
      <c r="I1552" s="94"/>
      <c r="J1552" s="94"/>
      <c r="K1552" s="93"/>
      <c r="L1552" s="86"/>
      <c r="M1552" s="86"/>
      <c r="N1552" s="86"/>
      <c r="O1552" s="86"/>
      <c r="P1552" s="86"/>
      <c r="Q1552" s="85"/>
      <c r="S1552" s="85"/>
      <c r="T1552" s="85"/>
      <c r="U1552" s="85"/>
      <c r="V1552" s="85"/>
      <c r="W1552" s="85"/>
      <c r="X1552" s="85"/>
    </row>
    <row r="1553" spans="2:24" s="58" customFormat="1" ht="12" x14ac:dyDescent="0.2">
      <c r="B1553" s="91"/>
      <c r="E1553" s="92"/>
      <c r="F1553" s="93"/>
      <c r="G1553" s="94"/>
      <c r="H1553" s="94"/>
      <c r="I1553" s="94"/>
      <c r="J1553" s="94"/>
      <c r="K1553" s="93"/>
      <c r="L1553" s="86"/>
      <c r="M1553" s="86"/>
      <c r="N1553" s="86"/>
      <c r="O1553" s="86"/>
      <c r="P1553" s="86"/>
      <c r="Q1553" s="85"/>
      <c r="S1553" s="85"/>
      <c r="T1553" s="85"/>
      <c r="U1553" s="85"/>
      <c r="V1553" s="85"/>
      <c r="W1553" s="85"/>
      <c r="X1553" s="85"/>
    </row>
    <row r="1554" spans="2:24" s="58" customFormat="1" ht="12" x14ac:dyDescent="0.2">
      <c r="B1554" s="91"/>
      <c r="E1554" s="92"/>
      <c r="F1554" s="93"/>
      <c r="G1554" s="94"/>
      <c r="H1554" s="94"/>
      <c r="I1554" s="94"/>
      <c r="J1554" s="94"/>
      <c r="K1554" s="93"/>
      <c r="L1554" s="86"/>
      <c r="M1554" s="86"/>
      <c r="N1554" s="86"/>
      <c r="O1554" s="86"/>
      <c r="P1554" s="86"/>
      <c r="Q1554" s="85"/>
      <c r="S1554" s="85"/>
      <c r="T1554" s="85"/>
      <c r="U1554" s="85"/>
      <c r="V1554" s="85"/>
      <c r="W1554" s="85"/>
      <c r="X1554" s="85"/>
    </row>
    <row r="1555" spans="2:24" s="58" customFormat="1" ht="12" x14ac:dyDescent="0.2">
      <c r="B1555" s="91"/>
      <c r="E1555" s="92"/>
      <c r="F1555" s="93"/>
      <c r="G1555" s="94"/>
      <c r="H1555" s="94"/>
      <c r="I1555" s="94"/>
      <c r="J1555" s="94"/>
      <c r="K1555" s="93"/>
      <c r="L1555" s="86"/>
      <c r="M1555" s="86"/>
      <c r="N1555" s="86"/>
      <c r="O1555" s="86"/>
      <c r="P1555" s="86"/>
      <c r="Q1555" s="85"/>
      <c r="S1555" s="85"/>
      <c r="T1555" s="85"/>
      <c r="U1555" s="85"/>
      <c r="V1555" s="85"/>
      <c r="W1555" s="85"/>
      <c r="X1555" s="85"/>
    </row>
    <row r="1556" spans="2:24" s="58" customFormat="1" ht="12" x14ac:dyDescent="0.2">
      <c r="B1556" s="91"/>
      <c r="E1556" s="92"/>
      <c r="F1556" s="93"/>
      <c r="G1556" s="94"/>
      <c r="H1556" s="94"/>
      <c r="I1556" s="94"/>
      <c r="J1556" s="94"/>
      <c r="K1556" s="93"/>
      <c r="L1556" s="86"/>
      <c r="M1556" s="86"/>
      <c r="N1556" s="86"/>
      <c r="O1556" s="86"/>
      <c r="P1556" s="86"/>
      <c r="Q1556" s="85"/>
      <c r="S1556" s="85"/>
      <c r="T1556" s="85"/>
      <c r="U1556" s="85"/>
      <c r="V1556" s="85"/>
      <c r="W1556" s="85"/>
      <c r="X1556" s="85"/>
    </row>
    <row r="1557" spans="2:24" s="58" customFormat="1" ht="12" x14ac:dyDescent="0.2">
      <c r="B1557" s="91"/>
      <c r="E1557" s="92"/>
      <c r="F1557" s="93"/>
      <c r="G1557" s="94"/>
      <c r="H1557" s="94"/>
      <c r="I1557" s="94"/>
      <c r="J1557" s="94"/>
      <c r="K1557" s="93"/>
      <c r="L1557" s="86"/>
      <c r="M1557" s="86"/>
      <c r="N1557" s="86"/>
      <c r="O1557" s="86"/>
      <c r="P1557" s="86"/>
      <c r="Q1557" s="85"/>
      <c r="S1557" s="85"/>
      <c r="T1557" s="85"/>
      <c r="U1557" s="85"/>
      <c r="V1557" s="85"/>
      <c r="W1557" s="85"/>
      <c r="X1557" s="85"/>
    </row>
    <row r="1558" spans="2:24" s="58" customFormat="1" ht="12" x14ac:dyDescent="0.2">
      <c r="B1558" s="91"/>
      <c r="E1558" s="92"/>
      <c r="F1558" s="93"/>
      <c r="G1558" s="94"/>
      <c r="H1558" s="94"/>
      <c r="I1558" s="94"/>
      <c r="J1558" s="94"/>
      <c r="K1558" s="93"/>
      <c r="L1558" s="86"/>
      <c r="M1558" s="86"/>
      <c r="N1558" s="86"/>
      <c r="O1558" s="86"/>
      <c r="P1558" s="86"/>
      <c r="Q1558" s="85"/>
      <c r="S1558" s="85"/>
      <c r="T1558" s="85"/>
      <c r="U1558" s="85"/>
      <c r="V1558" s="85"/>
      <c r="W1558" s="85"/>
      <c r="X1558" s="85"/>
    </row>
    <row r="1559" spans="2:24" s="58" customFormat="1" ht="12" x14ac:dyDescent="0.2">
      <c r="B1559" s="91"/>
      <c r="E1559" s="92"/>
      <c r="F1559" s="93"/>
      <c r="G1559" s="94"/>
      <c r="H1559" s="94"/>
      <c r="I1559" s="94"/>
      <c r="J1559" s="94"/>
      <c r="K1559" s="93"/>
      <c r="L1559" s="86"/>
      <c r="M1559" s="86"/>
      <c r="N1559" s="86"/>
      <c r="O1559" s="86"/>
      <c r="P1559" s="86"/>
      <c r="Q1559" s="85"/>
      <c r="S1559" s="85"/>
      <c r="T1559" s="85"/>
      <c r="U1559" s="85"/>
      <c r="V1559" s="85"/>
      <c r="W1559" s="85"/>
      <c r="X1559" s="85"/>
    </row>
    <row r="1560" spans="2:24" s="58" customFormat="1" ht="12" x14ac:dyDescent="0.2">
      <c r="B1560" s="91"/>
      <c r="E1560" s="92"/>
      <c r="F1560" s="93"/>
      <c r="G1560" s="94"/>
      <c r="H1560" s="94"/>
      <c r="I1560" s="94"/>
      <c r="J1560" s="94"/>
      <c r="K1560" s="93"/>
      <c r="L1560" s="86"/>
      <c r="M1560" s="86"/>
      <c r="N1560" s="86"/>
      <c r="O1560" s="86"/>
      <c r="P1560" s="86"/>
      <c r="Q1560" s="85"/>
      <c r="S1560" s="85"/>
      <c r="T1560" s="85"/>
      <c r="U1560" s="85"/>
      <c r="V1560" s="85"/>
      <c r="W1560" s="85"/>
      <c r="X1560" s="85"/>
    </row>
    <row r="1561" spans="2:24" s="58" customFormat="1" ht="12" x14ac:dyDescent="0.2">
      <c r="B1561" s="91"/>
      <c r="E1561" s="92"/>
      <c r="F1561" s="93"/>
      <c r="G1561" s="94"/>
      <c r="H1561" s="94"/>
      <c r="I1561" s="94"/>
      <c r="J1561" s="94"/>
      <c r="K1561" s="93"/>
      <c r="L1561" s="86"/>
      <c r="M1561" s="86"/>
      <c r="N1561" s="86"/>
      <c r="O1561" s="86"/>
      <c r="P1561" s="86"/>
      <c r="Q1561" s="85"/>
      <c r="S1561" s="85"/>
      <c r="T1561" s="85"/>
      <c r="U1561" s="85"/>
      <c r="V1561" s="85"/>
      <c r="W1561" s="85"/>
      <c r="X1561" s="85"/>
    </row>
    <row r="1562" spans="2:24" s="58" customFormat="1" ht="12" x14ac:dyDescent="0.2">
      <c r="B1562" s="91"/>
      <c r="E1562" s="92"/>
      <c r="F1562" s="93"/>
      <c r="G1562" s="94"/>
      <c r="H1562" s="94"/>
      <c r="I1562" s="94"/>
      <c r="J1562" s="94"/>
      <c r="K1562" s="93"/>
      <c r="L1562" s="86"/>
      <c r="M1562" s="86"/>
      <c r="N1562" s="86"/>
      <c r="O1562" s="86"/>
      <c r="P1562" s="86"/>
      <c r="Q1562" s="85"/>
      <c r="S1562" s="85"/>
      <c r="T1562" s="85"/>
      <c r="U1562" s="85"/>
      <c r="V1562" s="85"/>
      <c r="W1562" s="85"/>
      <c r="X1562" s="85"/>
    </row>
    <row r="1563" spans="2:24" s="58" customFormat="1" ht="12" x14ac:dyDescent="0.2">
      <c r="B1563" s="91"/>
      <c r="E1563" s="92"/>
      <c r="F1563" s="93"/>
      <c r="G1563" s="94"/>
      <c r="H1563" s="94"/>
      <c r="I1563" s="94"/>
      <c r="J1563" s="94"/>
      <c r="K1563" s="93"/>
      <c r="L1563" s="86"/>
      <c r="M1563" s="86"/>
      <c r="N1563" s="86"/>
      <c r="O1563" s="86"/>
      <c r="P1563" s="86"/>
      <c r="Q1563" s="85"/>
      <c r="S1563" s="85"/>
      <c r="T1563" s="85"/>
      <c r="U1563" s="85"/>
      <c r="V1563" s="85"/>
      <c r="W1563" s="85"/>
      <c r="X1563" s="85"/>
    </row>
    <row r="1564" spans="2:24" s="58" customFormat="1" ht="12" x14ac:dyDescent="0.2">
      <c r="B1564" s="91"/>
      <c r="E1564" s="92"/>
      <c r="F1564" s="93"/>
      <c r="G1564" s="94"/>
      <c r="H1564" s="94"/>
      <c r="I1564" s="94"/>
      <c r="J1564" s="94"/>
      <c r="K1564" s="93"/>
      <c r="L1564" s="86"/>
      <c r="M1564" s="86"/>
      <c r="N1564" s="86"/>
      <c r="O1564" s="86"/>
      <c r="P1564" s="86"/>
      <c r="Q1564" s="85"/>
      <c r="S1564" s="85"/>
      <c r="T1564" s="85"/>
      <c r="U1564" s="85"/>
      <c r="V1564" s="85"/>
      <c r="W1564" s="85"/>
      <c r="X1564" s="85"/>
    </row>
    <row r="1565" spans="2:24" s="58" customFormat="1" ht="12" x14ac:dyDescent="0.2">
      <c r="B1565" s="91"/>
      <c r="E1565" s="92"/>
      <c r="F1565" s="93"/>
      <c r="G1565" s="94"/>
      <c r="H1565" s="94"/>
      <c r="I1565" s="94"/>
      <c r="J1565" s="94"/>
      <c r="K1565" s="93"/>
      <c r="L1565" s="86"/>
      <c r="M1565" s="86"/>
      <c r="N1565" s="86"/>
      <c r="O1565" s="86"/>
      <c r="P1565" s="86"/>
      <c r="Q1565" s="85"/>
      <c r="S1565" s="85"/>
      <c r="T1565" s="85"/>
      <c r="U1565" s="85"/>
      <c r="V1565" s="85"/>
      <c r="W1565" s="85"/>
      <c r="X1565" s="85"/>
    </row>
    <row r="1566" spans="2:24" s="58" customFormat="1" ht="12" x14ac:dyDescent="0.2">
      <c r="B1566" s="91"/>
      <c r="E1566" s="92"/>
      <c r="F1566" s="93"/>
      <c r="G1566" s="94"/>
      <c r="H1566" s="94"/>
      <c r="I1566" s="94"/>
      <c r="J1566" s="94"/>
      <c r="K1566" s="93"/>
      <c r="L1566" s="86"/>
      <c r="M1566" s="86"/>
      <c r="N1566" s="86"/>
      <c r="O1566" s="86"/>
      <c r="P1566" s="86"/>
      <c r="Q1566" s="85"/>
      <c r="S1566" s="85"/>
      <c r="T1566" s="85"/>
      <c r="U1566" s="85"/>
      <c r="V1566" s="85"/>
      <c r="W1566" s="85"/>
      <c r="X1566" s="85"/>
    </row>
    <row r="1567" spans="2:24" s="58" customFormat="1" ht="12" x14ac:dyDescent="0.2">
      <c r="B1567" s="91"/>
      <c r="E1567" s="92"/>
      <c r="F1567" s="93"/>
      <c r="G1567" s="94"/>
      <c r="H1567" s="94"/>
      <c r="I1567" s="94"/>
      <c r="J1567" s="94"/>
      <c r="K1567" s="93"/>
      <c r="L1567" s="86"/>
      <c r="M1567" s="86"/>
      <c r="N1567" s="86"/>
      <c r="O1567" s="86"/>
      <c r="P1567" s="86"/>
      <c r="Q1567" s="85"/>
      <c r="S1567" s="85"/>
      <c r="T1567" s="85"/>
      <c r="U1567" s="85"/>
      <c r="V1567" s="85"/>
      <c r="W1567" s="85"/>
      <c r="X1567" s="85"/>
    </row>
    <row r="1568" spans="2:24" s="58" customFormat="1" ht="12" x14ac:dyDescent="0.2">
      <c r="B1568" s="91"/>
      <c r="E1568" s="92"/>
      <c r="F1568" s="93"/>
      <c r="G1568" s="94"/>
      <c r="H1568" s="94"/>
      <c r="I1568" s="94"/>
      <c r="J1568" s="94"/>
      <c r="K1568" s="93"/>
      <c r="L1568" s="86"/>
      <c r="M1568" s="86"/>
      <c r="N1568" s="86"/>
      <c r="O1568" s="86"/>
      <c r="P1568" s="86"/>
      <c r="Q1568" s="85"/>
      <c r="S1568" s="85"/>
      <c r="T1568" s="85"/>
      <c r="U1568" s="85"/>
      <c r="V1568" s="85"/>
      <c r="W1568" s="85"/>
      <c r="X1568" s="85"/>
    </row>
    <row r="1569" spans="2:24" s="58" customFormat="1" ht="12" x14ac:dyDescent="0.2">
      <c r="B1569" s="91"/>
      <c r="E1569" s="92"/>
      <c r="F1569" s="93"/>
      <c r="G1569" s="94"/>
      <c r="H1569" s="94"/>
      <c r="I1569" s="94"/>
      <c r="J1569" s="94"/>
      <c r="K1569" s="93"/>
      <c r="L1569" s="86"/>
      <c r="M1569" s="86"/>
      <c r="N1569" s="86"/>
      <c r="O1569" s="86"/>
      <c r="P1569" s="86"/>
      <c r="Q1569" s="85"/>
      <c r="S1569" s="85"/>
      <c r="T1569" s="85"/>
      <c r="U1569" s="85"/>
      <c r="V1569" s="85"/>
      <c r="W1569" s="85"/>
      <c r="X1569" s="85"/>
    </row>
    <row r="1570" spans="2:24" s="58" customFormat="1" ht="12" x14ac:dyDescent="0.2">
      <c r="B1570" s="91"/>
      <c r="E1570" s="92"/>
      <c r="F1570" s="93"/>
      <c r="G1570" s="94"/>
      <c r="H1570" s="94"/>
      <c r="I1570" s="94"/>
      <c r="J1570" s="94"/>
      <c r="K1570" s="93"/>
      <c r="L1570" s="86"/>
      <c r="M1570" s="86"/>
      <c r="N1570" s="86"/>
      <c r="O1570" s="86"/>
      <c r="P1570" s="86"/>
      <c r="Q1570" s="85"/>
      <c r="S1570" s="85"/>
      <c r="T1570" s="85"/>
      <c r="U1570" s="85"/>
      <c r="V1570" s="85"/>
      <c r="W1570" s="85"/>
      <c r="X1570" s="85"/>
    </row>
    <row r="1571" spans="2:24" s="58" customFormat="1" ht="12" x14ac:dyDescent="0.2">
      <c r="B1571" s="91"/>
      <c r="E1571" s="92"/>
      <c r="F1571" s="93"/>
      <c r="G1571" s="94"/>
      <c r="H1571" s="94"/>
      <c r="I1571" s="94"/>
      <c r="J1571" s="94"/>
      <c r="K1571" s="93"/>
      <c r="L1571" s="86"/>
      <c r="M1571" s="86"/>
      <c r="N1571" s="86"/>
      <c r="O1571" s="86"/>
      <c r="P1571" s="86"/>
      <c r="Q1571" s="85"/>
      <c r="S1571" s="85"/>
      <c r="T1571" s="85"/>
      <c r="U1571" s="85"/>
      <c r="V1571" s="85"/>
      <c r="W1571" s="85"/>
      <c r="X1571" s="85"/>
    </row>
    <row r="1572" spans="2:24" s="58" customFormat="1" ht="12" x14ac:dyDescent="0.2">
      <c r="B1572" s="91"/>
      <c r="E1572" s="92"/>
      <c r="F1572" s="93"/>
      <c r="G1572" s="94"/>
      <c r="H1572" s="94"/>
      <c r="I1572" s="94"/>
      <c r="J1572" s="94"/>
      <c r="K1572" s="93"/>
      <c r="L1572" s="86"/>
      <c r="M1572" s="86"/>
      <c r="N1572" s="86"/>
      <c r="O1572" s="86"/>
      <c r="P1572" s="86"/>
      <c r="Q1572" s="85"/>
      <c r="S1572" s="85"/>
      <c r="T1572" s="85"/>
      <c r="U1572" s="85"/>
      <c r="V1572" s="85"/>
      <c r="W1572" s="85"/>
      <c r="X1572" s="85"/>
    </row>
    <row r="1573" spans="2:24" s="58" customFormat="1" ht="12" x14ac:dyDescent="0.2">
      <c r="B1573" s="91"/>
      <c r="E1573" s="92"/>
      <c r="F1573" s="93"/>
      <c r="G1573" s="94"/>
      <c r="H1573" s="94"/>
      <c r="I1573" s="94"/>
      <c r="J1573" s="94"/>
      <c r="K1573" s="93"/>
      <c r="L1573" s="86"/>
      <c r="M1573" s="86"/>
      <c r="N1573" s="86"/>
      <c r="O1573" s="86"/>
      <c r="P1573" s="86"/>
      <c r="Q1573" s="85"/>
      <c r="S1573" s="85"/>
      <c r="T1573" s="85"/>
      <c r="U1573" s="85"/>
      <c r="V1573" s="85"/>
      <c r="W1573" s="85"/>
      <c r="X1573" s="85"/>
    </row>
    <row r="1574" spans="2:24" s="58" customFormat="1" ht="12" x14ac:dyDescent="0.2">
      <c r="B1574" s="91"/>
      <c r="E1574" s="92"/>
      <c r="F1574" s="93"/>
      <c r="G1574" s="94"/>
      <c r="H1574" s="94"/>
      <c r="I1574" s="94"/>
      <c r="J1574" s="94"/>
      <c r="K1574" s="93"/>
      <c r="L1574" s="86"/>
      <c r="M1574" s="86"/>
      <c r="N1574" s="86"/>
      <c r="O1574" s="86"/>
      <c r="P1574" s="86"/>
      <c r="Q1574" s="85"/>
      <c r="S1574" s="85"/>
      <c r="T1574" s="85"/>
      <c r="U1574" s="85"/>
      <c r="V1574" s="85"/>
      <c r="W1574" s="85"/>
      <c r="X1574" s="85"/>
    </row>
    <row r="1575" spans="2:24" s="58" customFormat="1" ht="12" x14ac:dyDescent="0.2">
      <c r="B1575" s="91"/>
      <c r="E1575" s="92"/>
      <c r="F1575" s="93"/>
      <c r="G1575" s="94"/>
      <c r="H1575" s="94"/>
      <c r="I1575" s="94"/>
      <c r="J1575" s="94"/>
      <c r="K1575" s="93"/>
      <c r="L1575" s="86"/>
      <c r="M1575" s="86"/>
      <c r="N1575" s="86"/>
      <c r="O1575" s="86"/>
      <c r="P1575" s="86"/>
      <c r="Q1575" s="85"/>
      <c r="S1575" s="85"/>
      <c r="T1575" s="85"/>
      <c r="U1575" s="85"/>
      <c r="V1575" s="85"/>
      <c r="W1575" s="85"/>
      <c r="X1575" s="85"/>
    </row>
    <row r="1576" spans="2:24" s="58" customFormat="1" ht="12" x14ac:dyDescent="0.2">
      <c r="B1576" s="91"/>
      <c r="E1576" s="92"/>
      <c r="F1576" s="93"/>
      <c r="G1576" s="94"/>
      <c r="H1576" s="94"/>
      <c r="I1576" s="94"/>
      <c r="J1576" s="94"/>
      <c r="K1576" s="93"/>
      <c r="L1576" s="86"/>
      <c r="M1576" s="86"/>
      <c r="N1576" s="86"/>
      <c r="O1576" s="86"/>
      <c r="P1576" s="86"/>
      <c r="Q1576" s="85"/>
      <c r="S1576" s="85"/>
      <c r="T1576" s="85"/>
      <c r="U1576" s="85"/>
      <c r="V1576" s="85"/>
      <c r="W1576" s="85"/>
      <c r="X1576" s="85"/>
    </row>
    <row r="1577" spans="2:24" s="58" customFormat="1" ht="12" x14ac:dyDescent="0.2">
      <c r="B1577" s="91"/>
      <c r="E1577" s="92"/>
      <c r="F1577" s="93"/>
      <c r="G1577" s="94"/>
      <c r="H1577" s="94"/>
      <c r="I1577" s="94"/>
      <c r="J1577" s="94"/>
      <c r="K1577" s="93"/>
      <c r="L1577" s="86"/>
      <c r="M1577" s="86"/>
      <c r="N1577" s="86"/>
      <c r="O1577" s="86"/>
      <c r="P1577" s="86"/>
      <c r="Q1577" s="85"/>
      <c r="S1577" s="85"/>
      <c r="T1577" s="85"/>
      <c r="U1577" s="85"/>
      <c r="V1577" s="85"/>
      <c r="W1577" s="85"/>
      <c r="X1577" s="85"/>
    </row>
    <row r="1578" spans="2:24" s="58" customFormat="1" ht="12" x14ac:dyDescent="0.2">
      <c r="B1578" s="91"/>
      <c r="E1578" s="92"/>
      <c r="F1578" s="93"/>
      <c r="G1578" s="94"/>
      <c r="H1578" s="94"/>
      <c r="I1578" s="94"/>
      <c r="J1578" s="94"/>
      <c r="K1578" s="93"/>
      <c r="L1578" s="86"/>
      <c r="M1578" s="86"/>
      <c r="N1578" s="86"/>
      <c r="O1578" s="86"/>
      <c r="P1578" s="86"/>
      <c r="Q1578" s="85"/>
      <c r="S1578" s="85"/>
      <c r="T1578" s="85"/>
      <c r="U1578" s="85"/>
      <c r="V1578" s="85"/>
      <c r="W1578" s="85"/>
      <c r="X1578" s="85"/>
    </row>
    <row r="1579" spans="2:24" s="58" customFormat="1" ht="12" x14ac:dyDescent="0.2">
      <c r="B1579" s="91"/>
      <c r="E1579" s="92"/>
      <c r="F1579" s="93"/>
      <c r="G1579" s="94"/>
      <c r="H1579" s="94"/>
      <c r="I1579" s="94"/>
      <c r="J1579" s="94"/>
      <c r="K1579" s="93"/>
      <c r="L1579" s="86"/>
      <c r="M1579" s="86"/>
      <c r="N1579" s="86"/>
      <c r="O1579" s="86"/>
      <c r="P1579" s="86"/>
      <c r="Q1579" s="85"/>
      <c r="S1579" s="85"/>
      <c r="T1579" s="85"/>
      <c r="U1579" s="85"/>
      <c r="V1579" s="85"/>
      <c r="W1579" s="85"/>
      <c r="X1579" s="85"/>
    </row>
    <row r="1580" spans="2:24" s="58" customFormat="1" ht="12" x14ac:dyDescent="0.2">
      <c r="B1580" s="91"/>
      <c r="E1580" s="92"/>
      <c r="F1580" s="93"/>
      <c r="G1580" s="94"/>
      <c r="H1580" s="94"/>
      <c r="I1580" s="94"/>
      <c r="J1580" s="94"/>
      <c r="K1580" s="93"/>
      <c r="L1580" s="86"/>
      <c r="M1580" s="86"/>
      <c r="N1580" s="86"/>
      <c r="O1580" s="86"/>
      <c r="P1580" s="86"/>
      <c r="Q1580" s="85"/>
      <c r="S1580" s="85"/>
      <c r="T1580" s="85"/>
      <c r="U1580" s="85"/>
      <c r="V1580" s="85"/>
      <c r="W1580" s="85"/>
      <c r="X1580" s="85"/>
    </row>
    <row r="1581" spans="2:24" s="58" customFormat="1" ht="12" x14ac:dyDescent="0.2">
      <c r="B1581" s="91"/>
      <c r="E1581" s="92"/>
      <c r="F1581" s="93"/>
      <c r="G1581" s="94"/>
      <c r="H1581" s="94"/>
      <c r="I1581" s="94"/>
      <c r="J1581" s="94"/>
      <c r="K1581" s="93"/>
      <c r="L1581" s="86"/>
      <c r="M1581" s="86"/>
      <c r="N1581" s="86"/>
      <c r="O1581" s="86"/>
      <c r="P1581" s="86"/>
      <c r="Q1581" s="85"/>
      <c r="S1581" s="85"/>
      <c r="T1581" s="85"/>
      <c r="U1581" s="85"/>
      <c r="V1581" s="85"/>
      <c r="W1581" s="85"/>
      <c r="X1581" s="85"/>
    </row>
    <row r="1582" spans="2:24" s="58" customFormat="1" ht="12" x14ac:dyDescent="0.2">
      <c r="B1582" s="91"/>
      <c r="E1582" s="92"/>
      <c r="F1582" s="93"/>
      <c r="G1582" s="94"/>
      <c r="H1582" s="94"/>
      <c r="I1582" s="94"/>
      <c r="J1582" s="94"/>
      <c r="K1582" s="93"/>
      <c r="L1582" s="86"/>
      <c r="M1582" s="86"/>
      <c r="N1582" s="86"/>
      <c r="O1582" s="86"/>
      <c r="P1582" s="86"/>
      <c r="Q1582" s="85"/>
      <c r="S1582" s="85"/>
      <c r="T1582" s="85"/>
      <c r="U1582" s="85"/>
      <c r="V1582" s="85"/>
      <c r="W1582" s="85"/>
      <c r="X1582" s="85"/>
    </row>
    <row r="1583" spans="2:24" s="58" customFormat="1" ht="12" x14ac:dyDescent="0.2">
      <c r="B1583" s="91"/>
      <c r="E1583" s="92"/>
      <c r="F1583" s="93"/>
      <c r="G1583" s="94"/>
      <c r="H1583" s="94"/>
      <c r="I1583" s="94"/>
      <c r="J1583" s="94"/>
      <c r="K1583" s="93"/>
      <c r="L1583" s="86"/>
      <c r="M1583" s="86"/>
      <c r="N1583" s="86"/>
      <c r="O1583" s="86"/>
      <c r="P1583" s="86"/>
      <c r="Q1583" s="85"/>
      <c r="S1583" s="85"/>
      <c r="T1583" s="85"/>
      <c r="U1583" s="85"/>
      <c r="V1583" s="85"/>
      <c r="W1583" s="85"/>
      <c r="X1583" s="85"/>
    </row>
    <row r="1584" spans="2:24" s="58" customFormat="1" ht="12" x14ac:dyDescent="0.2">
      <c r="B1584" s="91"/>
      <c r="E1584" s="92"/>
      <c r="F1584" s="93"/>
      <c r="G1584" s="94"/>
      <c r="H1584" s="94"/>
      <c r="I1584" s="94"/>
      <c r="J1584" s="94"/>
      <c r="K1584" s="93"/>
      <c r="L1584" s="86"/>
      <c r="M1584" s="86"/>
      <c r="N1584" s="86"/>
      <c r="O1584" s="86"/>
      <c r="P1584" s="86"/>
      <c r="Q1584" s="85"/>
      <c r="S1584" s="85"/>
      <c r="T1584" s="85"/>
      <c r="U1584" s="85"/>
      <c r="V1584" s="85"/>
      <c r="W1584" s="85"/>
      <c r="X1584" s="85"/>
    </row>
    <row r="1585" spans="2:24" s="58" customFormat="1" ht="12" x14ac:dyDescent="0.2">
      <c r="B1585" s="91"/>
      <c r="E1585" s="92"/>
      <c r="F1585" s="93"/>
      <c r="G1585" s="94"/>
      <c r="H1585" s="94"/>
      <c r="I1585" s="94"/>
      <c r="J1585" s="94"/>
      <c r="K1585" s="93"/>
      <c r="L1585" s="86"/>
      <c r="M1585" s="86"/>
      <c r="N1585" s="86"/>
      <c r="O1585" s="86"/>
      <c r="P1585" s="86"/>
      <c r="Q1585" s="85"/>
      <c r="S1585" s="85"/>
      <c r="T1585" s="85"/>
      <c r="U1585" s="85"/>
      <c r="V1585" s="85"/>
      <c r="W1585" s="85"/>
      <c r="X1585" s="85"/>
    </row>
    <row r="1586" spans="2:24" s="58" customFormat="1" ht="12" x14ac:dyDescent="0.2">
      <c r="B1586" s="91"/>
      <c r="E1586" s="92"/>
      <c r="F1586" s="93"/>
      <c r="G1586" s="94"/>
      <c r="H1586" s="94"/>
      <c r="I1586" s="94"/>
      <c r="J1586" s="94"/>
      <c r="K1586" s="93"/>
      <c r="L1586" s="86"/>
      <c r="M1586" s="86"/>
      <c r="N1586" s="86"/>
      <c r="O1586" s="86"/>
      <c r="P1586" s="86"/>
      <c r="Q1586" s="85"/>
      <c r="S1586" s="85"/>
      <c r="T1586" s="85"/>
      <c r="U1586" s="85"/>
      <c r="V1586" s="85"/>
      <c r="W1586" s="85"/>
      <c r="X1586" s="85"/>
    </row>
    <row r="1587" spans="2:24" s="58" customFormat="1" ht="12" x14ac:dyDescent="0.2">
      <c r="B1587" s="91"/>
      <c r="E1587" s="92"/>
      <c r="F1587" s="93"/>
      <c r="G1587" s="94"/>
      <c r="H1587" s="94"/>
      <c r="I1587" s="94"/>
      <c r="J1587" s="94"/>
      <c r="K1587" s="93"/>
      <c r="L1587" s="86"/>
      <c r="M1587" s="86"/>
      <c r="N1587" s="86"/>
      <c r="O1587" s="86"/>
      <c r="P1587" s="86"/>
      <c r="Q1587" s="85"/>
      <c r="S1587" s="85"/>
      <c r="T1587" s="85"/>
      <c r="U1587" s="85"/>
      <c r="V1587" s="85"/>
      <c r="W1587" s="85"/>
      <c r="X1587" s="85"/>
    </row>
    <row r="1588" spans="2:24" s="58" customFormat="1" ht="12" x14ac:dyDescent="0.2">
      <c r="B1588" s="91"/>
      <c r="E1588" s="92"/>
      <c r="F1588" s="93"/>
      <c r="G1588" s="94"/>
      <c r="H1588" s="94"/>
      <c r="I1588" s="94"/>
      <c r="J1588" s="94"/>
      <c r="K1588" s="93"/>
      <c r="L1588" s="86"/>
      <c r="M1588" s="86"/>
      <c r="N1588" s="86"/>
      <c r="O1588" s="86"/>
      <c r="P1588" s="86"/>
      <c r="Q1588" s="85"/>
      <c r="S1588" s="85"/>
      <c r="T1588" s="85"/>
      <c r="U1588" s="85"/>
      <c r="V1588" s="85"/>
      <c r="W1588" s="85"/>
      <c r="X1588" s="85"/>
    </row>
    <row r="1589" spans="2:24" s="58" customFormat="1" ht="12" x14ac:dyDescent="0.2">
      <c r="B1589" s="91"/>
      <c r="E1589" s="92"/>
      <c r="F1589" s="93"/>
      <c r="G1589" s="94"/>
      <c r="H1589" s="94"/>
      <c r="I1589" s="94"/>
      <c r="J1589" s="94"/>
      <c r="K1589" s="93"/>
      <c r="L1589" s="86"/>
      <c r="M1589" s="86"/>
      <c r="N1589" s="86"/>
      <c r="O1589" s="86"/>
      <c r="P1589" s="86"/>
      <c r="Q1589" s="85"/>
      <c r="S1589" s="85"/>
      <c r="T1589" s="85"/>
      <c r="U1589" s="85"/>
      <c r="V1589" s="85"/>
      <c r="W1589" s="85"/>
      <c r="X1589" s="85"/>
    </row>
    <row r="1590" spans="2:24" s="58" customFormat="1" ht="12" x14ac:dyDescent="0.2">
      <c r="B1590" s="91"/>
      <c r="E1590" s="92"/>
      <c r="F1590" s="93"/>
      <c r="G1590" s="94"/>
      <c r="H1590" s="94"/>
      <c r="I1590" s="94"/>
      <c r="J1590" s="94"/>
      <c r="K1590" s="93"/>
      <c r="L1590" s="86"/>
      <c r="M1590" s="86"/>
      <c r="N1590" s="86"/>
      <c r="O1590" s="86"/>
      <c r="P1590" s="86"/>
      <c r="Q1590" s="85"/>
      <c r="S1590" s="85"/>
      <c r="T1590" s="85"/>
      <c r="U1590" s="85"/>
      <c r="V1590" s="85"/>
      <c r="W1590" s="85"/>
      <c r="X1590" s="85"/>
    </row>
    <row r="1591" spans="2:24" s="58" customFormat="1" ht="12" x14ac:dyDescent="0.2">
      <c r="B1591" s="91"/>
      <c r="E1591" s="92"/>
      <c r="F1591" s="93"/>
      <c r="G1591" s="94"/>
      <c r="H1591" s="94"/>
      <c r="I1591" s="94"/>
      <c r="J1591" s="94"/>
      <c r="K1591" s="93"/>
      <c r="L1591" s="86"/>
      <c r="M1591" s="86"/>
      <c r="N1591" s="86"/>
      <c r="O1591" s="86"/>
      <c r="P1591" s="86"/>
      <c r="Q1591" s="85"/>
      <c r="S1591" s="85"/>
      <c r="T1591" s="85"/>
      <c r="U1591" s="85"/>
      <c r="V1591" s="85"/>
      <c r="W1591" s="85"/>
      <c r="X1591" s="85"/>
    </row>
    <row r="1592" spans="2:24" s="58" customFormat="1" ht="12" x14ac:dyDescent="0.2">
      <c r="B1592" s="91"/>
      <c r="E1592" s="92"/>
      <c r="F1592" s="93"/>
      <c r="G1592" s="94"/>
      <c r="H1592" s="94"/>
      <c r="I1592" s="94"/>
      <c r="J1592" s="94"/>
      <c r="K1592" s="93"/>
      <c r="L1592" s="86"/>
      <c r="M1592" s="86"/>
      <c r="N1592" s="86"/>
      <c r="O1592" s="86"/>
      <c r="P1592" s="86"/>
      <c r="Q1592" s="85"/>
      <c r="S1592" s="85"/>
      <c r="T1592" s="85"/>
      <c r="U1592" s="85"/>
      <c r="V1592" s="85"/>
      <c r="W1592" s="85"/>
      <c r="X1592" s="85"/>
    </row>
    <row r="1593" spans="2:24" s="58" customFormat="1" ht="12" x14ac:dyDescent="0.2">
      <c r="B1593" s="91"/>
      <c r="E1593" s="92"/>
      <c r="F1593" s="93"/>
      <c r="G1593" s="94"/>
      <c r="H1593" s="94"/>
      <c r="I1593" s="94"/>
      <c r="J1593" s="94"/>
      <c r="K1593" s="93"/>
      <c r="L1593" s="86"/>
      <c r="M1593" s="86"/>
      <c r="N1593" s="86"/>
      <c r="O1593" s="86"/>
      <c r="P1593" s="86"/>
      <c r="Q1593" s="85"/>
      <c r="S1593" s="85"/>
      <c r="T1593" s="85"/>
      <c r="U1593" s="85"/>
      <c r="V1593" s="85"/>
      <c r="W1593" s="85"/>
      <c r="X1593" s="85"/>
    </row>
    <row r="1594" spans="2:24" s="58" customFormat="1" ht="12" x14ac:dyDescent="0.2">
      <c r="B1594" s="91"/>
      <c r="E1594" s="92"/>
      <c r="F1594" s="93"/>
      <c r="G1594" s="94"/>
      <c r="H1594" s="94"/>
      <c r="I1594" s="94"/>
      <c r="J1594" s="94"/>
      <c r="K1594" s="93"/>
      <c r="L1594" s="86"/>
      <c r="M1594" s="86"/>
      <c r="N1594" s="86"/>
      <c r="O1594" s="86"/>
      <c r="P1594" s="86"/>
      <c r="Q1594" s="85"/>
      <c r="S1594" s="85"/>
      <c r="T1594" s="85"/>
      <c r="U1594" s="85"/>
      <c r="V1594" s="85"/>
      <c r="W1594" s="85"/>
      <c r="X1594" s="85"/>
    </row>
    <row r="1595" spans="2:24" s="58" customFormat="1" ht="12" x14ac:dyDescent="0.2">
      <c r="B1595" s="91"/>
      <c r="E1595" s="92"/>
      <c r="F1595" s="93"/>
      <c r="G1595" s="94"/>
      <c r="H1595" s="94"/>
      <c r="I1595" s="94"/>
      <c r="J1595" s="94"/>
      <c r="K1595" s="93"/>
      <c r="L1595" s="86"/>
      <c r="M1595" s="86"/>
      <c r="N1595" s="86"/>
      <c r="O1595" s="86"/>
      <c r="P1595" s="86"/>
      <c r="Q1595" s="85"/>
      <c r="S1595" s="85"/>
      <c r="T1595" s="85"/>
      <c r="U1595" s="85"/>
      <c r="V1595" s="85"/>
      <c r="W1595" s="85"/>
      <c r="X1595" s="85"/>
    </row>
    <row r="1596" spans="2:24" s="58" customFormat="1" ht="12" x14ac:dyDescent="0.2">
      <c r="B1596" s="91"/>
      <c r="E1596" s="92"/>
      <c r="F1596" s="93"/>
      <c r="G1596" s="94"/>
      <c r="H1596" s="94"/>
      <c r="I1596" s="94"/>
      <c r="J1596" s="94"/>
      <c r="K1596" s="93"/>
      <c r="L1596" s="86"/>
      <c r="M1596" s="86"/>
      <c r="N1596" s="86"/>
      <c r="O1596" s="86"/>
      <c r="P1596" s="86"/>
      <c r="Q1596" s="85"/>
      <c r="S1596" s="85"/>
      <c r="T1596" s="85"/>
      <c r="U1596" s="85"/>
      <c r="V1596" s="85"/>
      <c r="W1596" s="85"/>
      <c r="X1596" s="85"/>
    </row>
    <row r="1597" spans="2:24" s="58" customFormat="1" ht="12" x14ac:dyDescent="0.2">
      <c r="B1597" s="91"/>
      <c r="E1597" s="92"/>
      <c r="F1597" s="93"/>
      <c r="G1597" s="94"/>
      <c r="H1597" s="94"/>
      <c r="I1597" s="94"/>
      <c r="J1597" s="94"/>
      <c r="K1597" s="93"/>
      <c r="L1597" s="86"/>
      <c r="M1597" s="86"/>
      <c r="N1597" s="86"/>
      <c r="O1597" s="86"/>
      <c r="P1597" s="86"/>
      <c r="Q1597" s="85"/>
      <c r="S1597" s="85"/>
      <c r="T1597" s="85"/>
      <c r="U1597" s="85"/>
      <c r="V1597" s="85"/>
      <c r="W1597" s="85"/>
      <c r="X1597" s="85"/>
    </row>
    <row r="1598" spans="2:24" s="58" customFormat="1" ht="12" x14ac:dyDescent="0.2">
      <c r="B1598" s="91"/>
      <c r="E1598" s="92"/>
      <c r="F1598" s="93"/>
      <c r="G1598" s="94"/>
      <c r="H1598" s="94"/>
      <c r="I1598" s="94"/>
      <c r="J1598" s="94"/>
      <c r="K1598" s="93"/>
      <c r="L1598" s="86"/>
      <c r="M1598" s="86"/>
      <c r="N1598" s="86"/>
      <c r="O1598" s="86"/>
      <c r="P1598" s="86"/>
      <c r="Q1598" s="85"/>
      <c r="S1598" s="85"/>
      <c r="T1598" s="85"/>
      <c r="U1598" s="85"/>
      <c r="V1598" s="85"/>
      <c r="W1598" s="85"/>
      <c r="X1598" s="85"/>
    </row>
    <row r="1599" spans="2:24" s="58" customFormat="1" ht="12" x14ac:dyDescent="0.2">
      <c r="B1599" s="91"/>
      <c r="E1599" s="92"/>
      <c r="F1599" s="93"/>
      <c r="G1599" s="94"/>
      <c r="H1599" s="94"/>
      <c r="I1599" s="94"/>
      <c r="J1599" s="94"/>
      <c r="K1599" s="93"/>
      <c r="L1599" s="86"/>
      <c r="M1599" s="86"/>
      <c r="N1599" s="86"/>
      <c r="O1599" s="86"/>
      <c r="P1599" s="86"/>
      <c r="Q1599" s="85"/>
      <c r="S1599" s="85"/>
      <c r="T1599" s="85"/>
      <c r="U1599" s="85"/>
      <c r="V1599" s="85"/>
      <c r="W1599" s="85"/>
      <c r="X1599" s="85"/>
    </row>
    <row r="1600" spans="2:24" s="58" customFormat="1" ht="12" x14ac:dyDescent="0.2">
      <c r="B1600" s="91"/>
      <c r="E1600" s="92"/>
      <c r="F1600" s="93"/>
      <c r="G1600" s="94"/>
      <c r="H1600" s="94"/>
      <c r="I1600" s="94"/>
      <c r="J1600" s="94"/>
      <c r="K1600" s="93"/>
      <c r="L1600" s="86"/>
      <c r="M1600" s="86"/>
      <c r="N1600" s="86"/>
      <c r="O1600" s="86"/>
      <c r="P1600" s="86"/>
      <c r="Q1600" s="85"/>
      <c r="S1600" s="85"/>
      <c r="T1600" s="85"/>
      <c r="U1600" s="85"/>
      <c r="V1600" s="85"/>
      <c r="W1600" s="85"/>
      <c r="X1600" s="85"/>
    </row>
    <row r="1601" spans="2:24" s="58" customFormat="1" ht="12" x14ac:dyDescent="0.2">
      <c r="B1601" s="91"/>
      <c r="E1601" s="92"/>
      <c r="F1601" s="93"/>
      <c r="G1601" s="94"/>
      <c r="H1601" s="94"/>
      <c r="I1601" s="94"/>
      <c r="J1601" s="94"/>
      <c r="K1601" s="93"/>
      <c r="L1601" s="86"/>
      <c r="M1601" s="86"/>
      <c r="N1601" s="86"/>
      <c r="O1601" s="86"/>
      <c r="P1601" s="86"/>
      <c r="Q1601" s="85"/>
      <c r="S1601" s="85"/>
      <c r="T1601" s="85"/>
      <c r="U1601" s="85"/>
      <c r="V1601" s="85"/>
      <c r="W1601" s="85"/>
      <c r="X1601" s="85"/>
    </row>
    <row r="1602" spans="2:24" s="58" customFormat="1" ht="12" x14ac:dyDescent="0.2">
      <c r="B1602" s="91"/>
      <c r="E1602" s="92"/>
      <c r="F1602" s="93"/>
      <c r="G1602" s="94"/>
      <c r="H1602" s="94"/>
      <c r="I1602" s="94"/>
      <c r="J1602" s="94"/>
      <c r="K1602" s="93"/>
      <c r="L1602" s="86"/>
      <c r="M1602" s="86"/>
      <c r="N1602" s="86"/>
      <c r="O1602" s="86"/>
      <c r="P1602" s="86"/>
      <c r="Q1602" s="85"/>
      <c r="S1602" s="85"/>
      <c r="T1602" s="85"/>
      <c r="U1602" s="85"/>
      <c r="V1602" s="85"/>
      <c r="W1602" s="85"/>
      <c r="X1602" s="85"/>
    </row>
    <row r="1603" spans="2:24" s="58" customFormat="1" ht="12" x14ac:dyDescent="0.2">
      <c r="B1603" s="91"/>
      <c r="E1603" s="92"/>
      <c r="F1603" s="93"/>
      <c r="G1603" s="94"/>
      <c r="H1603" s="94"/>
      <c r="I1603" s="94"/>
      <c r="J1603" s="94"/>
      <c r="K1603" s="93"/>
      <c r="L1603" s="86"/>
      <c r="M1603" s="86"/>
      <c r="N1603" s="86"/>
      <c r="O1603" s="86"/>
      <c r="P1603" s="86"/>
      <c r="Q1603" s="85"/>
      <c r="S1603" s="85"/>
      <c r="T1603" s="85"/>
      <c r="U1603" s="85"/>
      <c r="V1603" s="85"/>
      <c r="W1603" s="85"/>
      <c r="X1603" s="85"/>
    </row>
    <row r="1604" spans="2:24" s="58" customFormat="1" ht="12" x14ac:dyDescent="0.2">
      <c r="B1604" s="91"/>
      <c r="E1604" s="92"/>
      <c r="F1604" s="93"/>
      <c r="G1604" s="94"/>
      <c r="H1604" s="94"/>
      <c r="I1604" s="94"/>
      <c r="J1604" s="94"/>
      <c r="K1604" s="93"/>
      <c r="L1604" s="86"/>
      <c r="M1604" s="86"/>
      <c r="N1604" s="86"/>
      <c r="O1604" s="86"/>
      <c r="P1604" s="86"/>
      <c r="Q1604" s="85"/>
      <c r="S1604" s="85"/>
      <c r="T1604" s="85"/>
      <c r="U1604" s="85"/>
      <c r="V1604" s="85"/>
      <c r="W1604" s="85"/>
      <c r="X1604" s="85"/>
    </row>
    <row r="1605" spans="2:24" s="58" customFormat="1" ht="12" x14ac:dyDescent="0.2">
      <c r="B1605" s="91"/>
      <c r="E1605" s="92"/>
      <c r="F1605" s="93"/>
      <c r="G1605" s="94"/>
      <c r="H1605" s="94"/>
      <c r="I1605" s="94"/>
      <c r="J1605" s="94"/>
      <c r="K1605" s="93"/>
      <c r="L1605" s="86"/>
      <c r="M1605" s="86"/>
      <c r="N1605" s="86"/>
      <c r="O1605" s="86"/>
      <c r="P1605" s="86"/>
      <c r="Q1605" s="85"/>
      <c r="S1605" s="85"/>
      <c r="T1605" s="85"/>
      <c r="U1605" s="85"/>
      <c r="V1605" s="85"/>
      <c r="W1605" s="85"/>
      <c r="X1605" s="85"/>
    </row>
    <row r="1606" spans="2:24" s="58" customFormat="1" ht="12" x14ac:dyDescent="0.2">
      <c r="B1606" s="91"/>
      <c r="E1606" s="92"/>
      <c r="F1606" s="93"/>
      <c r="G1606" s="94"/>
      <c r="H1606" s="94"/>
      <c r="I1606" s="94"/>
      <c r="J1606" s="94"/>
      <c r="K1606" s="93"/>
      <c r="L1606" s="86"/>
      <c r="M1606" s="86"/>
      <c r="N1606" s="86"/>
      <c r="O1606" s="86"/>
      <c r="P1606" s="86"/>
      <c r="Q1606" s="85"/>
      <c r="S1606" s="85"/>
      <c r="T1606" s="85"/>
      <c r="U1606" s="85"/>
      <c r="V1606" s="85"/>
      <c r="W1606" s="85"/>
      <c r="X1606" s="85"/>
    </row>
    <row r="1607" spans="2:24" s="58" customFormat="1" ht="12" x14ac:dyDescent="0.2">
      <c r="B1607" s="91"/>
      <c r="E1607" s="92"/>
      <c r="F1607" s="93"/>
      <c r="G1607" s="94"/>
      <c r="H1607" s="94"/>
      <c r="I1607" s="94"/>
      <c r="J1607" s="94"/>
      <c r="K1607" s="93"/>
      <c r="L1607" s="86"/>
      <c r="M1607" s="86"/>
      <c r="N1607" s="86"/>
      <c r="O1607" s="86"/>
      <c r="P1607" s="86"/>
      <c r="Q1607" s="85"/>
      <c r="S1607" s="85"/>
      <c r="T1607" s="85"/>
      <c r="U1607" s="85"/>
      <c r="V1607" s="85"/>
      <c r="W1607" s="85"/>
      <c r="X1607" s="85"/>
    </row>
    <row r="1608" spans="2:24" s="58" customFormat="1" ht="12" x14ac:dyDescent="0.2">
      <c r="B1608" s="91"/>
      <c r="E1608" s="92"/>
      <c r="F1608" s="93"/>
      <c r="G1608" s="94"/>
      <c r="H1608" s="94"/>
      <c r="I1608" s="94"/>
      <c r="J1608" s="94"/>
      <c r="K1608" s="93"/>
      <c r="L1608" s="86"/>
      <c r="M1608" s="86"/>
      <c r="N1608" s="86"/>
      <c r="O1608" s="86"/>
      <c r="P1608" s="86"/>
      <c r="Q1608" s="85"/>
      <c r="S1608" s="85"/>
      <c r="T1608" s="85"/>
      <c r="U1608" s="85"/>
      <c r="V1608" s="85"/>
      <c r="W1608" s="85"/>
      <c r="X1608" s="85"/>
    </row>
    <row r="1609" spans="2:24" s="58" customFormat="1" ht="12" x14ac:dyDescent="0.2">
      <c r="B1609" s="91"/>
      <c r="E1609" s="92"/>
      <c r="F1609" s="93"/>
      <c r="G1609" s="94"/>
      <c r="H1609" s="94"/>
      <c r="I1609" s="94"/>
      <c r="J1609" s="94"/>
      <c r="K1609" s="93"/>
      <c r="L1609" s="86"/>
      <c r="M1609" s="86"/>
      <c r="N1609" s="86"/>
      <c r="O1609" s="86"/>
      <c r="P1609" s="86"/>
      <c r="Q1609" s="85"/>
      <c r="S1609" s="85"/>
      <c r="T1609" s="85"/>
      <c r="U1609" s="85"/>
      <c r="V1609" s="85"/>
      <c r="W1609" s="85"/>
      <c r="X1609" s="85"/>
    </row>
    <row r="1610" spans="2:24" s="58" customFormat="1" ht="12" x14ac:dyDescent="0.2">
      <c r="B1610" s="91"/>
      <c r="E1610" s="92"/>
      <c r="F1610" s="93"/>
      <c r="G1610" s="94"/>
      <c r="H1610" s="94"/>
      <c r="I1610" s="94"/>
      <c r="J1610" s="94"/>
      <c r="K1610" s="93"/>
      <c r="L1610" s="86"/>
      <c r="M1610" s="86"/>
      <c r="N1610" s="86"/>
      <c r="O1610" s="86"/>
      <c r="P1610" s="86"/>
      <c r="Q1610" s="85"/>
      <c r="S1610" s="85"/>
      <c r="T1610" s="85"/>
      <c r="U1610" s="85"/>
      <c r="V1610" s="85"/>
      <c r="W1610" s="85"/>
      <c r="X1610" s="85"/>
    </row>
    <row r="1611" spans="2:24" s="58" customFormat="1" ht="12" x14ac:dyDescent="0.2">
      <c r="B1611" s="91"/>
      <c r="E1611" s="92"/>
      <c r="F1611" s="93"/>
      <c r="G1611" s="94"/>
      <c r="H1611" s="94"/>
      <c r="I1611" s="94"/>
      <c r="J1611" s="94"/>
      <c r="K1611" s="93"/>
      <c r="L1611" s="86"/>
      <c r="M1611" s="86"/>
      <c r="N1611" s="86"/>
      <c r="O1611" s="86"/>
      <c r="P1611" s="86"/>
      <c r="Q1611" s="85"/>
      <c r="S1611" s="85"/>
      <c r="T1611" s="85"/>
      <c r="U1611" s="85"/>
      <c r="V1611" s="85"/>
      <c r="W1611" s="85"/>
      <c r="X1611" s="85"/>
    </row>
    <row r="1612" spans="2:24" s="58" customFormat="1" ht="12" x14ac:dyDescent="0.2">
      <c r="B1612" s="91"/>
      <c r="E1612" s="92"/>
      <c r="F1612" s="93"/>
      <c r="G1612" s="94"/>
      <c r="H1612" s="94"/>
      <c r="I1612" s="94"/>
      <c r="J1612" s="94"/>
      <c r="K1612" s="93"/>
      <c r="L1612" s="86"/>
      <c r="M1612" s="86"/>
      <c r="N1612" s="86"/>
      <c r="O1612" s="86"/>
      <c r="P1612" s="86"/>
      <c r="Q1612" s="85"/>
      <c r="S1612" s="85"/>
      <c r="T1612" s="85"/>
      <c r="U1612" s="85"/>
      <c r="V1612" s="85"/>
      <c r="W1612" s="85"/>
      <c r="X1612" s="85"/>
    </row>
    <row r="1613" spans="2:24" s="58" customFormat="1" ht="12" x14ac:dyDescent="0.2">
      <c r="B1613" s="91"/>
      <c r="E1613" s="92"/>
      <c r="F1613" s="93"/>
      <c r="G1613" s="94"/>
      <c r="H1613" s="94"/>
      <c r="I1613" s="94"/>
      <c r="J1613" s="94"/>
      <c r="K1613" s="93"/>
      <c r="L1613" s="86"/>
      <c r="M1613" s="86"/>
      <c r="N1613" s="86"/>
      <c r="O1613" s="86"/>
      <c r="P1613" s="86"/>
      <c r="Q1613" s="85"/>
      <c r="S1613" s="85"/>
      <c r="T1613" s="85"/>
      <c r="U1613" s="85"/>
      <c r="V1613" s="85"/>
      <c r="W1613" s="85"/>
      <c r="X1613" s="85"/>
    </row>
    <row r="1614" spans="2:24" s="58" customFormat="1" ht="12" x14ac:dyDescent="0.2">
      <c r="B1614" s="91"/>
      <c r="E1614" s="92"/>
      <c r="F1614" s="93"/>
      <c r="G1614" s="94"/>
      <c r="H1614" s="94"/>
      <c r="I1614" s="94"/>
      <c r="J1614" s="94"/>
      <c r="K1614" s="93"/>
      <c r="L1614" s="86"/>
      <c r="M1614" s="86"/>
      <c r="N1614" s="86"/>
      <c r="O1614" s="86"/>
      <c r="P1614" s="86"/>
      <c r="Q1614" s="85"/>
      <c r="S1614" s="85"/>
      <c r="T1614" s="85"/>
      <c r="U1614" s="85"/>
      <c r="V1614" s="85"/>
      <c r="W1614" s="85"/>
      <c r="X1614" s="85"/>
    </row>
    <row r="1615" spans="2:24" s="58" customFormat="1" ht="12" x14ac:dyDescent="0.2">
      <c r="B1615" s="91"/>
      <c r="E1615" s="92"/>
      <c r="F1615" s="93"/>
      <c r="G1615" s="94"/>
      <c r="H1615" s="94"/>
      <c r="I1615" s="94"/>
      <c r="J1615" s="94"/>
      <c r="K1615" s="93"/>
      <c r="L1615" s="86"/>
      <c r="M1615" s="86"/>
      <c r="N1615" s="86"/>
      <c r="O1615" s="86"/>
      <c r="P1615" s="86"/>
      <c r="Q1615" s="85"/>
      <c r="S1615" s="85"/>
      <c r="T1615" s="85"/>
      <c r="U1615" s="85"/>
      <c r="V1615" s="85"/>
      <c r="W1615" s="85"/>
      <c r="X1615" s="85"/>
    </row>
    <row r="1616" spans="2:24" s="58" customFormat="1" ht="12" x14ac:dyDescent="0.2">
      <c r="B1616" s="91"/>
      <c r="E1616" s="92"/>
      <c r="F1616" s="93"/>
      <c r="G1616" s="94"/>
      <c r="H1616" s="94"/>
      <c r="I1616" s="94"/>
      <c r="J1616" s="94"/>
      <c r="K1616" s="93"/>
      <c r="L1616" s="86"/>
      <c r="M1616" s="86"/>
      <c r="N1616" s="86"/>
      <c r="O1616" s="86"/>
      <c r="P1616" s="86"/>
      <c r="Q1616" s="85"/>
      <c r="S1616" s="85"/>
      <c r="T1616" s="85"/>
      <c r="U1616" s="85"/>
      <c r="V1616" s="85"/>
      <c r="W1616" s="85"/>
      <c r="X1616" s="85"/>
    </row>
    <row r="1617" spans="2:24" s="58" customFormat="1" ht="12" x14ac:dyDescent="0.2">
      <c r="B1617" s="91"/>
      <c r="E1617" s="92"/>
      <c r="F1617" s="93"/>
      <c r="G1617" s="94"/>
      <c r="H1617" s="94"/>
      <c r="I1617" s="94"/>
      <c r="J1617" s="94"/>
      <c r="K1617" s="93"/>
      <c r="L1617" s="86"/>
      <c r="M1617" s="86"/>
      <c r="N1617" s="86"/>
      <c r="O1617" s="86"/>
      <c r="P1617" s="86"/>
      <c r="Q1617" s="85"/>
      <c r="S1617" s="85"/>
      <c r="T1617" s="85"/>
      <c r="U1617" s="85"/>
      <c r="V1617" s="85"/>
      <c r="W1617" s="85"/>
      <c r="X1617" s="85"/>
    </row>
    <row r="1618" spans="2:24" s="58" customFormat="1" ht="12" x14ac:dyDescent="0.2">
      <c r="B1618" s="91"/>
      <c r="E1618" s="92"/>
      <c r="F1618" s="93"/>
      <c r="G1618" s="94"/>
      <c r="H1618" s="94"/>
      <c r="I1618" s="94"/>
      <c r="J1618" s="94"/>
      <c r="K1618" s="93"/>
      <c r="L1618" s="86"/>
      <c r="M1618" s="86"/>
      <c r="N1618" s="86"/>
      <c r="O1618" s="86"/>
      <c r="P1618" s="86"/>
      <c r="Q1618" s="85"/>
      <c r="S1618" s="85"/>
      <c r="T1618" s="85"/>
      <c r="U1618" s="85"/>
      <c r="V1618" s="85"/>
      <c r="W1618" s="85"/>
      <c r="X1618" s="85"/>
    </row>
    <row r="1619" spans="2:24" s="58" customFormat="1" ht="12" x14ac:dyDescent="0.2">
      <c r="B1619" s="91"/>
      <c r="E1619" s="92"/>
      <c r="F1619" s="93"/>
      <c r="G1619" s="94"/>
      <c r="H1619" s="94"/>
      <c r="I1619" s="94"/>
      <c r="J1619" s="94"/>
      <c r="K1619" s="93"/>
      <c r="L1619" s="86"/>
      <c r="M1619" s="86"/>
      <c r="N1619" s="86"/>
      <c r="O1619" s="86"/>
      <c r="P1619" s="86"/>
      <c r="Q1619" s="85"/>
      <c r="S1619" s="85"/>
      <c r="T1619" s="85"/>
      <c r="U1619" s="85"/>
      <c r="V1619" s="85"/>
      <c r="W1619" s="85"/>
      <c r="X1619" s="85"/>
    </row>
    <row r="1620" spans="2:24" s="58" customFormat="1" ht="12" x14ac:dyDescent="0.2">
      <c r="B1620" s="91"/>
      <c r="E1620" s="92"/>
      <c r="F1620" s="93"/>
      <c r="G1620" s="94"/>
      <c r="H1620" s="94"/>
      <c r="I1620" s="94"/>
      <c r="J1620" s="94"/>
      <c r="K1620" s="93"/>
      <c r="L1620" s="86"/>
      <c r="M1620" s="86"/>
      <c r="N1620" s="86"/>
      <c r="O1620" s="86"/>
      <c r="P1620" s="86"/>
      <c r="Q1620" s="85"/>
      <c r="S1620" s="85"/>
      <c r="T1620" s="85"/>
      <c r="U1620" s="85"/>
      <c r="V1620" s="85"/>
      <c r="W1620" s="85"/>
      <c r="X1620" s="85"/>
    </row>
    <row r="1621" spans="2:24" s="58" customFormat="1" ht="12" x14ac:dyDescent="0.2">
      <c r="B1621" s="91"/>
      <c r="E1621" s="92"/>
      <c r="F1621" s="93"/>
      <c r="G1621" s="94"/>
      <c r="H1621" s="94"/>
      <c r="I1621" s="94"/>
      <c r="J1621" s="94"/>
      <c r="K1621" s="93"/>
      <c r="L1621" s="86"/>
      <c r="M1621" s="86"/>
      <c r="N1621" s="86"/>
      <c r="O1621" s="86"/>
      <c r="P1621" s="86"/>
      <c r="Q1621" s="85"/>
      <c r="S1621" s="85"/>
      <c r="T1621" s="85"/>
      <c r="U1621" s="85"/>
      <c r="V1621" s="85"/>
      <c r="W1621" s="85"/>
      <c r="X1621" s="85"/>
    </row>
    <row r="1622" spans="2:24" s="58" customFormat="1" ht="12" x14ac:dyDescent="0.2">
      <c r="B1622" s="91"/>
      <c r="E1622" s="92"/>
      <c r="F1622" s="93"/>
      <c r="G1622" s="94"/>
      <c r="H1622" s="94"/>
      <c r="I1622" s="94"/>
      <c r="J1622" s="94"/>
      <c r="K1622" s="93"/>
      <c r="L1622" s="86"/>
      <c r="M1622" s="86"/>
      <c r="N1622" s="86"/>
      <c r="O1622" s="86"/>
      <c r="P1622" s="86"/>
      <c r="Q1622" s="85"/>
      <c r="S1622" s="85"/>
      <c r="T1622" s="85"/>
      <c r="U1622" s="85"/>
      <c r="V1622" s="85"/>
      <c r="W1622" s="85"/>
      <c r="X1622" s="85"/>
    </row>
    <row r="1623" spans="2:24" s="58" customFormat="1" ht="12" x14ac:dyDescent="0.2">
      <c r="B1623" s="91"/>
      <c r="E1623" s="92"/>
      <c r="F1623" s="93"/>
      <c r="G1623" s="94"/>
      <c r="H1623" s="94"/>
      <c r="I1623" s="94"/>
      <c r="J1623" s="94"/>
      <c r="K1623" s="93"/>
      <c r="L1623" s="86"/>
      <c r="M1623" s="86"/>
      <c r="N1623" s="86"/>
      <c r="O1623" s="86"/>
      <c r="P1623" s="86"/>
      <c r="Q1623" s="85"/>
      <c r="S1623" s="85"/>
      <c r="T1623" s="85"/>
      <c r="U1623" s="85"/>
      <c r="V1623" s="85"/>
      <c r="W1623" s="85"/>
      <c r="X1623" s="85"/>
    </row>
    <row r="1624" spans="2:24" s="58" customFormat="1" ht="12" x14ac:dyDescent="0.2">
      <c r="B1624" s="91"/>
      <c r="E1624" s="92"/>
      <c r="F1624" s="93"/>
      <c r="G1624" s="94"/>
      <c r="H1624" s="94"/>
      <c r="I1624" s="94"/>
      <c r="J1624" s="94"/>
      <c r="K1624" s="93"/>
      <c r="L1624" s="86"/>
      <c r="M1624" s="86"/>
      <c r="N1624" s="86"/>
      <c r="O1624" s="86"/>
      <c r="P1624" s="86"/>
      <c r="Q1624" s="85"/>
      <c r="S1624" s="85"/>
      <c r="T1624" s="85"/>
      <c r="U1624" s="85"/>
      <c r="V1624" s="85"/>
      <c r="W1624" s="85"/>
      <c r="X1624" s="85"/>
    </row>
    <row r="1625" spans="2:24" s="58" customFormat="1" ht="12" x14ac:dyDescent="0.2">
      <c r="B1625" s="91"/>
      <c r="E1625" s="92"/>
      <c r="F1625" s="93"/>
      <c r="G1625" s="94"/>
      <c r="H1625" s="94"/>
      <c r="I1625" s="94"/>
      <c r="J1625" s="94"/>
      <c r="K1625" s="93"/>
      <c r="L1625" s="86"/>
      <c r="M1625" s="86"/>
      <c r="N1625" s="86"/>
      <c r="O1625" s="86"/>
      <c r="P1625" s="86"/>
      <c r="Q1625" s="85"/>
      <c r="S1625" s="85"/>
      <c r="T1625" s="85"/>
      <c r="U1625" s="85"/>
      <c r="V1625" s="85"/>
      <c r="W1625" s="85"/>
      <c r="X1625" s="85"/>
    </row>
    <row r="1626" spans="2:24" s="58" customFormat="1" ht="12" x14ac:dyDescent="0.2">
      <c r="B1626" s="91"/>
      <c r="E1626" s="92"/>
      <c r="F1626" s="93"/>
      <c r="G1626" s="94"/>
      <c r="H1626" s="94"/>
      <c r="I1626" s="94"/>
      <c r="J1626" s="94"/>
      <c r="K1626" s="93"/>
      <c r="L1626" s="86"/>
      <c r="M1626" s="86"/>
      <c r="N1626" s="86"/>
      <c r="O1626" s="86"/>
      <c r="P1626" s="86"/>
      <c r="Q1626" s="85"/>
      <c r="S1626" s="85"/>
      <c r="T1626" s="85"/>
      <c r="U1626" s="85"/>
      <c r="V1626" s="85"/>
      <c r="W1626" s="85"/>
      <c r="X1626" s="85"/>
    </row>
    <row r="1627" spans="2:24" s="58" customFormat="1" ht="12" x14ac:dyDescent="0.2">
      <c r="B1627" s="91"/>
      <c r="E1627" s="92"/>
      <c r="F1627" s="93"/>
      <c r="G1627" s="94"/>
      <c r="H1627" s="94"/>
      <c r="I1627" s="94"/>
      <c r="J1627" s="94"/>
      <c r="K1627" s="93"/>
      <c r="L1627" s="86"/>
      <c r="M1627" s="86"/>
      <c r="N1627" s="86"/>
      <c r="O1627" s="86"/>
      <c r="P1627" s="86"/>
      <c r="Q1627" s="85"/>
      <c r="S1627" s="85"/>
      <c r="T1627" s="85"/>
      <c r="U1627" s="85"/>
      <c r="V1627" s="85"/>
      <c r="W1627" s="85"/>
      <c r="X1627" s="85"/>
    </row>
    <row r="1628" spans="2:24" s="58" customFormat="1" ht="12" x14ac:dyDescent="0.2">
      <c r="B1628" s="91"/>
      <c r="E1628" s="92"/>
      <c r="F1628" s="93"/>
      <c r="G1628" s="94"/>
      <c r="H1628" s="94"/>
      <c r="I1628" s="94"/>
      <c r="J1628" s="94"/>
      <c r="K1628" s="93"/>
      <c r="L1628" s="86"/>
      <c r="M1628" s="86"/>
      <c r="N1628" s="86"/>
      <c r="O1628" s="86"/>
      <c r="P1628" s="86"/>
      <c r="Q1628" s="85"/>
      <c r="S1628" s="85"/>
      <c r="T1628" s="85"/>
      <c r="U1628" s="85"/>
      <c r="V1628" s="85"/>
      <c r="W1628" s="85"/>
      <c r="X1628" s="85"/>
    </row>
    <row r="1629" spans="2:24" s="58" customFormat="1" ht="12" x14ac:dyDescent="0.2">
      <c r="B1629" s="91"/>
      <c r="E1629" s="92"/>
      <c r="F1629" s="93"/>
      <c r="G1629" s="94"/>
      <c r="H1629" s="94"/>
      <c r="I1629" s="94"/>
      <c r="J1629" s="94"/>
      <c r="K1629" s="93"/>
      <c r="L1629" s="86"/>
      <c r="M1629" s="86"/>
      <c r="N1629" s="86"/>
      <c r="O1629" s="86"/>
      <c r="P1629" s="86"/>
      <c r="Q1629" s="85"/>
      <c r="S1629" s="85"/>
      <c r="T1629" s="85"/>
      <c r="U1629" s="85"/>
      <c r="V1629" s="85"/>
      <c r="W1629" s="85"/>
      <c r="X1629" s="85"/>
    </row>
    <row r="1630" spans="2:24" s="58" customFormat="1" ht="12" x14ac:dyDescent="0.2">
      <c r="B1630" s="91"/>
      <c r="E1630" s="92"/>
      <c r="F1630" s="93"/>
      <c r="G1630" s="94"/>
      <c r="H1630" s="94"/>
      <c r="I1630" s="94"/>
      <c r="J1630" s="94"/>
      <c r="K1630" s="93"/>
      <c r="L1630" s="86"/>
      <c r="M1630" s="86"/>
      <c r="N1630" s="86"/>
      <c r="O1630" s="86"/>
      <c r="P1630" s="86"/>
      <c r="Q1630" s="85"/>
      <c r="S1630" s="85"/>
      <c r="T1630" s="85"/>
      <c r="U1630" s="85"/>
      <c r="V1630" s="85"/>
      <c r="W1630" s="85"/>
      <c r="X1630" s="85"/>
    </row>
    <row r="1631" spans="2:24" s="58" customFormat="1" ht="12" x14ac:dyDescent="0.2">
      <c r="B1631" s="91"/>
      <c r="E1631" s="92"/>
      <c r="F1631" s="93"/>
      <c r="G1631" s="94"/>
      <c r="H1631" s="94"/>
      <c r="I1631" s="94"/>
      <c r="J1631" s="94"/>
      <c r="K1631" s="93"/>
      <c r="L1631" s="86"/>
      <c r="M1631" s="86"/>
      <c r="N1631" s="86"/>
      <c r="O1631" s="86"/>
      <c r="P1631" s="86"/>
      <c r="Q1631" s="85"/>
      <c r="S1631" s="85"/>
      <c r="T1631" s="85"/>
      <c r="U1631" s="85"/>
      <c r="V1631" s="85"/>
      <c r="W1631" s="85"/>
      <c r="X1631" s="85"/>
    </row>
    <row r="1632" spans="2:24" s="58" customFormat="1" ht="12" x14ac:dyDescent="0.2">
      <c r="B1632" s="91"/>
      <c r="E1632" s="92"/>
      <c r="F1632" s="93"/>
      <c r="G1632" s="94"/>
      <c r="H1632" s="94"/>
      <c r="I1632" s="94"/>
      <c r="J1632" s="94"/>
      <c r="K1632" s="93"/>
      <c r="L1632" s="86"/>
      <c r="M1632" s="86"/>
      <c r="N1632" s="86"/>
      <c r="O1632" s="86"/>
      <c r="P1632" s="86"/>
      <c r="Q1632" s="85"/>
      <c r="S1632" s="85"/>
      <c r="T1632" s="85"/>
      <c r="U1632" s="85"/>
      <c r="V1632" s="85"/>
      <c r="W1632" s="85"/>
      <c r="X1632" s="85"/>
    </row>
    <row r="1633" spans="2:24" s="58" customFormat="1" ht="12" x14ac:dyDescent="0.2">
      <c r="B1633" s="91"/>
      <c r="E1633" s="92"/>
      <c r="F1633" s="93"/>
      <c r="G1633" s="94"/>
      <c r="H1633" s="94"/>
      <c r="I1633" s="94"/>
      <c r="J1633" s="94"/>
      <c r="K1633" s="93"/>
      <c r="L1633" s="86"/>
      <c r="M1633" s="86"/>
      <c r="N1633" s="86"/>
      <c r="O1633" s="86"/>
      <c r="P1633" s="86"/>
      <c r="Q1633" s="85"/>
      <c r="S1633" s="85"/>
      <c r="T1633" s="85"/>
      <c r="U1633" s="85"/>
      <c r="V1633" s="85"/>
      <c r="W1633" s="85"/>
      <c r="X1633" s="85"/>
    </row>
    <row r="1634" spans="2:24" s="58" customFormat="1" ht="12" x14ac:dyDescent="0.2">
      <c r="B1634" s="91"/>
      <c r="E1634" s="92"/>
      <c r="F1634" s="93"/>
      <c r="G1634" s="94"/>
      <c r="H1634" s="94"/>
      <c r="I1634" s="94"/>
      <c r="J1634" s="94"/>
      <c r="K1634" s="93"/>
      <c r="L1634" s="86"/>
      <c r="M1634" s="86"/>
      <c r="N1634" s="86"/>
      <c r="O1634" s="86"/>
      <c r="P1634" s="86"/>
      <c r="Q1634" s="85"/>
      <c r="S1634" s="85"/>
      <c r="T1634" s="85"/>
      <c r="U1634" s="85"/>
      <c r="V1634" s="85"/>
      <c r="W1634" s="85"/>
      <c r="X1634" s="85"/>
    </row>
    <row r="1635" spans="2:24" s="58" customFormat="1" ht="12" x14ac:dyDescent="0.2">
      <c r="B1635" s="91"/>
      <c r="E1635" s="92"/>
      <c r="F1635" s="93"/>
      <c r="G1635" s="94"/>
      <c r="H1635" s="94"/>
      <c r="I1635" s="94"/>
      <c r="J1635" s="94"/>
      <c r="K1635" s="93"/>
      <c r="L1635" s="86"/>
      <c r="M1635" s="86"/>
      <c r="N1635" s="86"/>
      <c r="O1635" s="86"/>
      <c r="P1635" s="86"/>
      <c r="Q1635" s="85"/>
      <c r="S1635" s="85"/>
      <c r="T1635" s="85"/>
      <c r="U1635" s="85"/>
      <c r="V1635" s="85"/>
      <c r="W1635" s="85"/>
      <c r="X1635" s="85"/>
    </row>
    <row r="1636" spans="2:24" s="58" customFormat="1" ht="12" x14ac:dyDescent="0.2">
      <c r="B1636" s="91"/>
      <c r="E1636" s="92"/>
      <c r="F1636" s="93"/>
      <c r="G1636" s="94"/>
      <c r="H1636" s="94"/>
      <c r="I1636" s="94"/>
      <c r="J1636" s="94"/>
      <c r="K1636" s="93"/>
      <c r="L1636" s="86"/>
      <c r="M1636" s="86"/>
      <c r="N1636" s="86"/>
      <c r="O1636" s="86"/>
      <c r="P1636" s="86"/>
      <c r="Q1636" s="85"/>
      <c r="S1636" s="85"/>
      <c r="T1636" s="85"/>
      <c r="U1636" s="85"/>
      <c r="V1636" s="85"/>
      <c r="W1636" s="85"/>
      <c r="X1636" s="85"/>
    </row>
    <row r="1637" spans="2:24" s="58" customFormat="1" ht="12" x14ac:dyDescent="0.2">
      <c r="B1637" s="91"/>
      <c r="E1637" s="92"/>
      <c r="F1637" s="93"/>
      <c r="G1637" s="94"/>
      <c r="H1637" s="94"/>
      <c r="I1637" s="94"/>
      <c r="J1637" s="94"/>
      <c r="K1637" s="93"/>
      <c r="L1637" s="86"/>
      <c r="M1637" s="86"/>
      <c r="N1637" s="86"/>
      <c r="O1637" s="86"/>
      <c r="P1637" s="86"/>
      <c r="Q1637" s="85"/>
      <c r="S1637" s="85"/>
      <c r="T1637" s="85"/>
      <c r="U1637" s="85"/>
      <c r="V1637" s="85"/>
      <c r="W1637" s="85"/>
      <c r="X1637" s="85"/>
    </row>
    <row r="1638" spans="2:24" s="58" customFormat="1" ht="12" x14ac:dyDescent="0.2">
      <c r="B1638" s="91"/>
      <c r="E1638" s="92"/>
      <c r="F1638" s="93"/>
      <c r="G1638" s="94"/>
      <c r="H1638" s="94"/>
      <c r="I1638" s="94"/>
      <c r="J1638" s="94"/>
      <c r="K1638" s="93"/>
      <c r="L1638" s="86"/>
      <c r="M1638" s="86"/>
      <c r="N1638" s="86"/>
      <c r="O1638" s="86"/>
      <c r="P1638" s="86"/>
      <c r="Q1638" s="85"/>
      <c r="S1638" s="85"/>
      <c r="T1638" s="85"/>
      <c r="U1638" s="85"/>
      <c r="V1638" s="85"/>
      <c r="W1638" s="85"/>
      <c r="X1638" s="85"/>
    </row>
    <row r="1639" spans="2:24" s="58" customFormat="1" ht="12" x14ac:dyDescent="0.2">
      <c r="B1639" s="91"/>
      <c r="E1639" s="92"/>
      <c r="F1639" s="93"/>
      <c r="G1639" s="94"/>
      <c r="H1639" s="94"/>
      <c r="I1639" s="94"/>
      <c r="J1639" s="94"/>
      <c r="K1639" s="93"/>
      <c r="L1639" s="86"/>
      <c r="M1639" s="86"/>
      <c r="N1639" s="86"/>
      <c r="O1639" s="86"/>
      <c r="P1639" s="86"/>
      <c r="Q1639" s="85"/>
      <c r="S1639" s="85"/>
      <c r="T1639" s="85"/>
      <c r="U1639" s="85"/>
      <c r="V1639" s="85"/>
      <c r="W1639" s="85"/>
      <c r="X1639" s="85"/>
    </row>
    <row r="1640" spans="2:24" s="58" customFormat="1" ht="12" x14ac:dyDescent="0.2">
      <c r="B1640" s="91"/>
      <c r="E1640" s="92"/>
      <c r="F1640" s="93"/>
      <c r="G1640" s="94"/>
      <c r="H1640" s="94"/>
      <c r="I1640" s="94"/>
      <c r="J1640" s="94"/>
      <c r="K1640" s="93"/>
      <c r="L1640" s="86"/>
      <c r="M1640" s="86"/>
      <c r="N1640" s="86"/>
      <c r="O1640" s="86"/>
      <c r="P1640" s="86"/>
      <c r="Q1640" s="85"/>
      <c r="S1640" s="85"/>
      <c r="T1640" s="85"/>
      <c r="U1640" s="85"/>
      <c r="V1640" s="85"/>
      <c r="W1640" s="85"/>
      <c r="X1640" s="85"/>
    </row>
    <row r="1641" spans="2:24" s="58" customFormat="1" ht="12" x14ac:dyDescent="0.2">
      <c r="B1641" s="91"/>
      <c r="E1641" s="92"/>
      <c r="F1641" s="93"/>
      <c r="G1641" s="94"/>
      <c r="H1641" s="94"/>
      <c r="I1641" s="94"/>
      <c r="J1641" s="94"/>
      <c r="K1641" s="93"/>
      <c r="L1641" s="86"/>
      <c r="M1641" s="86"/>
      <c r="N1641" s="86"/>
      <c r="O1641" s="86"/>
      <c r="P1641" s="86"/>
      <c r="Q1641" s="85"/>
      <c r="S1641" s="85"/>
      <c r="T1641" s="85"/>
      <c r="U1641" s="85"/>
      <c r="V1641" s="85"/>
      <c r="W1641" s="85"/>
      <c r="X1641" s="85"/>
    </row>
    <row r="1642" spans="2:24" s="58" customFormat="1" ht="12" x14ac:dyDescent="0.2">
      <c r="B1642" s="91"/>
      <c r="E1642" s="92"/>
      <c r="F1642" s="93"/>
      <c r="G1642" s="94"/>
      <c r="H1642" s="94"/>
      <c r="I1642" s="94"/>
      <c r="J1642" s="94"/>
      <c r="K1642" s="93"/>
      <c r="L1642" s="86"/>
      <c r="M1642" s="86"/>
      <c r="N1642" s="86"/>
      <c r="O1642" s="86"/>
      <c r="P1642" s="86"/>
      <c r="Q1642" s="85"/>
      <c r="S1642" s="85"/>
      <c r="T1642" s="85"/>
      <c r="U1642" s="85"/>
      <c r="V1642" s="85"/>
      <c r="W1642" s="85"/>
      <c r="X1642" s="85"/>
    </row>
    <row r="1643" spans="2:24" s="58" customFormat="1" ht="12" x14ac:dyDescent="0.2">
      <c r="B1643" s="91"/>
      <c r="E1643" s="92"/>
      <c r="F1643" s="93"/>
      <c r="G1643" s="94"/>
      <c r="H1643" s="94"/>
      <c r="I1643" s="94"/>
      <c r="J1643" s="94"/>
      <c r="K1643" s="93"/>
      <c r="L1643" s="86"/>
      <c r="M1643" s="86"/>
      <c r="N1643" s="86"/>
      <c r="O1643" s="86"/>
      <c r="P1643" s="86"/>
      <c r="Q1643" s="85"/>
      <c r="S1643" s="85"/>
      <c r="T1643" s="85"/>
      <c r="U1643" s="85"/>
      <c r="V1643" s="85"/>
      <c r="W1643" s="85"/>
      <c r="X1643" s="85"/>
    </row>
    <row r="1644" spans="2:24" s="58" customFormat="1" ht="12" x14ac:dyDescent="0.2">
      <c r="B1644" s="91"/>
      <c r="E1644" s="92"/>
      <c r="F1644" s="93"/>
      <c r="G1644" s="94"/>
      <c r="H1644" s="94"/>
      <c r="I1644" s="94"/>
      <c r="J1644" s="94"/>
      <c r="K1644" s="93"/>
      <c r="L1644" s="86"/>
      <c r="M1644" s="86"/>
      <c r="N1644" s="86"/>
      <c r="O1644" s="86"/>
      <c r="P1644" s="86"/>
      <c r="Q1644" s="85"/>
      <c r="S1644" s="85"/>
      <c r="T1644" s="85"/>
      <c r="U1644" s="85"/>
      <c r="V1644" s="85"/>
      <c r="W1644" s="85"/>
      <c r="X1644" s="85"/>
    </row>
    <row r="1645" spans="2:24" s="58" customFormat="1" ht="12" x14ac:dyDescent="0.2">
      <c r="B1645" s="91"/>
      <c r="E1645" s="92"/>
      <c r="F1645" s="93"/>
      <c r="G1645" s="94"/>
      <c r="H1645" s="94"/>
      <c r="I1645" s="94"/>
      <c r="J1645" s="94"/>
      <c r="K1645" s="93"/>
      <c r="L1645" s="86"/>
      <c r="M1645" s="86"/>
      <c r="N1645" s="86"/>
      <c r="O1645" s="86"/>
      <c r="P1645" s="86"/>
      <c r="Q1645" s="85"/>
      <c r="S1645" s="85"/>
      <c r="T1645" s="85"/>
      <c r="U1645" s="85"/>
      <c r="V1645" s="85"/>
      <c r="W1645" s="85"/>
      <c r="X1645" s="85"/>
    </row>
    <row r="1646" spans="2:24" s="58" customFormat="1" ht="12" x14ac:dyDescent="0.2">
      <c r="B1646" s="91"/>
      <c r="E1646" s="92"/>
      <c r="F1646" s="93"/>
      <c r="G1646" s="94"/>
      <c r="H1646" s="94"/>
      <c r="I1646" s="94"/>
      <c r="J1646" s="94"/>
      <c r="K1646" s="93"/>
      <c r="L1646" s="86"/>
      <c r="M1646" s="86"/>
      <c r="N1646" s="86"/>
      <c r="O1646" s="86"/>
      <c r="P1646" s="86"/>
      <c r="Q1646" s="85"/>
      <c r="S1646" s="85"/>
      <c r="T1646" s="85"/>
      <c r="U1646" s="85"/>
      <c r="V1646" s="85"/>
      <c r="W1646" s="85"/>
      <c r="X1646" s="85"/>
    </row>
    <row r="1647" spans="2:24" s="58" customFormat="1" ht="12" x14ac:dyDescent="0.2">
      <c r="B1647" s="91"/>
      <c r="E1647" s="92"/>
      <c r="F1647" s="93"/>
      <c r="G1647" s="94"/>
      <c r="H1647" s="94"/>
      <c r="I1647" s="94"/>
      <c r="J1647" s="94"/>
      <c r="K1647" s="93"/>
      <c r="L1647" s="86"/>
      <c r="M1647" s="86"/>
      <c r="N1647" s="86"/>
      <c r="O1647" s="86"/>
      <c r="P1647" s="86"/>
      <c r="Q1647" s="85"/>
      <c r="S1647" s="85"/>
      <c r="T1647" s="85"/>
      <c r="U1647" s="85"/>
      <c r="V1647" s="85"/>
      <c r="W1647" s="85"/>
      <c r="X1647" s="85"/>
    </row>
    <row r="1648" spans="2:24" s="58" customFormat="1" ht="12" x14ac:dyDescent="0.2">
      <c r="B1648" s="91"/>
      <c r="E1648" s="92"/>
      <c r="F1648" s="93"/>
      <c r="G1648" s="94"/>
      <c r="H1648" s="94"/>
      <c r="I1648" s="94"/>
      <c r="J1648" s="94"/>
      <c r="K1648" s="93"/>
      <c r="L1648" s="86"/>
      <c r="M1648" s="86"/>
      <c r="N1648" s="86"/>
      <c r="O1648" s="86"/>
      <c r="P1648" s="86"/>
      <c r="Q1648" s="85"/>
      <c r="S1648" s="85"/>
      <c r="T1648" s="85"/>
      <c r="U1648" s="85"/>
      <c r="V1648" s="85"/>
      <c r="W1648" s="85"/>
      <c r="X1648" s="85"/>
    </row>
    <row r="1649" spans="2:24" s="58" customFormat="1" ht="12" x14ac:dyDescent="0.2">
      <c r="B1649" s="91"/>
      <c r="E1649" s="92"/>
      <c r="F1649" s="93"/>
      <c r="G1649" s="94"/>
      <c r="H1649" s="94"/>
      <c r="I1649" s="94"/>
      <c r="J1649" s="94"/>
      <c r="K1649" s="93"/>
      <c r="L1649" s="86"/>
      <c r="M1649" s="86"/>
      <c r="N1649" s="86"/>
      <c r="O1649" s="86"/>
      <c r="P1649" s="86"/>
      <c r="Q1649" s="85"/>
      <c r="S1649" s="85"/>
      <c r="T1649" s="85"/>
      <c r="U1649" s="85"/>
      <c r="V1649" s="85"/>
      <c r="W1649" s="85"/>
      <c r="X1649" s="85"/>
    </row>
    <row r="1650" spans="2:24" s="58" customFormat="1" ht="12" x14ac:dyDescent="0.2">
      <c r="B1650" s="91"/>
      <c r="E1650" s="92"/>
      <c r="F1650" s="93"/>
      <c r="G1650" s="94"/>
      <c r="H1650" s="94"/>
      <c r="I1650" s="94"/>
      <c r="J1650" s="94"/>
      <c r="K1650" s="93"/>
      <c r="L1650" s="86"/>
      <c r="M1650" s="86"/>
      <c r="N1650" s="86"/>
      <c r="O1650" s="86"/>
      <c r="P1650" s="86"/>
      <c r="Q1650" s="85"/>
      <c r="S1650" s="85"/>
      <c r="T1650" s="85"/>
      <c r="U1650" s="85"/>
      <c r="V1650" s="85"/>
      <c r="W1650" s="85"/>
      <c r="X1650" s="85"/>
    </row>
    <row r="1651" spans="2:24" s="58" customFormat="1" ht="12" x14ac:dyDescent="0.2">
      <c r="B1651" s="91"/>
      <c r="E1651" s="92"/>
      <c r="F1651" s="93"/>
      <c r="G1651" s="94"/>
      <c r="H1651" s="94"/>
      <c r="I1651" s="94"/>
      <c r="J1651" s="94"/>
      <c r="K1651" s="93"/>
      <c r="L1651" s="86"/>
      <c r="M1651" s="86"/>
      <c r="N1651" s="86"/>
      <c r="O1651" s="86"/>
      <c r="P1651" s="86"/>
      <c r="Q1651" s="85"/>
      <c r="S1651" s="85"/>
      <c r="T1651" s="85"/>
      <c r="U1651" s="85"/>
      <c r="V1651" s="85"/>
      <c r="W1651" s="85"/>
      <c r="X1651" s="85"/>
    </row>
    <row r="1652" spans="2:24" s="58" customFormat="1" ht="12" x14ac:dyDescent="0.2">
      <c r="B1652" s="91"/>
      <c r="E1652" s="92"/>
      <c r="F1652" s="93"/>
      <c r="G1652" s="94"/>
      <c r="H1652" s="94"/>
      <c r="I1652" s="94"/>
      <c r="J1652" s="94"/>
      <c r="K1652" s="93"/>
      <c r="L1652" s="86"/>
      <c r="M1652" s="86"/>
      <c r="N1652" s="86"/>
      <c r="O1652" s="86"/>
      <c r="P1652" s="86"/>
      <c r="Q1652" s="85"/>
      <c r="S1652" s="85"/>
      <c r="T1652" s="85"/>
      <c r="U1652" s="85"/>
      <c r="V1652" s="85"/>
      <c r="W1652" s="85"/>
      <c r="X1652" s="85"/>
    </row>
    <row r="1653" spans="2:24" s="58" customFormat="1" ht="12" x14ac:dyDescent="0.2">
      <c r="B1653" s="91"/>
      <c r="E1653" s="92"/>
      <c r="F1653" s="93"/>
      <c r="G1653" s="94"/>
      <c r="H1653" s="94"/>
      <c r="I1653" s="94"/>
      <c r="J1653" s="94"/>
      <c r="K1653" s="93"/>
      <c r="L1653" s="86"/>
      <c r="M1653" s="86"/>
      <c r="N1653" s="86"/>
      <c r="O1653" s="86"/>
      <c r="P1653" s="86"/>
      <c r="Q1653" s="85"/>
      <c r="S1653" s="85"/>
      <c r="T1653" s="85"/>
      <c r="U1653" s="85"/>
      <c r="V1653" s="85"/>
      <c r="W1653" s="85"/>
      <c r="X1653" s="85"/>
    </row>
    <row r="1654" spans="2:24" s="58" customFormat="1" ht="12" x14ac:dyDescent="0.2">
      <c r="B1654" s="91"/>
      <c r="E1654" s="92"/>
      <c r="F1654" s="93"/>
      <c r="G1654" s="94"/>
      <c r="H1654" s="94"/>
      <c r="I1654" s="94"/>
      <c r="J1654" s="94"/>
      <c r="K1654" s="93"/>
      <c r="L1654" s="86"/>
      <c r="M1654" s="86"/>
      <c r="N1654" s="86"/>
      <c r="O1654" s="86"/>
      <c r="P1654" s="86"/>
      <c r="Q1654" s="85"/>
      <c r="S1654" s="85"/>
      <c r="T1654" s="85"/>
      <c r="U1654" s="85"/>
      <c r="V1654" s="85"/>
      <c r="W1654" s="85"/>
      <c r="X1654" s="85"/>
    </row>
    <row r="1655" spans="2:24" s="58" customFormat="1" ht="12" x14ac:dyDescent="0.2">
      <c r="B1655" s="91"/>
      <c r="E1655" s="92"/>
      <c r="F1655" s="93"/>
      <c r="G1655" s="94"/>
      <c r="H1655" s="94"/>
      <c r="I1655" s="94"/>
      <c r="J1655" s="94"/>
      <c r="K1655" s="93"/>
      <c r="L1655" s="86"/>
      <c r="M1655" s="86"/>
      <c r="N1655" s="86"/>
      <c r="O1655" s="86"/>
      <c r="P1655" s="86"/>
      <c r="Q1655" s="85"/>
      <c r="S1655" s="85"/>
      <c r="T1655" s="85"/>
      <c r="U1655" s="85"/>
      <c r="V1655" s="85"/>
      <c r="W1655" s="85"/>
      <c r="X1655" s="85"/>
    </row>
    <row r="1656" spans="2:24" s="58" customFormat="1" ht="12" x14ac:dyDescent="0.2">
      <c r="B1656" s="91"/>
      <c r="E1656" s="92"/>
      <c r="F1656" s="93"/>
      <c r="G1656" s="94"/>
      <c r="H1656" s="94"/>
      <c r="I1656" s="94"/>
      <c r="J1656" s="94"/>
      <c r="K1656" s="93"/>
      <c r="L1656" s="86"/>
      <c r="M1656" s="86"/>
      <c r="N1656" s="86"/>
      <c r="O1656" s="86"/>
      <c r="P1656" s="86"/>
      <c r="Q1656" s="85"/>
      <c r="S1656" s="85"/>
      <c r="T1656" s="85"/>
      <c r="U1656" s="85"/>
      <c r="V1656" s="85"/>
      <c r="W1656" s="85"/>
      <c r="X1656" s="85"/>
    </row>
    <row r="1657" spans="2:24" s="58" customFormat="1" ht="12" x14ac:dyDescent="0.2">
      <c r="B1657" s="91"/>
      <c r="E1657" s="92"/>
      <c r="F1657" s="93"/>
      <c r="G1657" s="94"/>
      <c r="H1657" s="94"/>
      <c r="I1657" s="94"/>
      <c r="J1657" s="94"/>
      <c r="K1657" s="93"/>
      <c r="L1657" s="86"/>
      <c r="M1657" s="86"/>
      <c r="N1657" s="86"/>
      <c r="O1657" s="86"/>
      <c r="P1657" s="86"/>
      <c r="Q1657" s="85"/>
      <c r="S1657" s="85"/>
      <c r="T1657" s="85"/>
      <c r="U1657" s="85"/>
      <c r="V1657" s="85"/>
      <c r="W1657" s="85"/>
      <c r="X1657" s="85"/>
    </row>
    <row r="1658" spans="2:24" s="58" customFormat="1" ht="12" x14ac:dyDescent="0.2">
      <c r="B1658" s="91"/>
      <c r="E1658" s="92"/>
      <c r="F1658" s="93"/>
      <c r="G1658" s="94"/>
      <c r="H1658" s="94"/>
      <c r="I1658" s="94"/>
      <c r="J1658" s="94"/>
      <c r="K1658" s="93"/>
      <c r="L1658" s="86"/>
      <c r="M1658" s="86"/>
      <c r="N1658" s="86"/>
      <c r="O1658" s="86"/>
      <c r="P1658" s="86"/>
      <c r="Q1658" s="85"/>
      <c r="S1658" s="85"/>
      <c r="T1658" s="85"/>
      <c r="U1658" s="85"/>
      <c r="V1658" s="85"/>
      <c r="W1658" s="85"/>
      <c r="X1658" s="85"/>
    </row>
    <row r="1659" spans="2:24" s="58" customFormat="1" ht="12" x14ac:dyDescent="0.2">
      <c r="B1659" s="91"/>
      <c r="E1659" s="92"/>
      <c r="F1659" s="93"/>
      <c r="G1659" s="94"/>
      <c r="H1659" s="94"/>
      <c r="I1659" s="94"/>
      <c r="J1659" s="94"/>
      <c r="K1659" s="93"/>
      <c r="L1659" s="86"/>
      <c r="M1659" s="86"/>
      <c r="N1659" s="86"/>
      <c r="O1659" s="86"/>
      <c r="P1659" s="86"/>
      <c r="Q1659" s="85"/>
      <c r="S1659" s="85"/>
      <c r="T1659" s="85"/>
      <c r="U1659" s="85"/>
      <c r="V1659" s="85"/>
      <c r="W1659" s="85"/>
      <c r="X1659" s="85"/>
    </row>
    <row r="1660" spans="2:24" s="58" customFormat="1" ht="12" x14ac:dyDescent="0.2">
      <c r="B1660" s="91"/>
      <c r="E1660" s="92"/>
      <c r="F1660" s="93"/>
      <c r="G1660" s="94"/>
      <c r="H1660" s="94"/>
      <c r="I1660" s="94"/>
      <c r="J1660" s="94"/>
      <c r="K1660" s="93"/>
      <c r="L1660" s="86"/>
      <c r="M1660" s="86"/>
      <c r="N1660" s="86"/>
      <c r="O1660" s="86"/>
      <c r="P1660" s="86"/>
      <c r="Q1660" s="85"/>
      <c r="S1660" s="85"/>
      <c r="T1660" s="85"/>
      <c r="U1660" s="85"/>
      <c r="V1660" s="85"/>
      <c r="W1660" s="85"/>
      <c r="X1660" s="85"/>
    </row>
    <row r="1661" spans="2:24" s="58" customFormat="1" ht="12" x14ac:dyDescent="0.2">
      <c r="B1661" s="91"/>
      <c r="E1661" s="92"/>
      <c r="F1661" s="93"/>
      <c r="G1661" s="94"/>
      <c r="H1661" s="94"/>
      <c r="I1661" s="94"/>
      <c r="J1661" s="94"/>
      <c r="K1661" s="93"/>
      <c r="L1661" s="86"/>
      <c r="M1661" s="86"/>
      <c r="N1661" s="86"/>
      <c r="O1661" s="86"/>
      <c r="P1661" s="86"/>
      <c r="Q1661" s="85"/>
      <c r="S1661" s="85"/>
      <c r="T1661" s="85"/>
      <c r="U1661" s="85"/>
      <c r="V1661" s="85"/>
      <c r="W1661" s="85"/>
      <c r="X1661" s="85"/>
    </row>
    <row r="1662" spans="2:24" s="58" customFormat="1" ht="12" x14ac:dyDescent="0.2">
      <c r="B1662" s="91"/>
      <c r="E1662" s="92"/>
      <c r="F1662" s="93"/>
      <c r="G1662" s="94"/>
      <c r="H1662" s="94"/>
      <c r="I1662" s="94"/>
      <c r="J1662" s="94"/>
      <c r="K1662" s="93"/>
      <c r="L1662" s="86"/>
      <c r="M1662" s="86"/>
      <c r="N1662" s="86"/>
      <c r="O1662" s="86"/>
      <c r="P1662" s="86"/>
      <c r="Q1662" s="85"/>
      <c r="S1662" s="85"/>
      <c r="T1662" s="85"/>
      <c r="U1662" s="85"/>
      <c r="V1662" s="85"/>
      <c r="W1662" s="85"/>
      <c r="X1662" s="85"/>
    </row>
    <row r="1663" spans="2:24" s="58" customFormat="1" ht="12" x14ac:dyDescent="0.2">
      <c r="B1663" s="91"/>
      <c r="E1663" s="92"/>
      <c r="F1663" s="93"/>
      <c r="G1663" s="94"/>
      <c r="H1663" s="94"/>
      <c r="I1663" s="94"/>
      <c r="J1663" s="94"/>
      <c r="K1663" s="93"/>
      <c r="L1663" s="86"/>
      <c r="M1663" s="86"/>
      <c r="N1663" s="86"/>
      <c r="O1663" s="86"/>
      <c r="P1663" s="86"/>
      <c r="Q1663" s="85"/>
      <c r="S1663" s="85"/>
      <c r="T1663" s="85"/>
      <c r="U1663" s="85"/>
      <c r="V1663" s="85"/>
      <c r="W1663" s="85"/>
      <c r="X1663" s="85"/>
    </row>
    <row r="1664" spans="2:24" s="58" customFormat="1" ht="12" x14ac:dyDescent="0.2">
      <c r="B1664" s="91"/>
      <c r="E1664" s="92"/>
      <c r="F1664" s="93"/>
      <c r="G1664" s="94"/>
      <c r="H1664" s="94"/>
      <c r="I1664" s="94"/>
      <c r="J1664" s="94"/>
      <c r="K1664" s="93"/>
      <c r="L1664" s="86"/>
      <c r="M1664" s="86"/>
      <c r="N1664" s="86"/>
      <c r="O1664" s="86"/>
      <c r="P1664" s="86"/>
      <c r="Q1664" s="85"/>
      <c r="S1664" s="85"/>
      <c r="T1664" s="85"/>
      <c r="U1664" s="85"/>
      <c r="V1664" s="85"/>
      <c r="W1664" s="85"/>
      <c r="X1664" s="85"/>
    </row>
    <row r="1665" spans="2:24" s="58" customFormat="1" ht="12" x14ac:dyDescent="0.2">
      <c r="B1665" s="91"/>
      <c r="E1665" s="92"/>
      <c r="F1665" s="93"/>
      <c r="G1665" s="94"/>
      <c r="H1665" s="94"/>
      <c r="I1665" s="94"/>
      <c r="J1665" s="94"/>
      <c r="K1665" s="93"/>
      <c r="L1665" s="86"/>
      <c r="M1665" s="86"/>
      <c r="N1665" s="86"/>
      <c r="O1665" s="86"/>
      <c r="P1665" s="86"/>
      <c r="Q1665" s="85"/>
      <c r="S1665" s="85"/>
      <c r="T1665" s="85"/>
      <c r="U1665" s="85"/>
      <c r="V1665" s="85"/>
      <c r="W1665" s="85"/>
      <c r="X1665" s="85"/>
    </row>
    <row r="1666" spans="2:24" s="58" customFormat="1" ht="12" x14ac:dyDescent="0.2">
      <c r="B1666" s="91"/>
      <c r="E1666" s="92"/>
      <c r="F1666" s="93"/>
      <c r="G1666" s="94"/>
      <c r="H1666" s="94"/>
      <c r="I1666" s="94"/>
      <c r="J1666" s="94"/>
      <c r="K1666" s="93"/>
      <c r="L1666" s="86"/>
      <c r="M1666" s="86"/>
      <c r="N1666" s="86"/>
      <c r="O1666" s="86"/>
      <c r="P1666" s="86"/>
      <c r="Q1666" s="85"/>
      <c r="S1666" s="85"/>
      <c r="T1666" s="85"/>
      <c r="U1666" s="85"/>
      <c r="V1666" s="85"/>
      <c r="W1666" s="85"/>
      <c r="X1666" s="85"/>
    </row>
    <row r="1667" spans="2:24" s="58" customFormat="1" ht="12" x14ac:dyDescent="0.2">
      <c r="B1667" s="91"/>
      <c r="E1667" s="92"/>
      <c r="F1667" s="93"/>
      <c r="G1667" s="94"/>
      <c r="H1667" s="94"/>
      <c r="I1667" s="94"/>
      <c r="J1667" s="94"/>
      <c r="K1667" s="93"/>
      <c r="L1667" s="86"/>
      <c r="M1667" s="86"/>
      <c r="N1667" s="86"/>
      <c r="O1667" s="86"/>
      <c r="P1667" s="86"/>
      <c r="Q1667" s="85"/>
      <c r="S1667" s="85"/>
      <c r="T1667" s="85"/>
      <c r="U1667" s="85"/>
      <c r="V1667" s="85"/>
      <c r="W1667" s="85"/>
      <c r="X1667" s="85"/>
    </row>
    <row r="1668" spans="2:24" s="58" customFormat="1" ht="12" x14ac:dyDescent="0.2">
      <c r="B1668" s="91"/>
      <c r="E1668" s="92"/>
      <c r="F1668" s="93"/>
      <c r="G1668" s="94"/>
      <c r="H1668" s="94"/>
      <c r="I1668" s="94"/>
      <c r="J1668" s="94"/>
      <c r="K1668" s="93"/>
      <c r="L1668" s="86"/>
      <c r="M1668" s="86"/>
      <c r="N1668" s="86"/>
      <c r="O1668" s="86"/>
      <c r="P1668" s="86"/>
      <c r="Q1668" s="85"/>
      <c r="S1668" s="85"/>
      <c r="T1668" s="85"/>
      <c r="U1668" s="85"/>
      <c r="V1668" s="85"/>
      <c r="W1668" s="85"/>
      <c r="X1668" s="85"/>
    </row>
    <row r="1669" spans="2:24" s="58" customFormat="1" ht="12" x14ac:dyDescent="0.2">
      <c r="B1669" s="91"/>
      <c r="E1669" s="92"/>
      <c r="F1669" s="93"/>
      <c r="G1669" s="94"/>
      <c r="H1669" s="94"/>
      <c r="I1669" s="94"/>
      <c r="J1669" s="94"/>
      <c r="K1669" s="93"/>
      <c r="L1669" s="86"/>
      <c r="M1669" s="86"/>
      <c r="N1669" s="86"/>
      <c r="O1669" s="86"/>
      <c r="P1669" s="86"/>
      <c r="Q1669" s="85"/>
      <c r="S1669" s="85"/>
      <c r="T1669" s="85"/>
      <c r="U1669" s="85"/>
      <c r="V1669" s="85"/>
      <c r="W1669" s="85"/>
      <c r="X1669" s="85"/>
    </row>
    <row r="1670" spans="2:24" s="58" customFormat="1" ht="12" x14ac:dyDescent="0.2">
      <c r="B1670" s="91"/>
      <c r="E1670" s="92"/>
      <c r="F1670" s="93"/>
      <c r="G1670" s="94"/>
      <c r="H1670" s="94"/>
      <c r="I1670" s="94"/>
      <c r="J1670" s="94"/>
      <c r="K1670" s="93"/>
      <c r="L1670" s="86"/>
      <c r="M1670" s="86"/>
      <c r="N1670" s="86"/>
      <c r="O1670" s="86"/>
      <c r="P1670" s="86"/>
      <c r="Q1670" s="85"/>
      <c r="S1670" s="85"/>
      <c r="T1670" s="85"/>
      <c r="U1670" s="85"/>
      <c r="V1670" s="85"/>
      <c r="W1670" s="85"/>
      <c r="X1670" s="85"/>
    </row>
    <row r="1671" spans="2:24" s="58" customFormat="1" ht="12" x14ac:dyDescent="0.2">
      <c r="B1671" s="91"/>
      <c r="E1671" s="92"/>
      <c r="F1671" s="93"/>
      <c r="G1671" s="94"/>
      <c r="H1671" s="94"/>
      <c r="I1671" s="94"/>
      <c r="J1671" s="94"/>
      <c r="K1671" s="93"/>
      <c r="L1671" s="86"/>
      <c r="M1671" s="86"/>
      <c r="N1671" s="86"/>
      <c r="O1671" s="86"/>
      <c r="P1671" s="86"/>
      <c r="Q1671" s="85"/>
      <c r="S1671" s="85"/>
      <c r="T1671" s="85"/>
      <c r="U1671" s="85"/>
      <c r="V1671" s="85"/>
      <c r="W1671" s="85"/>
      <c r="X1671" s="85"/>
    </row>
    <row r="1672" spans="2:24" s="58" customFormat="1" ht="12" x14ac:dyDescent="0.2">
      <c r="B1672" s="91"/>
      <c r="E1672" s="92"/>
      <c r="F1672" s="93"/>
      <c r="G1672" s="94"/>
      <c r="H1672" s="94"/>
      <c r="I1672" s="94"/>
      <c r="J1672" s="94"/>
      <c r="K1672" s="93"/>
      <c r="L1672" s="86"/>
      <c r="M1672" s="86"/>
      <c r="N1672" s="86"/>
      <c r="O1672" s="86"/>
      <c r="P1672" s="86"/>
      <c r="Q1672" s="85"/>
      <c r="S1672" s="85"/>
      <c r="T1672" s="85"/>
      <c r="U1672" s="85"/>
      <c r="V1672" s="85"/>
      <c r="W1672" s="85"/>
      <c r="X1672" s="85"/>
    </row>
    <row r="1673" spans="2:24" s="58" customFormat="1" ht="12" x14ac:dyDescent="0.2">
      <c r="B1673" s="91"/>
      <c r="E1673" s="92"/>
      <c r="F1673" s="93"/>
      <c r="G1673" s="94"/>
      <c r="H1673" s="94"/>
      <c r="I1673" s="94"/>
      <c r="J1673" s="94"/>
      <c r="K1673" s="93"/>
      <c r="L1673" s="86"/>
      <c r="M1673" s="86"/>
      <c r="N1673" s="86"/>
      <c r="O1673" s="86"/>
      <c r="P1673" s="86"/>
      <c r="Q1673" s="85"/>
      <c r="S1673" s="85"/>
      <c r="T1673" s="85"/>
      <c r="U1673" s="85"/>
      <c r="V1673" s="85"/>
      <c r="W1673" s="85"/>
      <c r="X1673" s="85"/>
    </row>
    <row r="1674" spans="2:24" s="58" customFormat="1" ht="12" x14ac:dyDescent="0.2">
      <c r="B1674" s="91"/>
      <c r="E1674" s="92"/>
      <c r="F1674" s="93"/>
      <c r="G1674" s="94"/>
      <c r="H1674" s="94"/>
      <c r="I1674" s="94"/>
      <c r="J1674" s="94"/>
      <c r="K1674" s="93"/>
      <c r="L1674" s="86"/>
      <c r="M1674" s="86"/>
      <c r="N1674" s="86"/>
      <c r="O1674" s="86"/>
      <c r="P1674" s="86"/>
      <c r="Q1674" s="85"/>
      <c r="S1674" s="85"/>
      <c r="T1674" s="85"/>
      <c r="U1674" s="85"/>
      <c r="V1674" s="85"/>
      <c r="W1674" s="85"/>
      <c r="X1674" s="85"/>
    </row>
    <row r="1675" spans="2:24" s="58" customFormat="1" ht="12" x14ac:dyDescent="0.2">
      <c r="B1675" s="91"/>
      <c r="E1675" s="92"/>
      <c r="F1675" s="93"/>
      <c r="G1675" s="94"/>
      <c r="H1675" s="94"/>
      <c r="I1675" s="94"/>
      <c r="J1675" s="94"/>
      <c r="K1675" s="93"/>
      <c r="L1675" s="86"/>
      <c r="M1675" s="86"/>
      <c r="N1675" s="86"/>
      <c r="O1675" s="86"/>
      <c r="P1675" s="86"/>
      <c r="Q1675" s="85"/>
      <c r="S1675" s="85"/>
      <c r="T1675" s="85"/>
      <c r="U1675" s="85"/>
      <c r="V1675" s="85"/>
      <c r="W1675" s="85"/>
      <c r="X1675" s="85"/>
    </row>
    <row r="1676" spans="2:24" s="58" customFormat="1" ht="12" x14ac:dyDescent="0.2">
      <c r="B1676" s="91"/>
      <c r="E1676" s="92"/>
      <c r="F1676" s="93"/>
      <c r="G1676" s="94"/>
      <c r="H1676" s="94"/>
      <c r="I1676" s="94"/>
      <c r="J1676" s="94"/>
      <c r="K1676" s="93"/>
      <c r="L1676" s="86"/>
      <c r="M1676" s="86"/>
      <c r="N1676" s="86"/>
      <c r="O1676" s="86"/>
      <c r="P1676" s="86"/>
      <c r="Q1676" s="85"/>
      <c r="S1676" s="85"/>
      <c r="T1676" s="85"/>
      <c r="U1676" s="85"/>
      <c r="V1676" s="85"/>
      <c r="W1676" s="85"/>
      <c r="X1676" s="85"/>
    </row>
    <row r="1677" spans="2:24" s="58" customFormat="1" ht="12" x14ac:dyDescent="0.2">
      <c r="B1677" s="91"/>
      <c r="E1677" s="92"/>
      <c r="F1677" s="93"/>
      <c r="G1677" s="94"/>
      <c r="H1677" s="94"/>
      <c r="I1677" s="94"/>
      <c r="J1677" s="94"/>
      <c r="K1677" s="93"/>
      <c r="L1677" s="86"/>
      <c r="M1677" s="86"/>
      <c r="N1677" s="86"/>
      <c r="O1677" s="86"/>
      <c r="P1677" s="86"/>
      <c r="Q1677" s="85"/>
      <c r="S1677" s="85"/>
      <c r="T1677" s="85"/>
      <c r="U1677" s="85"/>
      <c r="V1677" s="85"/>
      <c r="W1677" s="85"/>
      <c r="X1677" s="85"/>
    </row>
    <row r="1678" spans="2:24" s="58" customFormat="1" ht="12" x14ac:dyDescent="0.2">
      <c r="B1678" s="91"/>
      <c r="E1678" s="92"/>
      <c r="F1678" s="93"/>
      <c r="G1678" s="94"/>
      <c r="H1678" s="94"/>
      <c r="I1678" s="94"/>
      <c r="J1678" s="94"/>
      <c r="K1678" s="93"/>
      <c r="L1678" s="86"/>
      <c r="M1678" s="86"/>
      <c r="N1678" s="86"/>
      <c r="O1678" s="86"/>
      <c r="P1678" s="86"/>
      <c r="Q1678" s="85"/>
      <c r="S1678" s="85"/>
      <c r="T1678" s="85"/>
      <c r="U1678" s="85"/>
      <c r="V1678" s="85"/>
      <c r="W1678" s="85"/>
      <c r="X1678" s="85"/>
    </row>
    <row r="1679" spans="2:24" s="58" customFormat="1" ht="12" x14ac:dyDescent="0.2">
      <c r="B1679" s="91"/>
      <c r="E1679" s="92"/>
      <c r="F1679" s="93"/>
      <c r="G1679" s="94"/>
      <c r="H1679" s="94"/>
      <c r="I1679" s="94"/>
      <c r="J1679" s="94"/>
      <c r="K1679" s="93"/>
      <c r="L1679" s="86"/>
      <c r="M1679" s="86"/>
      <c r="N1679" s="86"/>
      <c r="O1679" s="86"/>
      <c r="P1679" s="86"/>
      <c r="Q1679" s="85"/>
      <c r="S1679" s="85"/>
      <c r="T1679" s="85"/>
      <c r="U1679" s="85"/>
      <c r="V1679" s="85"/>
      <c r="W1679" s="85"/>
      <c r="X1679" s="85"/>
    </row>
    <row r="1680" spans="2:24" s="58" customFormat="1" ht="12" x14ac:dyDescent="0.2">
      <c r="B1680" s="91"/>
      <c r="E1680" s="92"/>
      <c r="F1680" s="93"/>
      <c r="G1680" s="94"/>
      <c r="H1680" s="94"/>
      <c r="I1680" s="94"/>
      <c r="J1680" s="94"/>
      <c r="K1680" s="93"/>
      <c r="L1680" s="86"/>
      <c r="M1680" s="86"/>
      <c r="N1680" s="86"/>
      <c r="O1680" s="86"/>
      <c r="P1680" s="86"/>
      <c r="Q1680" s="85"/>
      <c r="S1680" s="85"/>
      <c r="T1680" s="85"/>
      <c r="U1680" s="85"/>
      <c r="V1680" s="85"/>
      <c r="W1680" s="85"/>
      <c r="X1680" s="85"/>
    </row>
    <row r="1681" spans="2:24" s="58" customFormat="1" ht="12" x14ac:dyDescent="0.2">
      <c r="B1681" s="91"/>
      <c r="E1681" s="92"/>
      <c r="F1681" s="93"/>
      <c r="G1681" s="94"/>
      <c r="H1681" s="94"/>
      <c r="I1681" s="94"/>
      <c r="J1681" s="94"/>
      <c r="K1681" s="93"/>
      <c r="L1681" s="86"/>
      <c r="M1681" s="86"/>
      <c r="N1681" s="86"/>
      <c r="O1681" s="86"/>
      <c r="P1681" s="86"/>
      <c r="Q1681" s="85"/>
      <c r="S1681" s="85"/>
      <c r="T1681" s="85"/>
      <c r="U1681" s="85"/>
      <c r="V1681" s="85"/>
      <c r="W1681" s="85"/>
      <c r="X1681" s="85"/>
    </row>
    <row r="1682" spans="2:24" s="58" customFormat="1" ht="12" x14ac:dyDescent="0.2">
      <c r="B1682" s="91"/>
      <c r="E1682" s="92"/>
      <c r="F1682" s="93"/>
      <c r="G1682" s="94"/>
      <c r="H1682" s="94"/>
      <c r="I1682" s="94"/>
      <c r="J1682" s="94"/>
      <c r="K1682" s="93"/>
      <c r="L1682" s="86"/>
      <c r="M1682" s="86"/>
      <c r="N1682" s="86"/>
      <c r="O1682" s="86"/>
      <c r="P1682" s="86"/>
      <c r="Q1682" s="85"/>
      <c r="S1682" s="85"/>
      <c r="T1682" s="85"/>
      <c r="U1682" s="85"/>
      <c r="V1682" s="85"/>
      <c r="W1682" s="85"/>
      <c r="X1682" s="85"/>
    </row>
    <row r="1683" spans="2:24" s="58" customFormat="1" ht="12" x14ac:dyDescent="0.2">
      <c r="B1683" s="91"/>
      <c r="E1683" s="92"/>
      <c r="F1683" s="93"/>
      <c r="G1683" s="94"/>
      <c r="H1683" s="94"/>
      <c r="I1683" s="94"/>
      <c r="J1683" s="94"/>
      <c r="K1683" s="93"/>
      <c r="L1683" s="86"/>
      <c r="M1683" s="86"/>
      <c r="N1683" s="86"/>
      <c r="O1683" s="86"/>
      <c r="P1683" s="86"/>
      <c r="Q1683" s="85"/>
      <c r="S1683" s="85"/>
      <c r="T1683" s="85"/>
      <c r="U1683" s="85"/>
      <c r="V1683" s="85"/>
      <c r="W1683" s="85"/>
      <c r="X1683" s="85"/>
    </row>
    <row r="1684" spans="2:24" s="58" customFormat="1" ht="12" x14ac:dyDescent="0.2">
      <c r="B1684" s="91"/>
      <c r="E1684" s="92"/>
      <c r="F1684" s="93"/>
      <c r="G1684" s="94"/>
      <c r="H1684" s="94"/>
      <c r="I1684" s="94"/>
      <c r="J1684" s="94"/>
      <c r="K1684" s="93"/>
      <c r="L1684" s="86"/>
      <c r="M1684" s="86"/>
      <c r="N1684" s="86"/>
      <c r="O1684" s="86"/>
      <c r="P1684" s="86"/>
      <c r="Q1684" s="85"/>
      <c r="S1684" s="85"/>
      <c r="T1684" s="85"/>
      <c r="U1684" s="85"/>
      <c r="V1684" s="85"/>
      <c r="W1684" s="85"/>
      <c r="X1684" s="85"/>
    </row>
    <row r="1685" spans="2:24" s="58" customFormat="1" ht="12" x14ac:dyDescent="0.2">
      <c r="B1685" s="91"/>
      <c r="E1685" s="92"/>
      <c r="F1685" s="93"/>
      <c r="G1685" s="94"/>
      <c r="H1685" s="94"/>
      <c r="I1685" s="94"/>
      <c r="J1685" s="94"/>
      <c r="K1685" s="93"/>
      <c r="L1685" s="86"/>
      <c r="M1685" s="86"/>
      <c r="N1685" s="86"/>
      <c r="O1685" s="86"/>
      <c r="P1685" s="86"/>
      <c r="Q1685" s="85"/>
      <c r="S1685" s="85"/>
      <c r="T1685" s="85"/>
      <c r="U1685" s="85"/>
      <c r="V1685" s="85"/>
      <c r="W1685" s="85"/>
      <c r="X1685" s="85"/>
    </row>
    <row r="1686" spans="2:24" s="58" customFormat="1" ht="12" x14ac:dyDescent="0.2">
      <c r="B1686" s="91"/>
      <c r="E1686" s="92"/>
      <c r="F1686" s="93"/>
      <c r="G1686" s="94"/>
      <c r="H1686" s="94"/>
      <c r="I1686" s="94"/>
      <c r="J1686" s="94"/>
      <c r="K1686" s="93"/>
      <c r="L1686" s="86"/>
      <c r="M1686" s="86"/>
      <c r="N1686" s="86"/>
      <c r="O1686" s="86"/>
      <c r="P1686" s="86"/>
      <c r="Q1686" s="85"/>
      <c r="S1686" s="85"/>
      <c r="T1686" s="85"/>
      <c r="U1686" s="85"/>
      <c r="V1686" s="85"/>
      <c r="W1686" s="85"/>
      <c r="X1686" s="85"/>
    </row>
    <row r="1687" spans="2:24" s="58" customFormat="1" ht="12" x14ac:dyDescent="0.2">
      <c r="B1687" s="91"/>
      <c r="E1687" s="92"/>
      <c r="F1687" s="93"/>
      <c r="G1687" s="94"/>
      <c r="H1687" s="94"/>
      <c r="I1687" s="94"/>
      <c r="J1687" s="94"/>
      <c r="K1687" s="93"/>
      <c r="L1687" s="86"/>
      <c r="M1687" s="86"/>
      <c r="N1687" s="86"/>
      <c r="O1687" s="86"/>
      <c r="P1687" s="86"/>
      <c r="Q1687" s="85"/>
      <c r="S1687" s="85"/>
      <c r="T1687" s="85"/>
      <c r="U1687" s="85"/>
      <c r="V1687" s="85"/>
      <c r="W1687" s="85"/>
      <c r="X1687" s="85"/>
    </row>
    <row r="1688" spans="2:24" s="58" customFormat="1" ht="12" x14ac:dyDescent="0.2">
      <c r="B1688" s="91"/>
      <c r="E1688" s="92"/>
      <c r="F1688" s="93"/>
      <c r="G1688" s="94"/>
      <c r="H1688" s="94"/>
      <c r="I1688" s="94"/>
      <c r="J1688" s="94"/>
      <c r="K1688" s="93"/>
      <c r="L1688" s="86"/>
      <c r="M1688" s="86"/>
      <c r="N1688" s="86"/>
      <c r="O1688" s="86"/>
      <c r="P1688" s="86"/>
      <c r="Q1688" s="85"/>
      <c r="S1688" s="85"/>
      <c r="T1688" s="85"/>
      <c r="U1688" s="85"/>
      <c r="V1688" s="85"/>
      <c r="W1688" s="85"/>
      <c r="X1688" s="85"/>
    </row>
    <row r="1689" spans="2:24" s="58" customFormat="1" ht="12" x14ac:dyDescent="0.2">
      <c r="B1689" s="91"/>
      <c r="E1689" s="92"/>
      <c r="F1689" s="93"/>
      <c r="G1689" s="94"/>
      <c r="H1689" s="94"/>
      <c r="I1689" s="94"/>
      <c r="J1689" s="94"/>
      <c r="K1689" s="93"/>
      <c r="L1689" s="86"/>
      <c r="M1689" s="86"/>
      <c r="N1689" s="86"/>
      <c r="O1689" s="86"/>
      <c r="P1689" s="86"/>
      <c r="Q1689" s="85"/>
      <c r="S1689" s="85"/>
      <c r="T1689" s="85"/>
      <c r="U1689" s="85"/>
      <c r="V1689" s="85"/>
      <c r="W1689" s="85"/>
      <c r="X1689" s="85"/>
    </row>
    <row r="1690" spans="2:24" s="58" customFormat="1" ht="12" x14ac:dyDescent="0.2">
      <c r="B1690" s="91"/>
      <c r="E1690" s="92"/>
      <c r="F1690" s="93"/>
      <c r="G1690" s="94"/>
      <c r="H1690" s="94"/>
      <c r="I1690" s="94"/>
      <c r="J1690" s="94"/>
      <c r="K1690" s="93"/>
      <c r="L1690" s="86"/>
      <c r="M1690" s="86"/>
      <c r="N1690" s="86"/>
      <c r="O1690" s="86"/>
      <c r="P1690" s="86"/>
      <c r="Q1690" s="85"/>
      <c r="S1690" s="85"/>
      <c r="T1690" s="85"/>
      <c r="U1690" s="85"/>
      <c r="V1690" s="85"/>
      <c r="W1690" s="85"/>
      <c r="X1690" s="85"/>
    </row>
    <row r="1691" spans="2:24" s="58" customFormat="1" ht="12" x14ac:dyDescent="0.2">
      <c r="B1691" s="91"/>
      <c r="E1691" s="92"/>
      <c r="F1691" s="93"/>
      <c r="G1691" s="94"/>
      <c r="H1691" s="94"/>
      <c r="I1691" s="94"/>
      <c r="J1691" s="94"/>
      <c r="K1691" s="93"/>
      <c r="L1691" s="86"/>
      <c r="M1691" s="86"/>
      <c r="N1691" s="86"/>
      <c r="O1691" s="86"/>
      <c r="P1691" s="86"/>
      <c r="Q1691" s="85"/>
      <c r="S1691" s="85"/>
      <c r="T1691" s="85"/>
      <c r="U1691" s="85"/>
      <c r="V1691" s="85"/>
      <c r="W1691" s="85"/>
      <c r="X1691" s="85"/>
    </row>
    <row r="1692" spans="2:24" s="58" customFormat="1" ht="12" x14ac:dyDescent="0.2">
      <c r="B1692" s="91"/>
      <c r="E1692" s="92"/>
      <c r="F1692" s="93"/>
      <c r="G1692" s="94"/>
      <c r="H1692" s="94"/>
      <c r="I1692" s="94"/>
      <c r="J1692" s="94"/>
      <c r="K1692" s="93"/>
      <c r="L1692" s="86"/>
      <c r="M1692" s="86"/>
      <c r="N1692" s="86"/>
      <c r="O1692" s="86"/>
      <c r="P1692" s="86"/>
      <c r="Q1692" s="85"/>
      <c r="S1692" s="85"/>
      <c r="T1692" s="85"/>
      <c r="U1692" s="85"/>
      <c r="V1692" s="85"/>
      <c r="W1692" s="85"/>
      <c r="X1692" s="85"/>
    </row>
    <row r="1693" spans="2:24" s="58" customFormat="1" ht="12" x14ac:dyDescent="0.2">
      <c r="B1693" s="91"/>
      <c r="E1693" s="92"/>
      <c r="F1693" s="93"/>
      <c r="G1693" s="94"/>
      <c r="H1693" s="94"/>
      <c r="I1693" s="94"/>
      <c r="J1693" s="94"/>
      <c r="K1693" s="93"/>
      <c r="L1693" s="86"/>
      <c r="M1693" s="86"/>
      <c r="N1693" s="86"/>
      <c r="O1693" s="86"/>
      <c r="P1693" s="86"/>
      <c r="Q1693" s="85"/>
      <c r="S1693" s="85"/>
      <c r="T1693" s="85"/>
      <c r="U1693" s="85"/>
      <c r="V1693" s="85"/>
      <c r="W1693" s="85"/>
      <c r="X1693" s="85"/>
    </row>
    <row r="1694" spans="2:24" s="58" customFormat="1" ht="12" x14ac:dyDescent="0.2">
      <c r="B1694" s="91"/>
      <c r="E1694" s="92"/>
      <c r="F1694" s="93"/>
      <c r="G1694" s="94"/>
      <c r="H1694" s="94"/>
      <c r="I1694" s="94"/>
      <c r="J1694" s="94"/>
      <c r="K1694" s="93"/>
      <c r="L1694" s="86"/>
      <c r="M1694" s="86"/>
      <c r="N1694" s="86"/>
      <c r="O1694" s="86"/>
      <c r="P1694" s="86"/>
      <c r="Q1694" s="85"/>
      <c r="S1694" s="85"/>
      <c r="T1694" s="85"/>
      <c r="U1694" s="85"/>
      <c r="V1694" s="85"/>
      <c r="W1694" s="85"/>
      <c r="X1694" s="85"/>
    </row>
    <row r="1695" spans="2:24" s="58" customFormat="1" ht="12" x14ac:dyDescent="0.2">
      <c r="B1695" s="91"/>
      <c r="E1695" s="92"/>
      <c r="F1695" s="93"/>
      <c r="G1695" s="94"/>
      <c r="H1695" s="94"/>
      <c r="I1695" s="94"/>
      <c r="J1695" s="94"/>
      <c r="K1695" s="93"/>
      <c r="L1695" s="86"/>
      <c r="M1695" s="86"/>
      <c r="N1695" s="86"/>
      <c r="O1695" s="86"/>
      <c r="P1695" s="86"/>
      <c r="Q1695" s="85"/>
      <c r="S1695" s="85"/>
      <c r="T1695" s="85"/>
      <c r="U1695" s="85"/>
      <c r="V1695" s="85"/>
      <c r="W1695" s="85"/>
      <c r="X1695" s="85"/>
    </row>
    <row r="1696" spans="2:24" s="58" customFormat="1" ht="12" x14ac:dyDescent="0.2">
      <c r="B1696" s="91"/>
      <c r="E1696" s="92"/>
      <c r="F1696" s="93"/>
      <c r="G1696" s="94"/>
      <c r="H1696" s="94"/>
      <c r="I1696" s="94"/>
      <c r="J1696" s="94"/>
      <c r="K1696" s="93"/>
      <c r="L1696" s="86"/>
      <c r="M1696" s="86"/>
      <c r="N1696" s="86"/>
      <c r="O1696" s="86"/>
      <c r="P1696" s="86"/>
      <c r="Q1696" s="85"/>
      <c r="S1696" s="85"/>
      <c r="T1696" s="85"/>
      <c r="U1696" s="85"/>
      <c r="V1696" s="85"/>
      <c r="W1696" s="85"/>
      <c r="X1696" s="85"/>
    </row>
    <row r="1697" spans="2:24" s="58" customFormat="1" ht="12" x14ac:dyDescent="0.2">
      <c r="B1697" s="91"/>
      <c r="E1697" s="92"/>
      <c r="F1697" s="93"/>
      <c r="G1697" s="94"/>
      <c r="H1697" s="94"/>
      <c r="I1697" s="94"/>
      <c r="J1697" s="94"/>
      <c r="K1697" s="93"/>
      <c r="L1697" s="86"/>
      <c r="M1697" s="86"/>
      <c r="N1697" s="86"/>
      <c r="O1697" s="86"/>
      <c r="P1697" s="86"/>
      <c r="Q1697" s="85"/>
      <c r="S1697" s="85"/>
      <c r="T1697" s="85"/>
      <c r="U1697" s="85"/>
      <c r="V1697" s="85"/>
      <c r="W1697" s="85"/>
      <c r="X1697" s="85"/>
    </row>
    <row r="1698" spans="2:24" s="58" customFormat="1" ht="12" x14ac:dyDescent="0.2">
      <c r="B1698" s="91"/>
      <c r="E1698" s="92"/>
      <c r="F1698" s="93"/>
      <c r="G1698" s="94"/>
      <c r="H1698" s="94"/>
      <c r="I1698" s="94"/>
      <c r="J1698" s="94"/>
      <c r="K1698" s="93"/>
      <c r="L1698" s="86"/>
      <c r="M1698" s="86"/>
      <c r="N1698" s="86"/>
      <c r="O1698" s="86"/>
      <c r="P1698" s="86"/>
      <c r="Q1698" s="85"/>
      <c r="S1698" s="85"/>
      <c r="T1698" s="85"/>
      <c r="U1698" s="85"/>
      <c r="V1698" s="85"/>
      <c r="W1698" s="85"/>
      <c r="X1698" s="85"/>
    </row>
    <row r="1699" spans="2:24" s="58" customFormat="1" ht="12" x14ac:dyDescent="0.2">
      <c r="B1699" s="91"/>
      <c r="E1699" s="92"/>
      <c r="F1699" s="93"/>
      <c r="G1699" s="94"/>
      <c r="H1699" s="94"/>
      <c r="I1699" s="94"/>
      <c r="J1699" s="94"/>
      <c r="K1699" s="93"/>
      <c r="L1699" s="86"/>
      <c r="M1699" s="86"/>
      <c r="N1699" s="86"/>
      <c r="O1699" s="86"/>
      <c r="P1699" s="86"/>
      <c r="Q1699" s="85"/>
      <c r="S1699" s="85"/>
      <c r="T1699" s="85"/>
      <c r="U1699" s="85"/>
      <c r="V1699" s="85"/>
      <c r="W1699" s="85"/>
      <c r="X1699" s="85"/>
    </row>
    <row r="1700" spans="2:24" s="58" customFormat="1" ht="12" x14ac:dyDescent="0.2">
      <c r="B1700" s="91"/>
      <c r="E1700" s="92"/>
      <c r="F1700" s="93"/>
      <c r="G1700" s="94"/>
      <c r="H1700" s="94"/>
      <c r="I1700" s="94"/>
      <c r="J1700" s="94"/>
      <c r="K1700" s="93"/>
      <c r="L1700" s="86"/>
      <c r="M1700" s="86"/>
      <c r="N1700" s="86"/>
      <c r="O1700" s="86"/>
      <c r="P1700" s="86"/>
      <c r="Q1700" s="85"/>
      <c r="S1700" s="85"/>
      <c r="T1700" s="85"/>
      <c r="U1700" s="85"/>
      <c r="V1700" s="85"/>
      <c r="W1700" s="85"/>
      <c r="X1700" s="85"/>
    </row>
    <row r="1701" spans="2:24" s="58" customFormat="1" ht="12" x14ac:dyDescent="0.2">
      <c r="B1701" s="91"/>
      <c r="E1701" s="92"/>
      <c r="F1701" s="93"/>
      <c r="G1701" s="94"/>
      <c r="H1701" s="94"/>
      <c r="I1701" s="94"/>
      <c r="J1701" s="94"/>
      <c r="K1701" s="93"/>
      <c r="L1701" s="86"/>
      <c r="M1701" s="86"/>
      <c r="N1701" s="86"/>
      <c r="O1701" s="86"/>
      <c r="P1701" s="86"/>
      <c r="Q1701" s="85"/>
      <c r="S1701" s="85"/>
      <c r="T1701" s="85"/>
      <c r="U1701" s="85"/>
      <c r="V1701" s="85"/>
      <c r="W1701" s="85"/>
      <c r="X1701" s="85"/>
    </row>
    <row r="1702" spans="2:24" s="58" customFormat="1" ht="12" x14ac:dyDescent="0.2">
      <c r="B1702" s="91"/>
      <c r="E1702" s="92"/>
      <c r="F1702" s="93"/>
      <c r="G1702" s="94"/>
      <c r="H1702" s="94"/>
      <c r="I1702" s="94"/>
      <c r="J1702" s="94"/>
      <c r="K1702" s="93"/>
      <c r="L1702" s="86"/>
      <c r="M1702" s="86"/>
      <c r="N1702" s="86"/>
      <c r="O1702" s="86"/>
      <c r="P1702" s="86"/>
      <c r="Q1702" s="85"/>
      <c r="S1702" s="85"/>
      <c r="T1702" s="85"/>
      <c r="U1702" s="85"/>
      <c r="V1702" s="85"/>
      <c r="W1702" s="85"/>
      <c r="X1702" s="85"/>
    </row>
    <row r="1703" spans="2:24" s="58" customFormat="1" ht="12" x14ac:dyDescent="0.2">
      <c r="B1703" s="91"/>
      <c r="E1703" s="92"/>
      <c r="F1703" s="93"/>
      <c r="G1703" s="94"/>
      <c r="H1703" s="94"/>
      <c r="I1703" s="94"/>
      <c r="J1703" s="94"/>
      <c r="K1703" s="93"/>
      <c r="L1703" s="86"/>
      <c r="M1703" s="86"/>
      <c r="N1703" s="86"/>
      <c r="O1703" s="86"/>
      <c r="P1703" s="86"/>
      <c r="Q1703" s="85"/>
      <c r="S1703" s="85"/>
      <c r="T1703" s="85"/>
      <c r="U1703" s="85"/>
      <c r="V1703" s="85"/>
      <c r="W1703" s="85"/>
      <c r="X1703" s="85"/>
    </row>
    <row r="1704" spans="2:24" s="58" customFormat="1" ht="12" x14ac:dyDescent="0.2">
      <c r="B1704" s="91"/>
      <c r="E1704" s="92"/>
      <c r="F1704" s="93"/>
      <c r="G1704" s="94"/>
      <c r="H1704" s="94"/>
      <c r="I1704" s="94"/>
      <c r="J1704" s="94"/>
      <c r="K1704" s="93"/>
      <c r="L1704" s="86"/>
      <c r="M1704" s="86"/>
      <c r="N1704" s="86"/>
      <c r="O1704" s="86"/>
      <c r="P1704" s="86"/>
      <c r="Q1704" s="85"/>
      <c r="S1704" s="85"/>
      <c r="T1704" s="85"/>
      <c r="U1704" s="85"/>
      <c r="V1704" s="85"/>
      <c r="W1704" s="85"/>
      <c r="X1704" s="85"/>
    </row>
    <row r="1705" spans="2:24" s="58" customFormat="1" ht="12" x14ac:dyDescent="0.2">
      <c r="B1705" s="91"/>
      <c r="E1705" s="92"/>
      <c r="F1705" s="93"/>
      <c r="G1705" s="94"/>
      <c r="H1705" s="94"/>
      <c r="I1705" s="94"/>
      <c r="J1705" s="94"/>
      <c r="K1705" s="93"/>
      <c r="L1705" s="86"/>
      <c r="M1705" s="86"/>
      <c r="N1705" s="86"/>
      <c r="O1705" s="86"/>
      <c r="P1705" s="86"/>
      <c r="Q1705" s="85"/>
      <c r="S1705" s="85"/>
      <c r="T1705" s="85"/>
      <c r="U1705" s="85"/>
      <c r="V1705" s="85"/>
      <c r="W1705" s="85"/>
      <c r="X1705" s="85"/>
    </row>
    <row r="1706" spans="2:24" s="58" customFormat="1" ht="12" x14ac:dyDescent="0.2">
      <c r="B1706" s="91"/>
      <c r="E1706" s="92"/>
      <c r="F1706" s="93"/>
      <c r="G1706" s="94"/>
      <c r="H1706" s="94"/>
      <c r="I1706" s="94"/>
      <c r="J1706" s="94"/>
      <c r="K1706" s="93"/>
      <c r="L1706" s="86"/>
      <c r="M1706" s="86"/>
      <c r="N1706" s="86"/>
      <c r="O1706" s="86"/>
      <c r="P1706" s="86"/>
      <c r="Q1706" s="85"/>
      <c r="S1706" s="85"/>
      <c r="T1706" s="85"/>
      <c r="U1706" s="85"/>
      <c r="V1706" s="85"/>
      <c r="W1706" s="85"/>
      <c r="X1706" s="85"/>
    </row>
    <row r="1707" spans="2:24" s="58" customFormat="1" ht="12" x14ac:dyDescent="0.2">
      <c r="B1707" s="91"/>
      <c r="E1707" s="92"/>
      <c r="F1707" s="93"/>
      <c r="G1707" s="94"/>
      <c r="H1707" s="94"/>
      <c r="I1707" s="94"/>
      <c r="J1707" s="94"/>
      <c r="K1707" s="93"/>
      <c r="L1707" s="86"/>
      <c r="M1707" s="86"/>
      <c r="N1707" s="86"/>
      <c r="O1707" s="86"/>
      <c r="P1707" s="86"/>
      <c r="Q1707" s="85"/>
      <c r="S1707" s="85"/>
      <c r="T1707" s="85"/>
      <c r="U1707" s="85"/>
      <c r="V1707" s="85"/>
      <c r="W1707" s="85"/>
      <c r="X1707" s="85"/>
    </row>
    <row r="1708" spans="2:24" s="58" customFormat="1" ht="12" x14ac:dyDescent="0.2">
      <c r="B1708" s="91"/>
      <c r="E1708" s="92"/>
      <c r="F1708" s="93"/>
      <c r="G1708" s="94"/>
      <c r="H1708" s="94"/>
      <c r="I1708" s="94"/>
      <c r="J1708" s="94"/>
      <c r="K1708" s="93"/>
      <c r="L1708" s="86"/>
      <c r="M1708" s="86"/>
      <c r="N1708" s="86"/>
      <c r="O1708" s="86"/>
      <c r="P1708" s="86"/>
      <c r="Q1708" s="85"/>
      <c r="S1708" s="85"/>
      <c r="T1708" s="85"/>
      <c r="U1708" s="85"/>
      <c r="V1708" s="85"/>
      <c r="W1708" s="85"/>
      <c r="X1708" s="85"/>
    </row>
    <row r="1709" spans="2:24" s="58" customFormat="1" ht="12" x14ac:dyDescent="0.2">
      <c r="B1709" s="91"/>
      <c r="E1709" s="92"/>
      <c r="F1709" s="93"/>
      <c r="G1709" s="94"/>
      <c r="H1709" s="94"/>
      <c r="I1709" s="94"/>
      <c r="J1709" s="94"/>
      <c r="K1709" s="93"/>
      <c r="L1709" s="86"/>
      <c r="M1709" s="86"/>
      <c r="N1709" s="86"/>
      <c r="O1709" s="86"/>
      <c r="P1709" s="86"/>
      <c r="Q1709" s="85"/>
      <c r="S1709" s="85"/>
      <c r="T1709" s="85"/>
      <c r="U1709" s="85"/>
      <c r="V1709" s="85"/>
      <c r="W1709" s="85"/>
      <c r="X1709" s="85"/>
    </row>
    <row r="1710" spans="2:24" s="58" customFormat="1" ht="12" x14ac:dyDescent="0.2">
      <c r="B1710" s="91"/>
      <c r="E1710" s="92"/>
      <c r="F1710" s="93"/>
      <c r="G1710" s="94"/>
      <c r="H1710" s="94"/>
      <c r="I1710" s="94"/>
      <c r="J1710" s="94"/>
      <c r="K1710" s="93"/>
      <c r="L1710" s="86"/>
      <c r="M1710" s="86"/>
      <c r="N1710" s="86"/>
      <c r="O1710" s="86"/>
      <c r="P1710" s="86"/>
      <c r="Q1710" s="85"/>
      <c r="S1710" s="85"/>
      <c r="T1710" s="85"/>
      <c r="U1710" s="85"/>
      <c r="V1710" s="85"/>
      <c r="W1710" s="85"/>
      <c r="X1710" s="85"/>
    </row>
    <row r="1711" spans="2:24" s="58" customFormat="1" ht="12" x14ac:dyDescent="0.2">
      <c r="B1711" s="91"/>
      <c r="E1711" s="92"/>
      <c r="F1711" s="93"/>
      <c r="G1711" s="94"/>
      <c r="H1711" s="94"/>
      <c r="I1711" s="94"/>
      <c r="J1711" s="94"/>
      <c r="K1711" s="93"/>
      <c r="L1711" s="86"/>
      <c r="M1711" s="86"/>
      <c r="N1711" s="86"/>
      <c r="O1711" s="86"/>
      <c r="P1711" s="86"/>
      <c r="Q1711" s="85"/>
      <c r="S1711" s="85"/>
      <c r="T1711" s="85"/>
      <c r="U1711" s="85"/>
      <c r="V1711" s="85"/>
      <c r="W1711" s="85"/>
      <c r="X1711" s="85"/>
    </row>
    <row r="1712" spans="2:24" s="58" customFormat="1" ht="12" x14ac:dyDescent="0.2">
      <c r="B1712" s="91"/>
      <c r="E1712" s="92"/>
      <c r="F1712" s="93"/>
      <c r="G1712" s="94"/>
      <c r="H1712" s="94"/>
      <c r="I1712" s="94"/>
      <c r="J1712" s="94"/>
      <c r="K1712" s="93"/>
      <c r="L1712" s="86"/>
      <c r="M1712" s="86"/>
      <c r="N1712" s="86"/>
      <c r="O1712" s="86"/>
      <c r="P1712" s="86"/>
      <c r="Q1712" s="85"/>
      <c r="S1712" s="85"/>
      <c r="T1712" s="85"/>
      <c r="U1712" s="85"/>
      <c r="V1712" s="85"/>
      <c r="W1712" s="85"/>
      <c r="X1712" s="85"/>
    </row>
    <row r="1713" spans="2:24" s="58" customFormat="1" ht="12" x14ac:dyDescent="0.2">
      <c r="B1713" s="91"/>
      <c r="E1713" s="92"/>
      <c r="F1713" s="93"/>
      <c r="G1713" s="94"/>
      <c r="H1713" s="94"/>
      <c r="I1713" s="94"/>
      <c r="J1713" s="94"/>
      <c r="K1713" s="93"/>
      <c r="L1713" s="86"/>
      <c r="M1713" s="86"/>
      <c r="N1713" s="86"/>
      <c r="O1713" s="86"/>
      <c r="P1713" s="86"/>
      <c r="Q1713" s="85"/>
      <c r="S1713" s="85"/>
      <c r="T1713" s="85"/>
      <c r="U1713" s="85"/>
      <c r="V1713" s="85"/>
      <c r="W1713" s="85"/>
      <c r="X1713" s="85"/>
    </row>
    <row r="1714" spans="2:24" s="58" customFormat="1" ht="12" x14ac:dyDescent="0.2">
      <c r="B1714" s="91"/>
      <c r="E1714" s="92"/>
      <c r="F1714" s="93"/>
      <c r="G1714" s="94"/>
      <c r="H1714" s="94"/>
      <c r="I1714" s="94"/>
      <c r="J1714" s="94"/>
      <c r="K1714" s="93"/>
      <c r="L1714" s="86"/>
      <c r="M1714" s="86"/>
      <c r="N1714" s="86"/>
      <c r="O1714" s="86"/>
      <c r="P1714" s="86"/>
      <c r="Q1714" s="85"/>
      <c r="S1714" s="85"/>
      <c r="T1714" s="85"/>
      <c r="U1714" s="85"/>
      <c r="V1714" s="85"/>
      <c r="W1714" s="85"/>
      <c r="X1714" s="85"/>
    </row>
    <row r="1715" spans="2:24" s="58" customFormat="1" ht="12" x14ac:dyDescent="0.2">
      <c r="B1715" s="91"/>
      <c r="E1715" s="92"/>
      <c r="F1715" s="93"/>
      <c r="G1715" s="94"/>
      <c r="H1715" s="94"/>
      <c r="I1715" s="94"/>
      <c r="J1715" s="94"/>
      <c r="K1715" s="93"/>
      <c r="L1715" s="86"/>
      <c r="M1715" s="86"/>
      <c r="N1715" s="86"/>
      <c r="O1715" s="86"/>
      <c r="P1715" s="86"/>
      <c r="Q1715" s="85"/>
      <c r="S1715" s="85"/>
      <c r="T1715" s="85"/>
      <c r="U1715" s="85"/>
      <c r="V1715" s="85"/>
      <c r="W1715" s="85"/>
      <c r="X1715" s="85"/>
    </row>
    <row r="1716" spans="2:24" s="58" customFormat="1" ht="12" x14ac:dyDescent="0.2">
      <c r="B1716" s="91"/>
      <c r="E1716" s="92"/>
      <c r="F1716" s="93"/>
      <c r="G1716" s="94"/>
      <c r="H1716" s="94"/>
      <c r="I1716" s="94"/>
      <c r="J1716" s="94"/>
      <c r="K1716" s="93"/>
      <c r="L1716" s="86"/>
      <c r="M1716" s="86"/>
      <c r="N1716" s="86"/>
      <c r="O1716" s="86"/>
      <c r="P1716" s="86"/>
      <c r="Q1716" s="85"/>
      <c r="S1716" s="85"/>
      <c r="T1716" s="85"/>
      <c r="U1716" s="85"/>
      <c r="V1716" s="85"/>
      <c r="W1716" s="85"/>
      <c r="X1716" s="85"/>
    </row>
    <row r="1717" spans="2:24" s="58" customFormat="1" ht="12" x14ac:dyDescent="0.2">
      <c r="B1717" s="91"/>
      <c r="E1717" s="92"/>
      <c r="F1717" s="93"/>
      <c r="G1717" s="94"/>
      <c r="H1717" s="94"/>
      <c r="I1717" s="94"/>
      <c r="J1717" s="94"/>
      <c r="K1717" s="93"/>
      <c r="L1717" s="86"/>
      <c r="M1717" s="86"/>
      <c r="N1717" s="86"/>
      <c r="O1717" s="86"/>
      <c r="P1717" s="86"/>
      <c r="Q1717" s="85"/>
      <c r="S1717" s="85"/>
      <c r="T1717" s="85"/>
      <c r="U1717" s="85"/>
      <c r="V1717" s="85"/>
      <c r="W1717" s="85"/>
      <c r="X1717" s="85"/>
    </row>
    <row r="1718" spans="2:24" s="58" customFormat="1" ht="12" x14ac:dyDescent="0.2">
      <c r="B1718" s="91"/>
      <c r="E1718" s="92"/>
      <c r="F1718" s="93"/>
      <c r="G1718" s="94"/>
      <c r="H1718" s="94"/>
      <c r="I1718" s="94"/>
      <c r="J1718" s="94"/>
      <c r="K1718" s="93"/>
      <c r="L1718" s="86"/>
      <c r="M1718" s="86"/>
      <c r="N1718" s="86"/>
      <c r="O1718" s="86"/>
      <c r="P1718" s="86"/>
      <c r="Q1718" s="85"/>
      <c r="S1718" s="85"/>
      <c r="T1718" s="85"/>
      <c r="U1718" s="85"/>
      <c r="V1718" s="85"/>
      <c r="W1718" s="85"/>
      <c r="X1718" s="85"/>
    </row>
    <row r="1719" spans="2:24" s="58" customFormat="1" ht="12" x14ac:dyDescent="0.2">
      <c r="B1719" s="91"/>
      <c r="E1719" s="92"/>
      <c r="F1719" s="93"/>
      <c r="G1719" s="94"/>
      <c r="H1719" s="94"/>
      <c r="I1719" s="94"/>
      <c r="J1719" s="94"/>
      <c r="K1719" s="93"/>
      <c r="L1719" s="86"/>
      <c r="M1719" s="86"/>
      <c r="N1719" s="86"/>
      <c r="O1719" s="86"/>
      <c r="P1719" s="86"/>
      <c r="Q1719" s="85"/>
      <c r="S1719" s="85"/>
      <c r="T1719" s="85"/>
      <c r="U1719" s="85"/>
      <c r="V1719" s="85"/>
      <c r="W1719" s="85"/>
      <c r="X1719" s="85"/>
    </row>
    <row r="1720" spans="2:24" s="58" customFormat="1" ht="12" x14ac:dyDescent="0.2">
      <c r="B1720" s="91"/>
      <c r="E1720" s="92"/>
      <c r="F1720" s="93"/>
      <c r="G1720" s="94"/>
      <c r="H1720" s="94"/>
      <c r="I1720" s="94"/>
      <c r="J1720" s="94"/>
      <c r="K1720" s="93"/>
      <c r="L1720" s="86"/>
      <c r="M1720" s="86"/>
      <c r="N1720" s="86"/>
      <c r="O1720" s="86"/>
      <c r="P1720" s="86"/>
      <c r="Q1720" s="85"/>
      <c r="S1720" s="85"/>
      <c r="T1720" s="85"/>
      <c r="U1720" s="85"/>
      <c r="V1720" s="85"/>
      <c r="W1720" s="85"/>
      <c r="X1720" s="85"/>
    </row>
    <row r="1721" spans="2:24" s="58" customFormat="1" ht="12" x14ac:dyDescent="0.2">
      <c r="B1721" s="91"/>
      <c r="E1721" s="92"/>
      <c r="F1721" s="93"/>
      <c r="G1721" s="94"/>
      <c r="H1721" s="94"/>
      <c r="I1721" s="94"/>
      <c r="J1721" s="94"/>
      <c r="K1721" s="93"/>
      <c r="L1721" s="86"/>
      <c r="M1721" s="86"/>
      <c r="N1721" s="86"/>
      <c r="O1721" s="86"/>
      <c r="P1721" s="86"/>
      <c r="Q1721" s="85"/>
      <c r="S1721" s="85"/>
      <c r="T1721" s="85"/>
      <c r="U1721" s="85"/>
      <c r="V1721" s="85"/>
      <c r="W1721" s="85"/>
      <c r="X1721" s="85"/>
    </row>
    <row r="1722" spans="2:24" s="58" customFormat="1" ht="12" x14ac:dyDescent="0.2">
      <c r="B1722" s="91"/>
      <c r="E1722" s="92"/>
      <c r="F1722" s="93"/>
      <c r="G1722" s="94"/>
      <c r="H1722" s="94"/>
      <c r="I1722" s="94"/>
      <c r="J1722" s="94"/>
      <c r="K1722" s="93"/>
      <c r="L1722" s="86"/>
      <c r="M1722" s="86"/>
      <c r="N1722" s="86"/>
      <c r="O1722" s="86"/>
      <c r="P1722" s="86"/>
      <c r="Q1722" s="85"/>
      <c r="S1722" s="85"/>
      <c r="T1722" s="85"/>
      <c r="U1722" s="85"/>
      <c r="V1722" s="85"/>
      <c r="W1722" s="85"/>
      <c r="X1722" s="85"/>
    </row>
    <row r="1723" spans="2:24" s="58" customFormat="1" ht="12" x14ac:dyDescent="0.2">
      <c r="B1723" s="91"/>
      <c r="E1723" s="92"/>
      <c r="F1723" s="93"/>
      <c r="G1723" s="94"/>
      <c r="H1723" s="94"/>
      <c r="I1723" s="94"/>
      <c r="J1723" s="94"/>
      <c r="K1723" s="93"/>
      <c r="L1723" s="86"/>
      <c r="M1723" s="86"/>
      <c r="N1723" s="86"/>
      <c r="O1723" s="86"/>
      <c r="P1723" s="86"/>
      <c r="Q1723" s="85"/>
      <c r="S1723" s="85"/>
      <c r="T1723" s="85"/>
      <c r="U1723" s="85"/>
      <c r="V1723" s="85"/>
      <c r="W1723" s="85"/>
      <c r="X1723" s="85"/>
    </row>
    <row r="1724" spans="2:24" s="58" customFormat="1" ht="12" x14ac:dyDescent="0.2">
      <c r="B1724" s="91"/>
      <c r="E1724" s="92"/>
      <c r="F1724" s="93"/>
      <c r="G1724" s="94"/>
      <c r="H1724" s="94"/>
      <c r="I1724" s="94"/>
      <c r="J1724" s="94"/>
      <c r="K1724" s="93"/>
      <c r="L1724" s="86"/>
      <c r="M1724" s="86"/>
      <c r="N1724" s="86"/>
      <c r="O1724" s="86"/>
      <c r="P1724" s="86"/>
      <c r="Q1724" s="85"/>
      <c r="S1724" s="85"/>
      <c r="T1724" s="85"/>
      <c r="U1724" s="85"/>
      <c r="V1724" s="85"/>
      <c r="W1724" s="85"/>
      <c r="X1724" s="85"/>
    </row>
    <row r="1725" spans="2:24" s="58" customFormat="1" ht="12" x14ac:dyDescent="0.2">
      <c r="B1725" s="91"/>
      <c r="E1725" s="92"/>
      <c r="F1725" s="93"/>
      <c r="G1725" s="94"/>
      <c r="H1725" s="94"/>
      <c r="I1725" s="94"/>
      <c r="J1725" s="94"/>
      <c r="K1725" s="93"/>
      <c r="L1725" s="86"/>
      <c r="M1725" s="86"/>
      <c r="N1725" s="86"/>
      <c r="O1725" s="86"/>
      <c r="P1725" s="86"/>
      <c r="Q1725" s="85"/>
      <c r="S1725" s="85"/>
      <c r="T1725" s="85"/>
      <c r="U1725" s="85"/>
      <c r="V1725" s="85"/>
      <c r="W1725" s="85"/>
      <c r="X1725" s="85"/>
    </row>
    <row r="1726" spans="2:24" s="58" customFormat="1" ht="12" x14ac:dyDescent="0.2">
      <c r="B1726" s="91"/>
      <c r="E1726" s="92"/>
      <c r="F1726" s="93"/>
      <c r="G1726" s="94"/>
      <c r="H1726" s="94"/>
      <c r="I1726" s="94"/>
      <c r="J1726" s="94"/>
      <c r="K1726" s="93"/>
      <c r="L1726" s="86"/>
      <c r="M1726" s="86"/>
      <c r="N1726" s="86"/>
      <c r="O1726" s="86"/>
      <c r="P1726" s="86"/>
      <c r="Q1726" s="85"/>
      <c r="S1726" s="85"/>
      <c r="T1726" s="85"/>
      <c r="U1726" s="85"/>
      <c r="V1726" s="85"/>
      <c r="W1726" s="85"/>
      <c r="X1726" s="85"/>
    </row>
    <row r="1727" spans="2:24" s="58" customFormat="1" ht="12" x14ac:dyDescent="0.2">
      <c r="B1727" s="91"/>
      <c r="E1727" s="92"/>
      <c r="F1727" s="93"/>
      <c r="G1727" s="94"/>
      <c r="H1727" s="94"/>
      <c r="I1727" s="94"/>
      <c r="J1727" s="94"/>
      <c r="K1727" s="93"/>
      <c r="L1727" s="86"/>
      <c r="M1727" s="86"/>
      <c r="N1727" s="86"/>
      <c r="O1727" s="86"/>
      <c r="P1727" s="86"/>
      <c r="Q1727" s="85"/>
      <c r="S1727" s="85"/>
      <c r="T1727" s="85"/>
      <c r="U1727" s="85"/>
      <c r="V1727" s="85"/>
      <c r="W1727" s="85"/>
      <c r="X1727" s="85"/>
    </row>
    <row r="1728" spans="2:24" s="58" customFormat="1" ht="12" x14ac:dyDescent="0.2">
      <c r="B1728" s="91"/>
      <c r="E1728" s="92"/>
      <c r="F1728" s="93"/>
      <c r="G1728" s="94"/>
      <c r="H1728" s="94"/>
      <c r="I1728" s="94"/>
      <c r="J1728" s="94"/>
      <c r="K1728" s="93"/>
      <c r="L1728" s="86"/>
      <c r="M1728" s="86"/>
      <c r="N1728" s="86"/>
      <c r="O1728" s="86"/>
      <c r="P1728" s="86"/>
      <c r="Q1728" s="85"/>
      <c r="S1728" s="85"/>
      <c r="T1728" s="85"/>
      <c r="U1728" s="85"/>
      <c r="V1728" s="85"/>
      <c r="W1728" s="85"/>
      <c r="X1728" s="85"/>
    </row>
    <row r="1729" spans="2:24" s="58" customFormat="1" ht="12" x14ac:dyDescent="0.2">
      <c r="B1729" s="91"/>
      <c r="E1729" s="92"/>
      <c r="F1729" s="93"/>
      <c r="G1729" s="94"/>
      <c r="H1729" s="94"/>
      <c r="I1729" s="94"/>
      <c r="J1729" s="94"/>
      <c r="K1729" s="93"/>
      <c r="L1729" s="86"/>
      <c r="M1729" s="86"/>
      <c r="N1729" s="86"/>
      <c r="O1729" s="86"/>
      <c r="P1729" s="86"/>
      <c r="Q1729" s="85"/>
      <c r="S1729" s="85"/>
      <c r="T1729" s="85"/>
      <c r="U1729" s="85"/>
      <c r="V1729" s="85"/>
      <c r="W1729" s="85"/>
      <c r="X1729" s="85"/>
    </row>
    <row r="1730" spans="2:24" s="58" customFormat="1" ht="12" x14ac:dyDescent="0.2">
      <c r="B1730" s="91"/>
      <c r="E1730" s="92"/>
      <c r="F1730" s="93"/>
      <c r="G1730" s="94"/>
      <c r="H1730" s="94"/>
      <c r="I1730" s="94"/>
      <c r="J1730" s="94"/>
      <c r="K1730" s="93"/>
      <c r="L1730" s="86"/>
      <c r="M1730" s="86"/>
      <c r="N1730" s="86"/>
      <c r="O1730" s="86"/>
      <c r="P1730" s="86"/>
      <c r="Q1730" s="85"/>
      <c r="S1730" s="85"/>
      <c r="T1730" s="85"/>
      <c r="U1730" s="85"/>
      <c r="V1730" s="85"/>
      <c r="W1730" s="85"/>
      <c r="X1730" s="85"/>
    </row>
    <row r="1731" spans="2:24" s="58" customFormat="1" ht="12" x14ac:dyDescent="0.2">
      <c r="B1731" s="91"/>
      <c r="E1731" s="92"/>
      <c r="F1731" s="93"/>
      <c r="G1731" s="94"/>
      <c r="H1731" s="94"/>
      <c r="I1731" s="94"/>
      <c r="J1731" s="94"/>
      <c r="K1731" s="93"/>
      <c r="L1731" s="86"/>
      <c r="M1731" s="86"/>
      <c r="N1731" s="86"/>
      <c r="O1731" s="86"/>
      <c r="P1731" s="86"/>
      <c r="Q1731" s="85"/>
      <c r="S1731" s="85"/>
      <c r="T1731" s="85"/>
      <c r="U1731" s="85"/>
      <c r="V1731" s="85"/>
      <c r="W1731" s="85"/>
      <c r="X1731" s="85"/>
    </row>
    <row r="1732" spans="2:24" s="58" customFormat="1" ht="12" x14ac:dyDescent="0.2">
      <c r="B1732" s="91"/>
      <c r="E1732" s="92"/>
      <c r="F1732" s="93"/>
      <c r="G1732" s="94"/>
      <c r="H1732" s="94"/>
      <c r="I1732" s="94"/>
      <c r="J1732" s="94"/>
      <c r="K1732" s="93"/>
      <c r="L1732" s="86"/>
      <c r="M1732" s="86"/>
      <c r="N1732" s="86"/>
      <c r="O1732" s="86"/>
      <c r="P1732" s="86"/>
      <c r="Q1732" s="85"/>
      <c r="S1732" s="85"/>
      <c r="T1732" s="85"/>
      <c r="U1732" s="85"/>
      <c r="V1732" s="85"/>
      <c r="W1732" s="85"/>
      <c r="X1732" s="85"/>
    </row>
    <row r="1733" spans="2:24" s="58" customFormat="1" ht="12" x14ac:dyDescent="0.2">
      <c r="B1733" s="91"/>
      <c r="E1733" s="92"/>
      <c r="F1733" s="93"/>
      <c r="G1733" s="94"/>
      <c r="H1733" s="94"/>
      <c r="I1733" s="94"/>
      <c r="J1733" s="94"/>
      <c r="K1733" s="93"/>
      <c r="L1733" s="86"/>
      <c r="M1733" s="86"/>
      <c r="N1733" s="86"/>
      <c r="O1733" s="86"/>
      <c r="P1733" s="86"/>
      <c r="Q1733" s="85"/>
      <c r="S1733" s="85"/>
      <c r="T1733" s="85"/>
      <c r="U1733" s="85"/>
      <c r="V1733" s="85"/>
      <c r="W1733" s="85"/>
      <c r="X1733" s="85"/>
    </row>
    <row r="1734" spans="2:24" s="58" customFormat="1" ht="12" x14ac:dyDescent="0.2">
      <c r="B1734" s="91"/>
      <c r="E1734" s="92"/>
      <c r="F1734" s="93"/>
      <c r="G1734" s="94"/>
      <c r="H1734" s="94"/>
      <c r="I1734" s="94"/>
      <c r="J1734" s="94"/>
      <c r="K1734" s="93"/>
      <c r="L1734" s="86"/>
      <c r="M1734" s="86"/>
      <c r="N1734" s="86"/>
      <c r="O1734" s="86"/>
      <c r="P1734" s="86"/>
      <c r="Q1734" s="85"/>
      <c r="S1734" s="85"/>
      <c r="T1734" s="85"/>
      <c r="U1734" s="85"/>
      <c r="V1734" s="85"/>
      <c r="W1734" s="85"/>
      <c r="X1734" s="85"/>
    </row>
    <row r="1735" spans="2:24" s="58" customFormat="1" ht="12" x14ac:dyDescent="0.2">
      <c r="B1735" s="91"/>
      <c r="E1735" s="92"/>
      <c r="F1735" s="93"/>
      <c r="G1735" s="94"/>
      <c r="H1735" s="94"/>
      <c r="I1735" s="94"/>
      <c r="J1735" s="94"/>
      <c r="K1735" s="93"/>
      <c r="L1735" s="86"/>
      <c r="M1735" s="86"/>
      <c r="N1735" s="86"/>
      <c r="O1735" s="86"/>
      <c r="P1735" s="86"/>
      <c r="Q1735" s="85"/>
      <c r="S1735" s="85"/>
      <c r="T1735" s="85"/>
      <c r="U1735" s="85"/>
      <c r="V1735" s="85"/>
      <c r="W1735" s="85"/>
      <c r="X1735" s="85"/>
    </row>
    <row r="1736" spans="2:24" s="58" customFormat="1" ht="12" x14ac:dyDescent="0.2">
      <c r="B1736" s="91"/>
      <c r="E1736" s="92"/>
      <c r="F1736" s="93"/>
      <c r="G1736" s="94"/>
      <c r="H1736" s="94"/>
      <c r="I1736" s="94"/>
      <c r="J1736" s="94"/>
      <c r="K1736" s="93"/>
      <c r="L1736" s="86"/>
      <c r="M1736" s="86"/>
      <c r="N1736" s="86"/>
      <c r="O1736" s="86"/>
      <c r="P1736" s="86"/>
      <c r="Q1736" s="85"/>
      <c r="S1736" s="85"/>
      <c r="T1736" s="85"/>
      <c r="U1736" s="85"/>
      <c r="V1736" s="85"/>
      <c r="W1736" s="85"/>
      <c r="X1736" s="85"/>
    </row>
    <row r="1737" spans="2:24" s="58" customFormat="1" ht="12" x14ac:dyDescent="0.2">
      <c r="B1737" s="91"/>
      <c r="E1737" s="92"/>
      <c r="F1737" s="93"/>
      <c r="G1737" s="94"/>
      <c r="H1737" s="94"/>
      <c r="I1737" s="94"/>
      <c r="J1737" s="94"/>
      <c r="K1737" s="93"/>
      <c r="L1737" s="86"/>
      <c r="M1737" s="86"/>
      <c r="N1737" s="86"/>
      <c r="O1737" s="86"/>
      <c r="P1737" s="86"/>
      <c r="Q1737" s="85"/>
      <c r="S1737" s="85"/>
      <c r="T1737" s="85"/>
      <c r="U1737" s="85"/>
      <c r="V1737" s="85"/>
      <c r="W1737" s="85"/>
      <c r="X1737" s="85"/>
    </row>
    <row r="1738" spans="2:24" s="58" customFormat="1" ht="12" x14ac:dyDescent="0.2">
      <c r="B1738" s="91"/>
      <c r="E1738" s="92"/>
      <c r="F1738" s="93"/>
      <c r="G1738" s="94"/>
      <c r="H1738" s="94"/>
      <c r="I1738" s="94"/>
      <c r="J1738" s="94"/>
      <c r="K1738" s="93"/>
      <c r="L1738" s="86"/>
      <c r="M1738" s="86"/>
      <c r="N1738" s="86"/>
      <c r="O1738" s="86"/>
      <c r="P1738" s="86"/>
      <c r="Q1738" s="85"/>
      <c r="S1738" s="85"/>
      <c r="T1738" s="85"/>
      <c r="U1738" s="85"/>
      <c r="V1738" s="85"/>
      <c r="W1738" s="85"/>
      <c r="X1738" s="85"/>
    </row>
    <row r="1739" spans="2:24" s="58" customFormat="1" ht="12" x14ac:dyDescent="0.2">
      <c r="B1739" s="91"/>
      <c r="E1739" s="92"/>
      <c r="F1739" s="93"/>
      <c r="G1739" s="94"/>
      <c r="H1739" s="94"/>
      <c r="I1739" s="94"/>
      <c r="J1739" s="94"/>
      <c r="K1739" s="93"/>
      <c r="L1739" s="86"/>
      <c r="M1739" s="86"/>
      <c r="N1739" s="86"/>
      <c r="O1739" s="86"/>
      <c r="P1739" s="86"/>
      <c r="Q1739" s="85"/>
      <c r="S1739" s="85"/>
      <c r="T1739" s="85"/>
      <c r="U1739" s="85"/>
      <c r="V1739" s="85"/>
      <c r="W1739" s="85"/>
      <c r="X1739" s="85"/>
    </row>
    <row r="1740" spans="2:24" s="58" customFormat="1" ht="12" x14ac:dyDescent="0.2">
      <c r="B1740" s="91"/>
      <c r="E1740" s="92"/>
      <c r="F1740" s="93"/>
      <c r="G1740" s="94"/>
      <c r="H1740" s="94"/>
      <c r="I1740" s="94"/>
      <c r="J1740" s="94"/>
      <c r="K1740" s="93"/>
      <c r="L1740" s="86"/>
      <c r="M1740" s="86"/>
      <c r="N1740" s="86"/>
      <c r="O1740" s="86"/>
      <c r="P1740" s="86"/>
      <c r="Q1740" s="85"/>
      <c r="S1740" s="85"/>
      <c r="T1740" s="85"/>
      <c r="U1740" s="85"/>
      <c r="V1740" s="85"/>
      <c r="W1740" s="85"/>
      <c r="X1740" s="85"/>
    </row>
    <row r="1741" spans="2:24" s="58" customFormat="1" ht="12" x14ac:dyDescent="0.2">
      <c r="B1741" s="91"/>
      <c r="E1741" s="92"/>
      <c r="F1741" s="93"/>
      <c r="G1741" s="94"/>
      <c r="H1741" s="94"/>
      <c r="I1741" s="94"/>
      <c r="J1741" s="94"/>
      <c r="K1741" s="93"/>
      <c r="L1741" s="86"/>
      <c r="M1741" s="86"/>
      <c r="N1741" s="86"/>
      <c r="O1741" s="86"/>
      <c r="P1741" s="86"/>
      <c r="Q1741" s="85"/>
      <c r="S1741" s="85"/>
      <c r="T1741" s="85"/>
      <c r="U1741" s="85"/>
      <c r="V1741" s="85"/>
      <c r="W1741" s="85"/>
      <c r="X1741" s="85"/>
    </row>
    <row r="1742" spans="2:24" s="58" customFormat="1" ht="12" x14ac:dyDescent="0.2">
      <c r="B1742" s="91"/>
      <c r="E1742" s="92"/>
      <c r="F1742" s="93"/>
      <c r="G1742" s="94"/>
      <c r="H1742" s="94"/>
      <c r="I1742" s="94"/>
      <c r="J1742" s="94"/>
      <c r="K1742" s="93"/>
      <c r="L1742" s="86"/>
      <c r="M1742" s="86"/>
      <c r="N1742" s="86"/>
      <c r="O1742" s="86"/>
      <c r="P1742" s="86"/>
      <c r="Q1742" s="85"/>
      <c r="S1742" s="85"/>
      <c r="T1742" s="85"/>
      <c r="U1742" s="85"/>
      <c r="V1742" s="85"/>
      <c r="W1742" s="85"/>
      <c r="X1742" s="85"/>
    </row>
    <row r="1743" spans="2:24" s="58" customFormat="1" ht="12" x14ac:dyDescent="0.2">
      <c r="B1743" s="91"/>
      <c r="E1743" s="92"/>
      <c r="F1743" s="93"/>
      <c r="G1743" s="94"/>
      <c r="H1743" s="94"/>
      <c r="I1743" s="94"/>
      <c r="J1743" s="94"/>
      <c r="K1743" s="93"/>
      <c r="L1743" s="86"/>
      <c r="M1743" s="86"/>
      <c r="N1743" s="86"/>
      <c r="O1743" s="86"/>
      <c r="P1743" s="86"/>
      <c r="Q1743" s="85"/>
      <c r="S1743" s="85"/>
      <c r="T1743" s="85"/>
      <c r="U1743" s="85"/>
      <c r="V1743" s="85"/>
      <c r="W1743" s="85"/>
      <c r="X1743" s="85"/>
    </row>
    <row r="1744" spans="2:24" s="58" customFormat="1" ht="12" x14ac:dyDescent="0.2">
      <c r="B1744" s="91"/>
      <c r="E1744" s="92"/>
      <c r="F1744" s="93"/>
      <c r="G1744" s="94"/>
      <c r="H1744" s="94"/>
      <c r="I1744" s="94"/>
      <c r="J1744" s="94"/>
      <c r="K1744" s="93"/>
      <c r="L1744" s="86"/>
      <c r="M1744" s="86"/>
      <c r="N1744" s="86"/>
      <c r="O1744" s="86"/>
      <c r="P1744" s="86"/>
      <c r="Q1744" s="85"/>
      <c r="S1744" s="85"/>
      <c r="T1744" s="85"/>
      <c r="U1744" s="85"/>
      <c r="V1744" s="85"/>
      <c r="W1744" s="85"/>
      <c r="X1744" s="85"/>
    </row>
    <row r="1745" spans="2:24" s="58" customFormat="1" ht="12" x14ac:dyDescent="0.2">
      <c r="B1745" s="91"/>
      <c r="E1745" s="92"/>
      <c r="F1745" s="93"/>
      <c r="G1745" s="94"/>
      <c r="H1745" s="94"/>
      <c r="I1745" s="94"/>
      <c r="J1745" s="94"/>
      <c r="K1745" s="93"/>
      <c r="L1745" s="86"/>
      <c r="M1745" s="86"/>
      <c r="N1745" s="86"/>
      <c r="O1745" s="86"/>
      <c r="P1745" s="86"/>
      <c r="Q1745" s="85"/>
      <c r="S1745" s="85"/>
      <c r="T1745" s="85"/>
      <c r="U1745" s="85"/>
      <c r="V1745" s="85"/>
      <c r="W1745" s="85"/>
      <c r="X1745" s="85"/>
    </row>
    <row r="1746" spans="2:24" s="58" customFormat="1" ht="12" x14ac:dyDescent="0.2">
      <c r="B1746" s="91"/>
      <c r="E1746" s="92"/>
      <c r="F1746" s="93"/>
      <c r="G1746" s="94"/>
      <c r="H1746" s="94"/>
      <c r="I1746" s="94"/>
      <c r="J1746" s="94"/>
      <c r="K1746" s="93"/>
      <c r="L1746" s="86"/>
      <c r="M1746" s="86"/>
      <c r="N1746" s="86"/>
      <c r="O1746" s="86"/>
      <c r="P1746" s="86"/>
      <c r="Q1746" s="85"/>
      <c r="S1746" s="85"/>
      <c r="T1746" s="85"/>
      <c r="U1746" s="85"/>
      <c r="V1746" s="85"/>
      <c r="W1746" s="85"/>
      <c r="X1746" s="85"/>
    </row>
    <row r="1747" spans="2:24" s="58" customFormat="1" ht="12" x14ac:dyDescent="0.2">
      <c r="B1747" s="91"/>
      <c r="E1747" s="92"/>
      <c r="F1747" s="93"/>
      <c r="G1747" s="94"/>
      <c r="H1747" s="94"/>
      <c r="I1747" s="94"/>
      <c r="J1747" s="94"/>
      <c r="K1747" s="93"/>
      <c r="L1747" s="86"/>
      <c r="M1747" s="86"/>
      <c r="N1747" s="86"/>
      <c r="O1747" s="86"/>
      <c r="P1747" s="86"/>
      <c r="Q1747" s="85"/>
      <c r="S1747" s="85"/>
      <c r="T1747" s="85"/>
      <c r="U1747" s="85"/>
      <c r="V1747" s="85"/>
      <c r="W1747" s="85"/>
      <c r="X1747" s="85"/>
    </row>
    <row r="1748" spans="2:24" s="58" customFormat="1" ht="12" x14ac:dyDescent="0.2">
      <c r="B1748" s="91"/>
      <c r="E1748" s="92"/>
      <c r="F1748" s="93"/>
      <c r="G1748" s="94"/>
      <c r="H1748" s="94"/>
      <c r="I1748" s="94"/>
      <c r="J1748" s="94"/>
      <c r="K1748" s="93"/>
      <c r="L1748" s="86"/>
      <c r="M1748" s="86"/>
      <c r="N1748" s="86"/>
      <c r="O1748" s="86"/>
      <c r="P1748" s="86"/>
      <c r="Q1748" s="85"/>
      <c r="S1748" s="85"/>
      <c r="T1748" s="85"/>
      <c r="U1748" s="85"/>
      <c r="V1748" s="85"/>
      <c r="W1748" s="85"/>
      <c r="X1748" s="85"/>
    </row>
    <row r="1749" spans="2:24" s="58" customFormat="1" ht="12" x14ac:dyDescent="0.2">
      <c r="B1749" s="91"/>
      <c r="E1749" s="92"/>
      <c r="F1749" s="93"/>
      <c r="G1749" s="94"/>
      <c r="H1749" s="94"/>
      <c r="I1749" s="94"/>
      <c r="J1749" s="94"/>
      <c r="K1749" s="93"/>
      <c r="L1749" s="86"/>
      <c r="M1749" s="86"/>
      <c r="N1749" s="86"/>
      <c r="O1749" s="86"/>
      <c r="P1749" s="86"/>
      <c r="Q1749" s="85"/>
      <c r="S1749" s="85"/>
      <c r="T1749" s="85"/>
      <c r="U1749" s="85"/>
      <c r="V1749" s="85"/>
      <c r="W1749" s="85"/>
      <c r="X1749" s="85"/>
    </row>
    <row r="1750" spans="2:24" s="58" customFormat="1" ht="12" x14ac:dyDescent="0.2">
      <c r="B1750" s="91"/>
      <c r="E1750" s="92"/>
      <c r="F1750" s="93"/>
      <c r="G1750" s="94"/>
      <c r="H1750" s="94"/>
      <c r="I1750" s="94"/>
      <c r="J1750" s="94"/>
      <c r="K1750" s="93"/>
      <c r="L1750" s="86"/>
      <c r="M1750" s="86"/>
      <c r="N1750" s="86"/>
      <c r="O1750" s="86"/>
      <c r="P1750" s="86"/>
      <c r="Q1750" s="85"/>
      <c r="S1750" s="85"/>
      <c r="T1750" s="85"/>
      <c r="U1750" s="85"/>
      <c r="V1750" s="85"/>
      <c r="W1750" s="85"/>
      <c r="X1750" s="85"/>
    </row>
    <row r="1751" spans="2:24" s="58" customFormat="1" ht="12" x14ac:dyDescent="0.2">
      <c r="B1751" s="91"/>
      <c r="E1751" s="92"/>
      <c r="F1751" s="93"/>
      <c r="G1751" s="94"/>
      <c r="H1751" s="94"/>
      <c r="I1751" s="94"/>
      <c r="J1751" s="94"/>
      <c r="K1751" s="93"/>
      <c r="L1751" s="86"/>
      <c r="M1751" s="86"/>
      <c r="N1751" s="86"/>
      <c r="O1751" s="86"/>
      <c r="P1751" s="86"/>
      <c r="Q1751" s="85"/>
      <c r="S1751" s="85"/>
      <c r="T1751" s="85"/>
      <c r="U1751" s="85"/>
      <c r="V1751" s="85"/>
      <c r="W1751" s="85"/>
      <c r="X1751" s="85"/>
    </row>
    <row r="1752" spans="2:24" s="58" customFormat="1" ht="12" x14ac:dyDescent="0.2">
      <c r="B1752" s="91"/>
      <c r="E1752" s="92"/>
      <c r="F1752" s="93"/>
      <c r="G1752" s="94"/>
      <c r="H1752" s="94"/>
      <c r="I1752" s="94"/>
      <c r="J1752" s="94"/>
      <c r="K1752" s="93"/>
      <c r="L1752" s="86"/>
      <c r="M1752" s="86"/>
      <c r="N1752" s="86"/>
      <c r="O1752" s="86"/>
      <c r="P1752" s="86"/>
      <c r="Q1752" s="85"/>
      <c r="S1752" s="85"/>
      <c r="T1752" s="85"/>
      <c r="U1752" s="85"/>
      <c r="V1752" s="85"/>
      <c r="W1752" s="85"/>
      <c r="X1752" s="85"/>
    </row>
    <row r="1753" spans="2:24" s="58" customFormat="1" ht="12" x14ac:dyDescent="0.2">
      <c r="B1753" s="91"/>
      <c r="E1753" s="92"/>
      <c r="F1753" s="93"/>
      <c r="G1753" s="94"/>
      <c r="H1753" s="94"/>
      <c r="I1753" s="94"/>
      <c r="J1753" s="94"/>
      <c r="K1753" s="93"/>
      <c r="L1753" s="86"/>
      <c r="M1753" s="86"/>
      <c r="N1753" s="86"/>
      <c r="O1753" s="86"/>
      <c r="P1753" s="86"/>
      <c r="Q1753" s="85"/>
      <c r="S1753" s="85"/>
      <c r="T1753" s="85"/>
      <c r="U1753" s="85"/>
      <c r="V1753" s="85"/>
      <c r="W1753" s="85"/>
      <c r="X1753" s="85"/>
    </row>
    <row r="1754" spans="2:24" s="58" customFormat="1" ht="12" x14ac:dyDescent="0.2">
      <c r="B1754" s="91"/>
      <c r="E1754" s="92"/>
      <c r="F1754" s="93"/>
      <c r="G1754" s="94"/>
      <c r="H1754" s="94"/>
      <c r="I1754" s="94"/>
      <c r="J1754" s="94"/>
      <c r="K1754" s="93"/>
      <c r="L1754" s="86"/>
      <c r="M1754" s="86"/>
      <c r="N1754" s="86"/>
      <c r="O1754" s="86"/>
      <c r="P1754" s="86"/>
      <c r="Q1754" s="85"/>
      <c r="S1754" s="85"/>
      <c r="T1754" s="85"/>
      <c r="U1754" s="85"/>
      <c r="V1754" s="85"/>
      <c r="W1754" s="85"/>
      <c r="X1754" s="85"/>
    </row>
    <row r="1755" spans="2:24" s="58" customFormat="1" ht="12" x14ac:dyDescent="0.2">
      <c r="B1755" s="91"/>
      <c r="E1755" s="92"/>
      <c r="F1755" s="93"/>
      <c r="G1755" s="94"/>
      <c r="H1755" s="94"/>
      <c r="I1755" s="94"/>
      <c r="J1755" s="94"/>
      <c r="K1755" s="93"/>
      <c r="L1755" s="86"/>
      <c r="M1755" s="86"/>
      <c r="N1755" s="86"/>
      <c r="O1755" s="86"/>
      <c r="P1755" s="86"/>
      <c r="Q1755" s="85"/>
      <c r="S1755" s="85"/>
      <c r="T1755" s="85"/>
      <c r="U1755" s="85"/>
      <c r="V1755" s="85"/>
      <c r="W1755" s="85"/>
      <c r="X1755" s="85"/>
    </row>
    <row r="1756" spans="2:24" s="58" customFormat="1" ht="12" x14ac:dyDescent="0.2">
      <c r="B1756" s="91"/>
      <c r="E1756" s="92"/>
      <c r="F1756" s="93"/>
      <c r="G1756" s="94"/>
      <c r="H1756" s="94"/>
      <c r="I1756" s="94"/>
      <c r="J1756" s="94"/>
      <c r="K1756" s="93"/>
      <c r="L1756" s="86"/>
      <c r="M1756" s="86"/>
      <c r="N1756" s="86"/>
      <c r="O1756" s="86"/>
      <c r="P1756" s="86"/>
      <c r="Q1756" s="85"/>
      <c r="S1756" s="85"/>
      <c r="T1756" s="85"/>
      <c r="U1756" s="85"/>
      <c r="V1756" s="85"/>
      <c r="W1756" s="85"/>
      <c r="X1756" s="85"/>
    </row>
    <row r="1757" spans="2:24" s="58" customFormat="1" ht="12" x14ac:dyDescent="0.2">
      <c r="B1757" s="91"/>
      <c r="E1757" s="92"/>
      <c r="F1757" s="93"/>
      <c r="G1757" s="94"/>
      <c r="H1757" s="94"/>
      <c r="I1757" s="94"/>
      <c r="J1757" s="94"/>
      <c r="K1757" s="93"/>
      <c r="L1757" s="86"/>
      <c r="M1757" s="86"/>
      <c r="N1757" s="86"/>
      <c r="O1757" s="86"/>
      <c r="P1757" s="86"/>
      <c r="Q1757" s="85"/>
      <c r="S1757" s="85"/>
      <c r="T1757" s="85"/>
      <c r="U1757" s="85"/>
      <c r="V1757" s="85"/>
      <c r="W1757" s="85"/>
      <c r="X1757" s="85"/>
    </row>
    <row r="1758" spans="2:24" s="58" customFormat="1" ht="12" x14ac:dyDescent="0.2">
      <c r="B1758" s="91"/>
      <c r="E1758" s="92"/>
      <c r="F1758" s="93"/>
      <c r="G1758" s="94"/>
      <c r="H1758" s="94"/>
      <c r="I1758" s="94"/>
      <c r="J1758" s="94"/>
      <c r="K1758" s="93"/>
      <c r="L1758" s="86"/>
      <c r="M1758" s="86"/>
      <c r="N1758" s="86"/>
      <c r="O1758" s="86"/>
      <c r="P1758" s="86"/>
      <c r="Q1758" s="85"/>
      <c r="S1758" s="85"/>
      <c r="T1758" s="85"/>
      <c r="U1758" s="85"/>
      <c r="V1758" s="85"/>
      <c r="W1758" s="85"/>
      <c r="X1758" s="85"/>
    </row>
    <row r="1759" spans="2:24" s="58" customFormat="1" ht="12" x14ac:dyDescent="0.2">
      <c r="B1759" s="91"/>
      <c r="E1759" s="92"/>
      <c r="F1759" s="93"/>
      <c r="G1759" s="94"/>
      <c r="H1759" s="94"/>
      <c r="I1759" s="94"/>
      <c r="J1759" s="94"/>
      <c r="K1759" s="93"/>
      <c r="L1759" s="86"/>
      <c r="M1759" s="86"/>
      <c r="N1759" s="86"/>
      <c r="O1759" s="86"/>
      <c r="P1759" s="86"/>
      <c r="Q1759" s="85"/>
      <c r="S1759" s="85"/>
      <c r="T1759" s="85"/>
      <c r="U1759" s="85"/>
      <c r="V1759" s="85"/>
      <c r="W1759" s="85"/>
      <c r="X1759" s="85"/>
    </row>
    <row r="1760" spans="2:24" s="58" customFormat="1" ht="12" x14ac:dyDescent="0.2">
      <c r="B1760" s="91"/>
      <c r="E1760" s="92"/>
      <c r="F1760" s="93"/>
      <c r="G1760" s="94"/>
      <c r="H1760" s="94"/>
      <c r="I1760" s="94"/>
      <c r="J1760" s="94"/>
      <c r="K1760" s="93"/>
      <c r="L1760" s="86"/>
      <c r="M1760" s="86"/>
      <c r="N1760" s="86"/>
      <c r="O1760" s="86"/>
      <c r="P1760" s="86"/>
      <c r="Q1760" s="85"/>
      <c r="S1760" s="85"/>
      <c r="T1760" s="85"/>
      <c r="U1760" s="85"/>
      <c r="V1760" s="85"/>
      <c r="W1760" s="85"/>
      <c r="X1760" s="85"/>
    </row>
    <row r="1761" spans="2:24" s="58" customFormat="1" ht="12" x14ac:dyDescent="0.2">
      <c r="B1761" s="91"/>
      <c r="E1761" s="92"/>
      <c r="F1761" s="93"/>
      <c r="G1761" s="94"/>
      <c r="H1761" s="94"/>
      <c r="I1761" s="94"/>
      <c r="J1761" s="94"/>
      <c r="K1761" s="93"/>
      <c r="L1761" s="86"/>
      <c r="M1761" s="86"/>
      <c r="N1761" s="86"/>
      <c r="O1761" s="86"/>
      <c r="P1761" s="86"/>
      <c r="Q1761" s="85"/>
      <c r="S1761" s="85"/>
      <c r="T1761" s="85"/>
      <c r="U1761" s="85"/>
      <c r="V1761" s="85"/>
      <c r="W1761" s="85"/>
      <c r="X1761" s="85"/>
    </row>
    <row r="1762" spans="2:24" s="58" customFormat="1" ht="12" x14ac:dyDescent="0.2">
      <c r="B1762" s="91"/>
      <c r="E1762" s="92"/>
      <c r="F1762" s="93"/>
      <c r="G1762" s="94"/>
      <c r="H1762" s="94"/>
      <c r="I1762" s="94"/>
      <c r="J1762" s="94"/>
      <c r="K1762" s="93"/>
      <c r="L1762" s="86"/>
      <c r="M1762" s="86"/>
      <c r="N1762" s="86"/>
      <c r="O1762" s="86"/>
      <c r="P1762" s="86"/>
      <c r="Q1762" s="85"/>
      <c r="S1762" s="85"/>
      <c r="T1762" s="85"/>
      <c r="U1762" s="85"/>
      <c r="V1762" s="85"/>
      <c r="W1762" s="85"/>
      <c r="X1762" s="85"/>
    </row>
    <row r="1763" spans="2:24" s="58" customFormat="1" ht="12" x14ac:dyDescent="0.2">
      <c r="B1763" s="91"/>
      <c r="E1763" s="92"/>
      <c r="F1763" s="93"/>
      <c r="G1763" s="94"/>
      <c r="H1763" s="94"/>
      <c r="I1763" s="94"/>
      <c r="J1763" s="94"/>
      <c r="K1763" s="93"/>
      <c r="L1763" s="86"/>
      <c r="M1763" s="86"/>
      <c r="N1763" s="86"/>
      <c r="O1763" s="86"/>
      <c r="P1763" s="86"/>
      <c r="Q1763" s="85"/>
      <c r="S1763" s="85"/>
      <c r="T1763" s="85"/>
      <c r="U1763" s="85"/>
      <c r="V1763" s="85"/>
      <c r="W1763" s="85"/>
      <c r="X1763" s="85"/>
    </row>
    <row r="1764" spans="2:24" s="58" customFormat="1" ht="12" x14ac:dyDescent="0.2">
      <c r="B1764" s="91"/>
      <c r="E1764" s="92"/>
      <c r="F1764" s="93"/>
      <c r="G1764" s="94"/>
      <c r="H1764" s="94"/>
      <c r="I1764" s="94"/>
      <c r="J1764" s="94"/>
      <c r="K1764" s="93"/>
      <c r="L1764" s="86"/>
      <c r="M1764" s="86"/>
      <c r="N1764" s="86"/>
      <c r="O1764" s="86"/>
      <c r="P1764" s="86"/>
      <c r="Q1764" s="85"/>
      <c r="S1764" s="85"/>
      <c r="T1764" s="85"/>
      <c r="U1764" s="85"/>
      <c r="V1764" s="85"/>
      <c r="W1764" s="85"/>
      <c r="X1764" s="85"/>
    </row>
    <row r="1765" spans="2:24" s="58" customFormat="1" ht="12" x14ac:dyDescent="0.2">
      <c r="B1765" s="91"/>
      <c r="E1765" s="92"/>
      <c r="F1765" s="93"/>
      <c r="G1765" s="94"/>
      <c r="H1765" s="94"/>
      <c r="I1765" s="94"/>
      <c r="J1765" s="94"/>
      <c r="K1765" s="93"/>
      <c r="L1765" s="86"/>
      <c r="M1765" s="86"/>
      <c r="N1765" s="86"/>
      <c r="O1765" s="86"/>
      <c r="P1765" s="86"/>
      <c r="Q1765" s="85"/>
      <c r="S1765" s="85"/>
      <c r="T1765" s="85"/>
      <c r="U1765" s="85"/>
      <c r="V1765" s="85"/>
      <c r="W1765" s="85"/>
      <c r="X1765" s="85"/>
    </row>
    <row r="1766" spans="2:24" s="58" customFormat="1" ht="12" x14ac:dyDescent="0.2">
      <c r="B1766" s="91"/>
      <c r="E1766" s="92"/>
      <c r="F1766" s="93"/>
      <c r="G1766" s="94"/>
      <c r="H1766" s="94"/>
      <c r="I1766" s="94"/>
      <c r="J1766" s="94"/>
      <c r="K1766" s="93"/>
      <c r="L1766" s="86"/>
      <c r="M1766" s="86"/>
      <c r="N1766" s="86"/>
      <c r="O1766" s="86"/>
      <c r="P1766" s="86"/>
      <c r="Q1766" s="85"/>
      <c r="S1766" s="85"/>
      <c r="T1766" s="85"/>
      <c r="U1766" s="85"/>
      <c r="V1766" s="85"/>
      <c r="W1766" s="85"/>
      <c r="X1766" s="85"/>
    </row>
    <row r="1767" spans="2:24" s="58" customFormat="1" ht="12" x14ac:dyDescent="0.2">
      <c r="B1767" s="91"/>
      <c r="E1767" s="92"/>
      <c r="F1767" s="93"/>
      <c r="G1767" s="94"/>
      <c r="H1767" s="94"/>
      <c r="I1767" s="94"/>
      <c r="J1767" s="94"/>
      <c r="K1767" s="93"/>
      <c r="L1767" s="86"/>
      <c r="M1767" s="86"/>
      <c r="N1767" s="86"/>
      <c r="O1767" s="86"/>
      <c r="P1767" s="86"/>
      <c r="Q1767" s="85"/>
      <c r="S1767" s="85"/>
      <c r="T1767" s="85"/>
      <c r="U1767" s="85"/>
      <c r="V1767" s="85"/>
      <c r="W1767" s="85"/>
      <c r="X1767" s="85"/>
    </row>
    <row r="1768" spans="2:24" s="58" customFormat="1" ht="12" x14ac:dyDescent="0.2">
      <c r="B1768" s="91"/>
      <c r="E1768" s="92"/>
      <c r="F1768" s="93"/>
      <c r="G1768" s="94"/>
      <c r="H1768" s="94"/>
      <c r="I1768" s="94"/>
      <c r="J1768" s="94"/>
      <c r="K1768" s="93"/>
      <c r="L1768" s="86"/>
      <c r="M1768" s="86"/>
      <c r="N1768" s="86"/>
      <c r="O1768" s="86"/>
      <c r="P1768" s="86"/>
      <c r="Q1768" s="85"/>
      <c r="S1768" s="85"/>
      <c r="T1768" s="85"/>
      <c r="U1768" s="85"/>
      <c r="V1768" s="85"/>
      <c r="W1768" s="85"/>
      <c r="X1768" s="85"/>
    </row>
    <row r="1769" spans="2:24" s="58" customFormat="1" ht="12" x14ac:dyDescent="0.2">
      <c r="B1769" s="91"/>
      <c r="E1769" s="92"/>
      <c r="F1769" s="93"/>
      <c r="G1769" s="94"/>
      <c r="H1769" s="94"/>
      <c r="I1769" s="94"/>
      <c r="J1769" s="94"/>
      <c r="K1769" s="93"/>
      <c r="L1769" s="86"/>
      <c r="M1769" s="86"/>
      <c r="N1769" s="86"/>
      <c r="O1769" s="86"/>
      <c r="P1769" s="86"/>
      <c r="Q1769" s="85"/>
      <c r="S1769" s="85"/>
      <c r="T1769" s="85"/>
      <c r="U1769" s="85"/>
      <c r="V1769" s="85"/>
      <c r="W1769" s="85"/>
      <c r="X1769" s="85"/>
    </row>
    <row r="1770" spans="2:24" s="58" customFormat="1" ht="12" x14ac:dyDescent="0.2">
      <c r="B1770" s="91"/>
      <c r="E1770" s="92"/>
      <c r="F1770" s="93"/>
      <c r="G1770" s="94"/>
      <c r="H1770" s="94"/>
      <c r="I1770" s="94"/>
      <c r="J1770" s="94"/>
      <c r="K1770" s="93"/>
      <c r="L1770" s="86"/>
      <c r="M1770" s="86"/>
      <c r="N1770" s="86"/>
      <c r="O1770" s="86"/>
      <c r="P1770" s="86"/>
      <c r="Q1770" s="85"/>
      <c r="S1770" s="85"/>
      <c r="T1770" s="85"/>
      <c r="U1770" s="85"/>
      <c r="V1770" s="85"/>
      <c r="W1770" s="85"/>
      <c r="X1770" s="85"/>
    </row>
    <row r="1771" spans="2:24" s="58" customFormat="1" ht="12" x14ac:dyDescent="0.2">
      <c r="B1771" s="91"/>
      <c r="E1771" s="92"/>
      <c r="F1771" s="93"/>
      <c r="G1771" s="94"/>
      <c r="H1771" s="94"/>
      <c r="I1771" s="94"/>
      <c r="J1771" s="94"/>
      <c r="K1771" s="93"/>
      <c r="L1771" s="86"/>
      <c r="M1771" s="86"/>
      <c r="N1771" s="86"/>
      <c r="O1771" s="86"/>
      <c r="P1771" s="86"/>
      <c r="Q1771" s="85"/>
      <c r="S1771" s="85"/>
      <c r="T1771" s="85"/>
      <c r="U1771" s="85"/>
      <c r="V1771" s="85"/>
      <c r="W1771" s="85"/>
      <c r="X1771" s="85"/>
    </row>
    <row r="1772" spans="2:24" s="58" customFormat="1" ht="12" x14ac:dyDescent="0.2">
      <c r="B1772" s="91"/>
      <c r="E1772" s="92"/>
      <c r="F1772" s="93"/>
      <c r="G1772" s="94"/>
      <c r="H1772" s="94"/>
      <c r="I1772" s="94"/>
      <c r="J1772" s="94"/>
      <c r="K1772" s="93"/>
      <c r="L1772" s="86"/>
      <c r="M1772" s="86"/>
      <c r="N1772" s="86"/>
      <c r="O1772" s="86"/>
      <c r="P1772" s="86"/>
      <c r="Q1772" s="85"/>
      <c r="S1772" s="85"/>
      <c r="T1772" s="85"/>
      <c r="U1772" s="85"/>
      <c r="V1772" s="85"/>
      <c r="W1772" s="85"/>
      <c r="X1772" s="85"/>
    </row>
    <row r="1773" spans="2:24" s="58" customFormat="1" ht="12" x14ac:dyDescent="0.2">
      <c r="B1773" s="91"/>
      <c r="E1773" s="92"/>
      <c r="F1773" s="93"/>
      <c r="G1773" s="94"/>
      <c r="H1773" s="94"/>
      <c r="I1773" s="94"/>
      <c r="J1773" s="94"/>
      <c r="K1773" s="93"/>
      <c r="L1773" s="86"/>
      <c r="M1773" s="86"/>
      <c r="N1773" s="86"/>
      <c r="O1773" s="86"/>
      <c r="P1773" s="86"/>
      <c r="Q1773" s="85"/>
      <c r="S1773" s="85"/>
      <c r="T1773" s="85"/>
      <c r="U1773" s="85"/>
      <c r="V1773" s="85"/>
      <c r="W1773" s="85"/>
      <c r="X1773" s="85"/>
    </row>
    <row r="1774" spans="2:24" s="58" customFormat="1" ht="12" x14ac:dyDescent="0.2">
      <c r="B1774" s="91"/>
      <c r="E1774" s="92"/>
      <c r="F1774" s="93"/>
      <c r="G1774" s="94"/>
      <c r="H1774" s="94"/>
      <c r="I1774" s="94"/>
      <c r="J1774" s="94"/>
      <c r="K1774" s="93"/>
      <c r="L1774" s="86"/>
      <c r="M1774" s="86"/>
      <c r="N1774" s="86"/>
      <c r="O1774" s="86"/>
      <c r="P1774" s="86"/>
      <c r="Q1774" s="85"/>
      <c r="S1774" s="85"/>
      <c r="T1774" s="85"/>
      <c r="U1774" s="85"/>
      <c r="V1774" s="85"/>
      <c r="W1774" s="85"/>
      <c r="X1774" s="85"/>
    </row>
    <row r="1775" spans="2:24" s="58" customFormat="1" ht="12" x14ac:dyDescent="0.2">
      <c r="B1775" s="91"/>
      <c r="E1775" s="92"/>
      <c r="F1775" s="93"/>
      <c r="G1775" s="94"/>
      <c r="H1775" s="94"/>
      <c r="I1775" s="94"/>
      <c r="J1775" s="94"/>
      <c r="K1775" s="93"/>
      <c r="L1775" s="86"/>
      <c r="M1775" s="86"/>
      <c r="N1775" s="86"/>
      <c r="O1775" s="86"/>
      <c r="P1775" s="86"/>
      <c r="Q1775" s="85"/>
      <c r="S1775" s="85"/>
      <c r="T1775" s="85"/>
      <c r="U1775" s="85"/>
      <c r="V1775" s="85"/>
      <c r="W1775" s="85"/>
      <c r="X1775" s="85"/>
    </row>
    <row r="1776" spans="2:24" s="58" customFormat="1" ht="12" x14ac:dyDescent="0.2">
      <c r="B1776" s="91"/>
      <c r="E1776" s="92"/>
      <c r="F1776" s="93"/>
      <c r="G1776" s="94"/>
      <c r="H1776" s="94"/>
      <c r="I1776" s="94"/>
      <c r="J1776" s="94"/>
      <c r="K1776" s="93"/>
      <c r="L1776" s="86"/>
      <c r="M1776" s="86"/>
      <c r="N1776" s="86"/>
      <c r="O1776" s="86"/>
      <c r="P1776" s="86"/>
      <c r="Q1776" s="85"/>
      <c r="S1776" s="85"/>
      <c r="T1776" s="85"/>
      <c r="U1776" s="85"/>
      <c r="V1776" s="85"/>
      <c r="W1776" s="85"/>
      <c r="X1776" s="85"/>
    </row>
    <row r="1777" spans="2:24" s="58" customFormat="1" ht="12" x14ac:dyDescent="0.2">
      <c r="B1777" s="91"/>
      <c r="E1777" s="92"/>
      <c r="F1777" s="93"/>
      <c r="G1777" s="94"/>
      <c r="H1777" s="94"/>
      <c r="I1777" s="94"/>
      <c r="J1777" s="94"/>
      <c r="K1777" s="93"/>
      <c r="L1777" s="86"/>
      <c r="M1777" s="86"/>
      <c r="N1777" s="86"/>
      <c r="O1777" s="86"/>
      <c r="P1777" s="86"/>
      <c r="Q1777" s="85"/>
      <c r="S1777" s="85"/>
      <c r="T1777" s="85"/>
      <c r="U1777" s="85"/>
      <c r="V1777" s="85"/>
      <c r="W1777" s="85"/>
      <c r="X1777" s="85"/>
    </row>
    <row r="1778" spans="2:24" s="58" customFormat="1" ht="12" x14ac:dyDescent="0.2">
      <c r="B1778" s="91"/>
      <c r="E1778" s="92"/>
      <c r="F1778" s="93"/>
      <c r="G1778" s="94"/>
      <c r="H1778" s="94"/>
      <c r="I1778" s="94"/>
      <c r="J1778" s="94"/>
      <c r="K1778" s="93"/>
      <c r="L1778" s="86"/>
      <c r="M1778" s="86"/>
      <c r="N1778" s="86"/>
      <c r="O1778" s="86"/>
      <c r="P1778" s="86"/>
      <c r="Q1778" s="85"/>
      <c r="S1778" s="85"/>
      <c r="T1778" s="85"/>
      <c r="U1778" s="85"/>
      <c r="V1778" s="85"/>
      <c r="W1778" s="85"/>
      <c r="X1778" s="85"/>
    </row>
    <row r="1779" spans="2:24" s="58" customFormat="1" ht="12" x14ac:dyDescent="0.2">
      <c r="B1779" s="91"/>
      <c r="E1779" s="92"/>
      <c r="F1779" s="93"/>
      <c r="G1779" s="94"/>
      <c r="H1779" s="94"/>
      <c r="I1779" s="94"/>
      <c r="J1779" s="94"/>
      <c r="K1779" s="93"/>
      <c r="L1779" s="86"/>
      <c r="M1779" s="86"/>
      <c r="N1779" s="86"/>
      <c r="O1779" s="86"/>
      <c r="P1779" s="86"/>
      <c r="Q1779" s="85"/>
      <c r="S1779" s="85"/>
      <c r="T1779" s="85"/>
      <c r="U1779" s="85"/>
      <c r="V1779" s="85"/>
      <c r="W1779" s="85"/>
      <c r="X1779" s="85"/>
    </row>
    <row r="1780" spans="2:24" s="58" customFormat="1" ht="12" x14ac:dyDescent="0.2">
      <c r="B1780" s="91"/>
      <c r="E1780" s="92"/>
      <c r="F1780" s="93"/>
      <c r="G1780" s="94"/>
      <c r="H1780" s="94"/>
      <c r="I1780" s="94"/>
      <c r="J1780" s="94"/>
      <c r="K1780" s="93"/>
      <c r="L1780" s="86"/>
      <c r="M1780" s="86"/>
      <c r="N1780" s="86"/>
      <c r="O1780" s="86"/>
      <c r="P1780" s="86"/>
      <c r="Q1780" s="85"/>
      <c r="S1780" s="85"/>
      <c r="T1780" s="85"/>
      <c r="U1780" s="85"/>
      <c r="V1780" s="85"/>
      <c r="W1780" s="85"/>
      <c r="X1780" s="85"/>
    </row>
    <row r="1781" spans="2:24" s="58" customFormat="1" ht="12" x14ac:dyDescent="0.2">
      <c r="B1781" s="91"/>
      <c r="E1781" s="92"/>
      <c r="F1781" s="93"/>
      <c r="G1781" s="94"/>
      <c r="H1781" s="94"/>
      <c r="I1781" s="94"/>
      <c r="J1781" s="94"/>
      <c r="K1781" s="93"/>
      <c r="L1781" s="86"/>
      <c r="M1781" s="86"/>
      <c r="N1781" s="86"/>
      <c r="O1781" s="86"/>
      <c r="P1781" s="86"/>
      <c r="Q1781" s="85"/>
      <c r="S1781" s="85"/>
      <c r="T1781" s="85"/>
      <c r="U1781" s="85"/>
      <c r="V1781" s="85"/>
      <c r="W1781" s="85"/>
      <c r="X1781" s="85"/>
    </row>
    <row r="1782" spans="2:24" s="58" customFormat="1" ht="12" x14ac:dyDescent="0.2">
      <c r="B1782" s="91"/>
      <c r="E1782" s="92"/>
      <c r="F1782" s="93"/>
      <c r="G1782" s="94"/>
      <c r="H1782" s="94"/>
      <c r="I1782" s="94"/>
      <c r="J1782" s="94"/>
      <c r="K1782" s="93"/>
      <c r="L1782" s="86"/>
      <c r="M1782" s="86"/>
      <c r="N1782" s="86"/>
      <c r="O1782" s="86"/>
      <c r="P1782" s="86"/>
      <c r="Q1782" s="85"/>
      <c r="S1782" s="85"/>
      <c r="T1782" s="85"/>
      <c r="U1782" s="85"/>
      <c r="V1782" s="85"/>
      <c r="W1782" s="85"/>
      <c r="X1782" s="85"/>
    </row>
    <row r="1783" spans="2:24" s="58" customFormat="1" ht="12" x14ac:dyDescent="0.2">
      <c r="B1783" s="91"/>
      <c r="E1783" s="92"/>
      <c r="F1783" s="93"/>
      <c r="G1783" s="94"/>
      <c r="H1783" s="94"/>
      <c r="I1783" s="94"/>
      <c r="J1783" s="94"/>
      <c r="K1783" s="93"/>
      <c r="L1783" s="86"/>
      <c r="M1783" s="86"/>
      <c r="N1783" s="86"/>
      <c r="O1783" s="86"/>
      <c r="P1783" s="86"/>
      <c r="Q1783" s="85"/>
      <c r="S1783" s="85"/>
      <c r="T1783" s="85"/>
      <c r="U1783" s="85"/>
      <c r="V1783" s="85"/>
      <c r="W1783" s="85"/>
      <c r="X1783" s="85"/>
    </row>
    <row r="1784" spans="2:24" s="58" customFormat="1" ht="12" x14ac:dyDescent="0.2">
      <c r="B1784" s="91"/>
      <c r="E1784" s="92"/>
      <c r="F1784" s="93"/>
      <c r="G1784" s="94"/>
      <c r="H1784" s="94"/>
      <c r="I1784" s="94"/>
      <c r="J1784" s="94"/>
      <c r="K1784" s="93"/>
      <c r="L1784" s="86"/>
      <c r="M1784" s="86"/>
      <c r="N1784" s="86"/>
      <c r="O1784" s="86"/>
      <c r="P1784" s="86"/>
      <c r="Q1784" s="85"/>
      <c r="S1784" s="85"/>
      <c r="T1784" s="85"/>
      <c r="U1784" s="85"/>
      <c r="V1784" s="85"/>
      <c r="W1784" s="85"/>
      <c r="X1784" s="85"/>
    </row>
    <row r="1785" spans="2:24" s="58" customFormat="1" ht="12" x14ac:dyDescent="0.2">
      <c r="B1785" s="91"/>
      <c r="E1785" s="92"/>
      <c r="F1785" s="93"/>
      <c r="G1785" s="94"/>
      <c r="H1785" s="94"/>
      <c r="I1785" s="94"/>
      <c r="J1785" s="94"/>
      <c r="K1785" s="93"/>
      <c r="L1785" s="86"/>
      <c r="M1785" s="86"/>
      <c r="N1785" s="86"/>
      <c r="O1785" s="86"/>
      <c r="P1785" s="86"/>
      <c r="Q1785" s="85"/>
      <c r="S1785" s="85"/>
      <c r="T1785" s="85"/>
      <c r="U1785" s="85"/>
      <c r="V1785" s="85"/>
      <c r="W1785" s="85"/>
      <c r="X1785" s="85"/>
    </row>
    <row r="1786" spans="2:24" s="58" customFormat="1" ht="12" x14ac:dyDescent="0.2">
      <c r="B1786" s="91"/>
      <c r="E1786" s="92"/>
      <c r="F1786" s="93"/>
      <c r="G1786" s="94"/>
      <c r="H1786" s="94"/>
      <c r="I1786" s="94"/>
      <c r="J1786" s="94"/>
      <c r="K1786" s="93"/>
      <c r="L1786" s="86"/>
      <c r="M1786" s="86"/>
      <c r="N1786" s="86"/>
      <c r="O1786" s="86"/>
      <c r="P1786" s="86"/>
      <c r="Q1786" s="85"/>
      <c r="S1786" s="85"/>
      <c r="T1786" s="85"/>
      <c r="U1786" s="85"/>
      <c r="V1786" s="85"/>
      <c r="W1786" s="85"/>
      <c r="X1786" s="85"/>
    </row>
    <row r="1787" spans="2:24" s="58" customFormat="1" ht="12" x14ac:dyDescent="0.2">
      <c r="B1787" s="91"/>
      <c r="E1787" s="92"/>
      <c r="F1787" s="93"/>
      <c r="G1787" s="94"/>
      <c r="H1787" s="94"/>
      <c r="I1787" s="94"/>
      <c r="J1787" s="94"/>
      <c r="K1787" s="93"/>
      <c r="L1787" s="86"/>
      <c r="M1787" s="86"/>
      <c r="N1787" s="86"/>
      <c r="O1787" s="86"/>
      <c r="P1787" s="86"/>
      <c r="Q1787" s="85"/>
      <c r="S1787" s="85"/>
      <c r="T1787" s="85"/>
      <c r="U1787" s="85"/>
      <c r="V1787" s="85"/>
      <c r="W1787" s="85"/>
      <c r="X1787" s="85"/>
    </row>
    <row r="1788" spans="2:24" s="58" customFormat="1" ht="12" x14ac:dyDescent="0.2">
      <c r="B1788" s="91"/>
      <c r="E1788" s="92"/>
      <c r="F1788" s="93"/>
      <c r="G1788" s="94"/>
      <c r="H1788" s="94"/>
      <c r="I1788" s="94"/>
      <c r="J1788" s="94"/>
      <c r="K1788" s="93"/>
      <c r="L1788" s="86"/>
      <c r="M1788" s="86"/>
      <c r="N1788" s="86"/>
      <c r="O1788" s="86"/>
      <c r="P1788" s="86"/>
      <c r="Q1788" s="85"/>
      <c r="S1788" s="85"/>
      <c r="T1788" s="85"/>
      <c r="U1788" s="85"/>
      <c r="V1788" s="85"/>
      <c r="W1788" s="85"/>
      <c r="X1788" s="85"/>
    </row>
    <row r="1789" spans="2:24" s="58" customFormat="1" ht="12" x14ac:dyDescent="0.2">
      <c r="B1789" s="91"/>
      <c r="E1789" s="92"/>
      <c r="F1789" s="93"/>
      <c r="G1789" s="94"/>
      <c r="H1789" s="94"/>
      <c r="I1789" s="94"/>
      <c r="J1789" s="94"/>
      <c r="K1789" s="93"/>
      <c r="L1789" s="86"/>
      <c r="M1789" s="86"/>
      <c r="N1789" s="86"/>
      <c r="O1789" s="86"/>
      <c r="P1789" s="86"/>
      <c r="Q1789" s="85"/>
      <c r="S1789" s="85"/>
      <c r="T1789" s="85"/>
      <c r="U1789" s="85"/>
      <c r="V1789" s="85"/>
      <c r="W1789" s="85"/>
      <c r="X1789" s="85"/>
    </row>
    <row r="1790" spans="2:24" s="58" customFormat="1" ht="12" x14ac:dyDescent="0.2">
      <c r="B1790" s="91"/>
      <c r="E1790" s="92"/>
      <c r="F1790" s="93"/>
      <c r="G1790" s="94"/>
      <c r="H1790" s="94"/>
      <c r="I1790" s="94"/>
      <c r="J1790" s="94"/>
      <c r="K1790" s="93"/>
      <c r="L1790" s="86"/>
      <c r="M1790" s="86"/>
      <c r="N1790" s="86"/>
      <c r="O1790" s="86"/>
      <c r="P1790" s="86"/>
      <c r="Q1790" s="85"/>
      <c r="S1790" s="85"/>
      <c r="T1790" s="85"/>
      <c r="U1790" s="85"/>
      <c r="V1790" s="85"/>
      <c r="W1790" s="85"/>
      <c r="X1790" s="85"/>
    </row>
    <row r="1791" spans="2:24" s="58" customFormat="1" ht="12" x14ac:dyDescent="0.2">
      <c r="B1791" s="91"/>
      <c r="E1791" s="92"/>
      <c r="F1791" s="93"/>
      <c r="G1791" s="94"/>
      <c r="H1791" s="94"/>
      <c r="I1791" s="94"/>
      <c r="J1791" s="94"/>
      <c r="K1791" s="93"/>
      <c r="L1791" s="86"/>
      <c r="M1791" s="86"/>
      <c r="N1791" s="86"/>
      <c r="O1791" s="86"/>
      <c r="P1791" s="86"/>
      <c r="Q1791" s="85"/>
      <c r="S1791" s="85"/>
      <c r="T1791" s="85"/>
      <c r="U1791" s="85"/>
      <c r="V1791" s="85"/>
      <c r="W1791" s="85"/>
      <c r="X1791" s="85"/>
    </row>
    <row r="1792" spans="2:24" s="58" customFormat="1" ht="12" x14ac:dyDescent="0.2">
      <c r="B1792" s="91"/>
      <c r="E1792" s="92"/>
      <c r="F1792" s="93"/>
      <c r="G1792" s="94"/>
      <c r="H1792" s="94"/>
      <c r="I1792" s="94"/>
      <c r="J1792" s="94"/>
      <c r="K1792" s="93"/>
      <c r="L1792" s="86"/>
      <c r="M1792" s="86"/>
      <c r="N1792" s="86"/>
      <c r="O1792" s="86"/>
      <c r="P1792" s="86"/>
      <c r="Q1792" s="85"/>
      <c r="S1792" s="85"/>
      <c r="T1792" s="85"/>
      <c r="U1792" s="85"/>
      <c r="V1792" s="85"/>
      <c r="W1792" s="85"/>
      <c r="X1792" s="85"/>
    </row>
    <row r="1793" spans="2:24" s="58" customFormat="1" ht="12" x14ac:dyDescent="0.2">
      <c r="B1793" s="91"/>
      <c r="E1793" s="92"/>
      <c r="F1793" s="93"/>
      <c r="G1793" s="94"/>
      <c r="H1793" s="94"/>
      <c r="I1793" s="94"/>
      <c r="J1793" s="94"/>
      <c r="K1793" s="93"/>
      <c r="L1793" s="86"/>
      <c r="M1793" s="86"/>
      <c r="N1793" s="86"/>
      <c r="O1793" s="86"/>
      <c r="P1793" s="86"/>
      <c r="Q1793" s="85"/>
      <c r="S1793" s="85"/>
      <c r="T1793" s="85"/>
      <c r="U1793" s="85"/>
      <c r="V1793" s="85"/>
      <c r="W1793" s="85"/>
      <c r="X1793" s="85"/>
    </row>
    <row r="1794" spans="2:24" s="58" customFormat="1" ht="12" x14ac:dyDescent="0.2">
      <c r="B1794" s="91"/>
      <c r="E1794" s="92"/>
      <c r="F1794" s="93"/>
      <c r="G1794" s="94"/>
      <c r="H1794" s="94"/>
      <c r="I1794" s="94"/>
      <c r="J1794" s="94"/>
      <c r="K1794" s="93"/>
      <c r="L1794" s="86"/>
      <c r="M1794" s="86"/>
      <c r="N1794" s="86"/>
      <c r="O1794" s="86"/>
      <c r="P1794" s="86"/>
      <c r="Q1794" s="85"/>
      <c r="S1794" s="85"/>
      <c r="T1794" s="85"/>
      <c r="U1794" s="85"/>
      <c r="V1794" s="85"/>
      <c r="W1794" s="85"/>
      <c r="X1794" s="85"/>
    </row>
    <row r="1795" spans="2:24" s="58" customFormat="1" ht="12" x14ac:dyDescent="0.2">
      <c r="B1795" s="91"/>
      <c r="E1795" s="92"/>
      <c r="F1795" s="93"/>
      <c r="G1795" s="94"/>
      <c r="H1795" s="94"/>
      <c r="I1795" s="94"/>
      <c r="J1795" s="94"/>
      <c r="K1795" s="93"/>
      <c r="L1795" s="86"/>
      <c r="M1795" s="86"/>
      <c r="N1795" s="86"/>
      <c r="O1795" s="86"/>
      <c r="P1795" s="86"/>
      <c r="Q1795" s="85"/>
      <c r="S1795" s="85"/>
      <c r="T1795" s="85"/>
      <c r="U1795" s="85"/>
      <c r="V1795" s="85"/>
      <c r="W1795" s="85"/>
      <c r="X1795" s="85"/>
    </row>
    <row r="1796" spans="2:24" s="58" customFormat="1" ht="12" x14ac:dyDescent="0.2">
      <c r="B1796" s="91"/>
      <c r="E1796" s="92"/>
      <c r="F1796" s="93"/>
      <c r="G1796" s="94"/>
      <c r="H1796" s="94"/>
      <c r="I1796" s="94"/>
      <c r="J1796" s="94"/>
      <c r="K1796" s="93"/>
      <c r="L1796" s="86"/>
      <c r="M1796" s="86"/>
      <c r="N1796" s="86"/>
      <c r="O1796" s="86"/>
      <c r="P1796" s="86"/>
      <c r="Q1796" s="85"/>
      <c r="S1796" s="85"/>
      <c r="T1796" s="85"/>
      <c r="U1796" s="85"/>
      <c r="V1796" s="85"/>
      <c r="W1796" s="85"/>
      <c r="X1796" s="85"/>
    </row>
    <row r="1797" spans="2:24" s="58" customFormat="1" ht="12" x14ac:dyDescent="0.2">
      <c r="B1797" s="91"/>
      <c r="E1797" s="92"/>
      <c r="F1797" s="93"/>
      <c r="G1797" s="94"/>
      <c r="H1797" s="94"/>
      <c r="I1797" s="94"/>
      <c r="J1797" s="94"/>
      <c r="K1797" s="93"/>
      <c r="L1797" s="86"/>
      <c r="M1797" s="86"/>
      <c r="N1797" s="86"/>
      <c r="O1797" s="86"/>
      <c r="P1797" s="86"/>
      <c r="Q1797" s="85"/>
      <c r="S1797" s="85"/>
      <c r="T1797" s="85"/>
      <c r="U1797" s="85"/>
      <c r="V1797" s="85"/>
      <c r="W1797" s="85"/>
      <c r="X1797" s="85"/>
    </row>
    <row r="1798" spans="2:24" s="58" customFormat="1" ht="12" x14ac:dyDescent="0.2">
      <c r="B1798" s="91"/>
      <c r="E1798" s="92"/>
      <c r="F1798" s="93"/>
      <c r="G1798" s="94"/>
      <c r="H1798" s="94"/>
      <c r="I1798" s="94"/>
      <c r="J1798" s="94"/>
      <c r="K1798" s="93"/>
      <c r="L1798" s="86"/>
      <c r="M1798" s="86"/>
      <c r="N1798" s="86"/>
      <c r="O1798" s="86"/>
      <c r="P1798" s="86"/>
      <c r="Q1798" s="85"/>
      <c r="S1798" s="85"/>
      <c r="T1798" s="85"/>
      <c r="U1798" s="85"/>
      <c r="V1798" s="85"/>
      <c r="W1798" s="85"/>
      <c r="X1798" s="85"/>
    </row>
    <row r="1799" spans="2:24" s="58" customFormat="1" ht="12" x14ac:dyDescent="0.2">
      <c r="B1799" s="91"/>
      <c r="E1799" s="92"/>
      <c r="F1799" s="93"/>
      <c r="G1799" s="94"/>
      <c r="H1799" s="94"/>
      <c r="I1799" s="94"/>
      <c r="J1799" s="94"/>
      <c r="K1799" s="93"/>
      <c r="L1799" s="86"/>
      <c r="M1799" s="86"/>
      <c r="N1799" s="86"/>
      <c r="O1799" s="86"/>
      <c r="P1799" s="86"/>
      <c r="Q1799" s="85"/>
      <c r="S1799" s="85"/>
      <c r="T1799" s="85"/>
      <c r="U1799" s="85"/>
      <c r="V1799" s="85"/>
      <c r="W1799" s="85"/>
      <c r="X1799" s="85"/>
    </row>
    <row r="1800" spans="2:24" s="58" customFormat="1" ht="12" x14ac:dyDescent="0.2">
      <c r="B1800" s="91"/>
      <c r="E1800" s="92"/>
      <c r="F1800" s="93"/>
      <c r="G1800" s="94"/>
      <c r="H1800" s="94"/>
      <c r="I1800" s="94"/>
      <c r="J1800" s="94"/>
      <c r="K1800" s="93"/>
      <c r="L1800" s="86"/>
      <c r="M1800" s="86"/>
      <c r="N1800" s="86"/>
      <c r="O1800" s="86"/>
      <c r="P1800" s="86"/>
      <c r="Q1800" s="85"/>
      <c r="S1800" s="85"/>
      <c r="T1800" s="85"/>
      <c r="U1800" s="85"/>
      <c r="V1800" s="85"/>
      <c r="W1800" s="85"/>
      <c r="X1800" s="85"/>
    </row>
    <row r="1801" spans="2:24" s="58" customFormat="1" ht="12" x14ac:dyDescent="0.2">
      <c r="B1801" s="91"/>
      <c r="E1801" s="92"/>
      <c r="F1801" s="93"/>
      <c r="G1801" s="94"/>
      <c r="H1801" s="94"/>
      <c r="I1801" s="94"/>
      <c r="J1801" s="94"/>
      <c r="K1801" s="93"/>
      <c r="L1801" s="86"/>
      <c r="M1801" s="86"/>
      <c r="N1801" s="86"/>
      <c r="O1801" s="86"/>
      <c r="P1801" s="86"/>
      <c r="Q1801" s="85"/>
      <c r="S1801" s="85"/>
      <c r="T1801" s="85"/>
      <c r="U1801" s="85"/>
      <c r="V1801" s="85"/>
      <c r="W1801" s="85"/>
      <c r="X1801" s="85"/>
    </row>
    <row r="1802" spans="2:24" s="58" customFormat="1" ht="12" x14ac:dyDescent="0.2">
      <c r="B1802" s="91"/>
      <c r="E1802" s="92"/>
      <c r="F1802" s="93"/>
      <c r="G1802" s="94"/>
      <c r="H1802" s="94"/>
      <c r="I1802" s="94"/>
      <c r="J1802" s="94"/>
      <c r="K1802" s="93"/>
      <c r="L1802" s="86"/>
      <c r="M1802" s="86"/>
      <c r="N1802" s="86"/>
      <c r="O1802" s="86"/>
      <c r="P1802" s="86"/>
      <c r="Q1802" s="85"/>
      <c r="S1802" s="85"/>
      <c r="T1802" s="85"/>
      <c r="U1802" s="85"/>
      <c r="V1802" s="85"/>
      <c r="W1802" s="85"/>
      <c r="X1802" s="85"/>
    </row>
    <row r="1803" spans="2:24" s="58" customFormat="1" ht="12" x14ac:dyDescent="0.2">
      <c r="B1803" s="91"/>
      <c r="E1803" s="92"/>
      <c r="F1803" s="93"/>
      <c r="G1803" s="94"/>
      <c r="H1803" s="94"/>
      <c r="I1803" s="94"/>
      <c r="J1803" s="94"/>
      <c r="K1803" s="93"/>
      <c r="L1803" s="86"/>
      <c r="M1803" s="86"/>
      <c r="N1803" s="86"/>
      <c r="O1803" s="86"/>
      <c r="P1803" s="86"/>
      <c r="Q1803" s="85"/>
      <c r="S1803" s="85"/>
      <c r="T1803" s="85"/>
      <c r="U1803" s="85"/>
      <c r="V1803" s="85"/>
      <c r="W1803" s="85"/>
      <c r="X1803" s="85"/>
    </row>
    <row r="1804" spans="2:24" s="58" customFormat="1" ht="12" x14ac:dyDescent="0.2">
      <c r="B1804" s="91"/>
      <c r="E1804" s="92"/>
      <c r="F1804" s="93"/>
      <c r="G1804" s="94"/>
      <c r="H1804" s="94"/>
      <c r="I1804" s="94"/>
      <c r="J1804" s="94"/>
      <c r="K1804" s="93"/>
      <c r="L1804" s="86"/>
      <c r="M1804" s="86"/>
      <c r="N1804" s="86"/>
      <c r="O1804" s="86"/>
      <c r="P1804" s="86"/>
      <c r="Q1804" s="85"/>
      <c r="S1804" s="85"/>
      <c r="T1804" s="85"/>
      <c r="U1804" s="85"/>
      <c r="V1804" s="85"/>
      <c r="W1804" s="85"/>
      <c r="X1804" s="85"/>
    </row>
    <row r="1805" spans="2:24" s="58" customFormat="1" ht="12" x14ac:dyDescent="0.2">
      <c r="B1805" s="91"/>
      <c r="E1805" s="92"/>
      <c r="F1805" s="93"/>
      <c r="G1805" s="94"/>
      <c r="H1805" s="94"/>
      <c r="I1805" s="94"/>
      <c r="J1805" s="94"/>
      <c r="K1805" s="93"/>
      <c r="L1805" s="86"/>
      <c r="M1805" s="86"/>
      <c r="N1805" s="86"/>
      <c r="O1805" s="86"/>
      <c r="P1805" s="86"/>
      <c r="Q1805" s="85"/>
      <c r="S1805" s="85"/>
      <c r="T1805" s="85"/>
      <c r="U1805" s="85"/>
      <c r="V1805" s="85"/>
      <c r="W1805" s="85"/>
      <c r="X1805" s="85"/>
    </row>
    <row r="1806" spans="2:24" s="58" customFormat="1" ht="12" x14ac:dyDescent="0.2">
      <c r="B1806" s="91"/>
      <c r="E1806" s="92"/>
      <c r="F1806" s="93"/>
      <c r="G1806" s="94"/>
      <c r="H1806" s="94"/>
      <c r="I1806" s="94"/>
      <c r="J1806" s="94"/>
      <c r="K1806" s="93"/>
      <c r="L1806" s="86"/>
      <c r="M1806" s="86"/>
      <c r="N1806" s="86"/>
      <c r="O1806" s="86"/>
      <c r="P1806" s="86"/>
      <c r="Q1806" s="85"/>
      <c r="S1806" s="85"/>
      <c r="T1806" s="85"/>
      <c r="U1806" s="85"/>
      <c r="V1806" s="85"/>
      <c r="W1806" s="85"/>
      <c r="X1806" s="85"/>
    </row>
    <row r="1807" spans="2:24" s="58" customFormat="1" ht="12" x14ac:dyDescent="0.2">
      <c r="B1807" s="91"/>
      <c r="E1807" s="92"/>
      <c r="F1807" s="93"/>
      <c r="G1807" s="94"/>
      <c r="H1807" s="94"/>
      <c r="I1807" s="94"/>
      <c r="J1807" s="94"/>
      <c r="K1807" s="93"/>
      <c r="L1807" s="86"/>
      <c r="M1807" s="86"/>
      <c r="N1807" s="86"/>
      <c r="O1807" s="86"/>
      <c r="P1807" s="86"/>
      <c r="Q1807" s="85"/>
      <c r="S1807" s="85"/>
      <c r="T1807" s="85"/>
      <c r="U1807" s="85"/>
      <c r="V1807" s="85"/>
      <c r="W1807" s="85"/>
      <c r="X1807" s="85"/>
    </row>
    <row r="1808" spans="2:24" s="58" customFormat="1" ht="12" x14ac:dyDescent="0.2">
      <c r="B1808" s="91"/>
      <c r="E1808" s="92"/>
      <c r="F1808" s="93"/>
      <c r="G1808" s="94"/>
      <c r="H1808" s="94"/>
      <c r="I1808" s="94"/>
      <c r="J1808" s="94"/>
      <c r="K1808" s="93"/>
      <c r="L1808" s="86"/>
      <c r="M1808" s="86"/>
      <c r="N1808" s="86"/>
      <c r="O1808" s="86"/>
      <c r="P1808" s="86"/>
      <c r="Q1808" s="85"/>
      <c r="S1808" s="85"/>
      <c r="T1808" s="85"/>
      <c r="U1808" s="85"/>
      <c r="V1808" s="85"/>
      <c r="W1808" s="85"/>
      <c r="X1808" s="85"/>
    </row>
    <row r="1809" spans="2:24" s="58" customFormat="1" ht="12" x14ac:dyDescent="0.2">
      <c r="B1809" s="91"/>
      <c r="E1809" s="92"/>
      <c r="F1809" s="93"/>
      <c r="G1809" s="94"/>
      <c r="H1809" s="94"/>
      <c r="I1809" s="94"/>
      <c r="J1809" s="94"/>
      <c r="K1809" s="93"/>
      <c r="L1809" s="86"/>
      <c r="M1809" s="86"/>
      <c r="N1809" s="86"/>
      <c r="O1809" s="86"/>
      <c r="P1809" s="86"/>
      <c r="Q1809" s="85"/>
      <c r="S1809" s="85"/>
      <c r="T1809" s="85"/>
      <c r="U1809" s="85"/>
      <c r="V1809" s="85"/>
      <c r="W1809" s="85"/>
      <c r="X1809" s="85"/>
    </row>
    <row r="1810" spans="2:24" s="58" customFormat="1" ht="12" x14ac:dyDescent="0.2">
      <c r="B1810" s="91"/>
      <c r="E1810" s="92"/>
      <c r="F1810" s="93"/>
      <c r="G1810" s="94"/>
      <c r="H1810" s="94"/>
      <c r="I1810" s="94"/>
      <c r="J1810" s="94"/>
      <c r="K1810" s="93"/>
      <c r="L1810" s="86"/>
      <c r="M1810" s="86"/>
      <c r="N1810" s="86"/>
      <c r="O1810" s="86"/>
      <c r="P1810" s="86"/>
      <c r="Q1810" s="85"/>
      <c r="S1810" s="85"/>
      <c r="T1810" s="85"/>
      <c r="U1810" s="85"/>
      <c r="V1810" s="85"/>
      <c r="W1810" s="85"/>
      <c r="X1810" s="85"/>
    </row>
    <row r="1811" spans="2:24" s="58" customFormat="1" ht="12" x14ac:dyDescent="0.2">
      <c r="B1811" s="91"/>
      <c r="E1811" s="92"/>
      <c r="F1811" s="93"/>
      <c r="G1811" s="94"/>
      <c r="H1811" s="94"/>
      <c r="I1811" s="94"/>
      <c r="J1811" s="94"/>
      <c r="K1811" s="93"/>
      <c r="L1811" s="86"/>
      <c r="M1811" s="86"/>
      <c r="N1811" s="86"/>
      <c r="O1811" s="86"/>
      <c r="P1811" s="86"/>
      <c r="Q1811" s="85"/>
      <c r="S1811" s="85"/>
      <c r="T1811" s="85"/>
      <c r="U1811" s="85"/>
      <c r="V1811" s="85"/>
      <c r="W1811" s="85"/>
      <c r="X1811" s="85"/>
    </row>
    <row r="1812" spans="2:24" s="58" customFormat="1" ht="12" x14ac:dyDescent="0.2">
      <c r="B1812" s="91"/>
      <c r="E1812" s="92"/>
      <c r="F1812" s="93"/>
      <c r="G1812" s="94"/>
      <c r="H1812" s="94"/>
      <c r="I1812" s="94"/>
      <c r="J1812" s="94"/>
      <c r="K1812" s="93"/>
      <c r="L1812" s="86"/>
      <c r="M1812" s="86"/>
      <c r="N1812" s="86"/>
      <c r="O1812" s="86"/>
      <c r="P1812" s="86"/>
      <c r="Q1812" s="85"/>
      <c r="S1812" s="85"/>
      <c r="T1812" s="85"/>
      <c r="U1812" s="85"/>
      <c r="V1812" s="85"/>
      <c r="W1812" s="85"/>
      <c r="X1812" s="85"/>
    </row>
    <row r="1813" spans="2:24" s="58" customFormat="1" ht="12" x14ac:dyDescent="0.2">
      <c r="B1813" s="91"/>
      <c r="E1813" s="92"/>
      <c r="F1813" s="93"/>
      <c r="G1813" s="94"/>
      <c r="H1813" s="94"/>
      <c r="I1813" s="94"/>
      <c r="J1813" s="94"/>
      <c r="K1813" s="93"/>
      <c r="L1813" s="86"/>
      <c r="M1813" s="86"/>
      <c r="N1813" s="86"/>
      <c r="O1813" s="86"/>
      <c r="P1813" s="86"/>
      <c r="Q1813" s="85"/>
      <c r="S1813" s="85"/>
      <c r="T1813" s="85"/>
      <c r="U1813" s="85"/>
      <c r="V1813" s="85"/>
      <c r="W1813" s="85"/>
      <c r="X1813" s="85"/>
    </row>
    <row r="1814" spans="2:24" s="58" customFormat="1" ht="12" x14ac:dyDescent="0.2">
      <c r="B1814" s="91"/>
      <c r="E1814" s="92"/>
      <c r="F1814" s="93"/>
      <c r="G1814" s="94"/>
      <c r="H1814" s="94"/>
      <c r="I1814" s="94"/>
      <c r="J1814" s="94"/>
      <c r="K1814" s="93"/>
      <c r="L1814" s="86"/>
      <c r="M1814" s="86"/>
      <c r="N1814" s="86"/>
      <c r="O1814" s="86"/>
      <c r="P1814" s="86"/>
      <c r="Q1814" s="85"/>
      <c r="S1814" s="85"/>
      <c r="T1814" s="85"/>
      <c r="U1814" s="85"/>
      <c r="V1814" s="85"/>
      <c r="W1814" s="85"/>
      <c r="X1814" s="85"/>
    </row>
    <row r="1815" spans="2:24" s="58" customFormat="1" ht="12" x14ac:dyDescent="0.2">
      <c r="B1815" s="91"/>
      <c r="E1815" s="92"/>
      <c r="F1815" s="93"/>
      <c r="G1815" s="94"/>
      <c r="H1815" s="94"/>
      <c r="I1815" s="94"/>
      <c r="J1815" s="94"/>
      <c r="K1815" s="93"/>
      <c r="L1815" s="86"/>
      <c r="M1815" s="86"/>
      <c r="N1815" s="86"/>
      <c r="O1815" s="86"/>
      <c r="P1815" s="86"/>
      <c r="Q1815" s="85"/>
      <c r="S1815" s="85"/>
      <c r="T1815" s="85"/>
      <c r="U1815" s="85"/>
      <c r="V1815" s="85"/>
      <c r="W1815" s="85"/>
      <c r="X1815" s="85"/>
    </row>
    <row r="1816" spans="2:24" s="58" customFormat="1" ht="12" x14ac:dyDescent="0.2">
      <c r="B1816" s="91"/>
      <c r="E1816" s="92"/>
      <c r="F1816" s="93"/>
      <c r="G1816" s="94"/>
      <c r="H1816" s="94"/>
      <c r="I1816" s="94"/>
      <c r="J1816" s="94"/>
      <c r="K1816" s="93"/>
      <c r="L1816" s="86"/>
      <c r="M1816" s="86"/>
      <c r="N1816" s="86"/>
      <c r="O1816" s="86"/>
      <c r="P1816" s="86"/>
      <c r="Q1816" s="85"/>
      <c r="S1816" s="85"/>
      <c r="T1816" s="85"/>
      <c r="U1816" s="85"/>
      <c r="V1816" s="85"/>
      <c r="W1816" s="85"/>
      <c r="X1816" s="85"/>
    </row>
    <row r="1817" spans="2:24" s="58" customFormat="1" ht="12" x14ac:dyDescent="0.2">
      <c r="B1817" s="91"/>
      <c r="E1817" s="92"/>
      <c r="F1817" s="93"/>
      <c r="G1817" s="94"/>
      <c r="H1817" s="94"/>
      <c r="I1817" s="94"/>
      <c r="J1817" s="94"/>
      <c r="K1817" s="93"/>
      <c r="L1817" s="86"/>
      <c r="M1817" s="86"/>
      <c r="N1817" s="86"/>
      <c r="O1817" s="86"/>
      <c r="P1817" s="86"/>
      <c r="Q1817" s="85"/>
      <c r="S1817" s="85"/>
      <c r="T1817" s="85"/>
      <c r="U1817" s="85"/>
      <c r="V1817" s="85"/>
      <c r="W1817" s="85"/>
      <c r="X1817" s="85"/>
    </row>
    <row r="1818" spans="2:24" s="58" customFormat="1" ht="12" x14ac:dyDescent="0.2">
      <c r="B1818" s="91"/>
      <c r="E1818" s="92"/>
      <c r="F1818" s="93"/>
      <c r="G1818" s="94"/>
      <c r="H1818" s="94"/>
      <c r="I1818" s="94"/>
      <c r="J1818" s="94"/>
      <c r="K1818" s="93"/>
      <c r="L1818" s="86"/>
      <c r="M1818" s="86"/>
      <c r="N1818" s="86"/>
      <c r="O1818" s="86"/>
      <c r="P1818" s="86"/>
      <c r="Q1818" s="85"/>
      <c r="S1818" s="85"/>
      <c r="T1818" s="85"/>
      <c r="U1818" s="85"/>
      <c r="V1818" s="85"/>
      <c r="W1818" s="85"/>
      <c r="X1818" s="85"/>
    </row>
    <row r="1819" spans="2:24" s="58" customFormat="1" ht="12" x14ac:dyDescent="0.2">
      <c r="B1819" s="91"/>
      <c r="E1819" s="92"/>
      <c r="F1819" s="93"/>
      <c r="G1819" s="94"/>
      <c r="H1819" s="94"/>
      <c r="I1819" s="94"/>
      <c r="J1819" s="94"/>
      <c r="K1819" s="93"/>
      <c r="L1819" s="86"/>
      <c r="M1819" s="86"/>
      <c r="N1819" s="86"/>
      <c r="O1819" s="86"/>
      <c r="P1819" s="86"/>
      <c r="Q1819" s="85"/>
      <c r="S1819" s="85"/>
      <c r="T1819" s="85"/>
      <c r="U1819" s="85"/>
      <c r="V1819" s="85"/>
      <c r="W1819" s="85"/>
      <c r="X1819" s="85"/>
    </row>
    <row r="1820" spans="2:24" s="58" customFormat="1" ht="12" x14ac:dyDescent="0.2">
      <c r="B1820" s="91"/>
      <c r="E1820" s="92"/>
      <c r="F1820" s="93"/>
      <c r="G1820" s="94"/>
      <c r="H1820" s="94"/>
      <c r="I1820" s="94"/>
      <c r="J1820" s="94"/>
      <c r="K1820" s="93"/>
      <c r="L1820" s="86"/>
      <c r="M1820" s="86"/>
      <c r="N1820" s="86"/>
      <c r="O1820" s="86"/>
      <c r="P1820" s="86"/>
      <c r="Q1820" s="85"/>
      <c r="S1820" s="85"/>
      <c r="T1820" s="85"/>
      <c r="U1820" s="85"/>
      <c r="V1820" s="85"/>
      <c r="W1820" s="85"/>
      <c r="X1820" s="85"/>
    </row>
    <row r="1821" spans="2:24" s="58" customFormat="1" ht="12" x14ac:dyDescent="0.2">
      <c r="B1821" s="91"/>
      <c r="E1821" s="92"/>
      <c r="F1821" s="93"/>
      <c r="G1821" s="94"/>
      <c r="H1821" s="94"/>
      <c r="I1821" s="94"/>
      <c r="J1821" s="94"/>
      <c r="K1821" s="93"/>
      <c r="L1821" s="86"/>
      <c r="M1821" s="86"/>
      <c r="N1821" s="86"/>
      <c r="O1821" s="86"/>
      <c r="P1821" s="86"/>
      <c r="Q1821" s="85"/>
      <c r="S1821" s="85"/>
      <c r="T1821" s="85"/>
      <c r="U1821" s="85"/>
      <c r="V1821" s="85"/>
      <c r="W1821" s="85"/>
      <c r="X1821" s="85"/>
    </row>
    <row r="1822" spans="2:24" s="58" customFormat="1" ht="12" x14ac:dyDescent="0.2">
      <c r="B1822" s="91"/>
      <c r="E1822" s="92"/>
      <c r="F1822" s="93"/>
      <c r="G1822" s="94"/>
      <c r="H1822" s="94"/>
      <c r="I1822" s="94"/>
      <c r="J1822" s="94"/>
      <c r="K1822" s="93"/>
      <c r="L1822" s="86"/>
      <c r="M1822" s="86"/>
      <c r="N1822" s="86"/>
      <c r="O1822" s="86"/>
      <c r="P1822" s="86"/>
      <c r="Q1822" s="85"/>
      <c r="S1822" s="85"/>
      <c r="T1822" s="85"/>
      <c r="U1822" s="85"/>
      <c r="V1822" s="85"/>
      <c r="W1822" s="85"/>
      <c r="X1822" s="85"/>
    </row>
    <row r="1823" spans="2:24" s="58" customFormat="1" ht="12" x14ac:dyDescent="0.2">
      <c r="B1823" s="91"/>
      <c r="E1823" s="92"/>
      <c r="F1823" s="93"/>
      <c r="G1823" s="94"/>
      <c r="H1823" s="94"/>
      <c r="I1823" s="94"/>
      <c r="J1823" s="94"/>
      <c r="K1823" s="93"/>
      <c r="L1823" s="86"/>
      <c r="M1823" s="86"/>
      <c r="N1823" s="86"/>
      <c r="O1823" s="86"/>
      <c r="P1823" s="86"/>
      <c r="Q1823" s="85"/>
      <c r="S1823" s="85"/>
      <c r="T1823" s="85"/>
      <c r="U1823" s="85"/>
      <c r="V1823" s="85"/>
      <c r="W1823" s="85"/>
      <c r="X1823" s="85"/>
    </row>
    <row r="1824" spans="2:24" s="58" customFormat="1" ht="12" x14ac:dyDescent="0.2">
      <c r="B1824" s="91"/>
      <c r="E1824" s="92"/>
      <c r="F1824" s="93"/>
      <c r="G1824" s="94"/>
      <c r="H1824" s="94"/>
      <c r="I1824" s="94"/>
      <c r="J1824" s="94"/>
      <c r="K1824" s="93"/>
      <c r="L1824" s="86"/>
      <c r="M1824" s="86"/>
      <c r="N1824" s="86"/>
      <c r="O1824" s="86"/>
      <c r="P1824" s="86"/>
      <c r="Q1824" s="85"/>
      <c r="S1824" s="85"/>
      <c r="T1824" s="85"/>
      <c r="U1824" s="85"/>
      <c r="V1824" s="85"/>
      <c r="W1824" s="85"/>
      <c r="X1824" s="85"/>
    </row>
    <row r="1825" spans="2:24" s="58" customFormat="1" ht="12" x14ac:dyDescent="0.2">
      <c r="B1825" s="91"/>
      <c r="E1825" s="92"/>
      <c r="F1825" s="93"/>
      <c r="G1825" s="94"/>
      <c r="H1825" s="94"/>
      <c r="I1825" s="94"/>
      <c r="J1825" s="94"/>
      <c r="K1825" s="93"/>
      <c r="L1825" s="86"/>
      <c r="M1825" s="86"/>
      <c r="N1825" s="86"/>
      <c r="O1825" s="86"/>
      <c r="P1825" s="86"/>
      <c r="Q1825" s="85"/>
      <c r="S1825" s="85"/>
      <c r="T1825" s="85"/>
      <c r="U1825" s="85"/>
      <c r="V1825" s="85"/>
      <c r="W1825" s="85"/>
      <c r="X1825" s="85"/>
    </row>
    <row r="1826" spans="2:24" s="58" customFormat="1" ht="12" x14ac:dyDescent="0.2">
      <c r="B1826" s="91"/>
      <c r="E1826" s="92"/>
      <c r="F1826" s="93"/>
      <c r="G1826" s="94"/>
      <c r="H1826" s="94"/>
      <c r="I1826" s="94"/>
      <c r="J1826" s="94"/>
      <c r="K1826" s="93"/>
      <c r="L1826" s="86"/>
      <c r="M1826" s="86"/>
      <c r="N1826" s="86"/>
      <c r="O1826" s="86"/>
      <c r="P1826" s="86"/>
      <c r="Q1826" s="85"/>
      <c r="S1826" s="85"/>
      <c r="T1826" s="85"/>
      <c r="U1826" s="85"/>
      <c r="V1826" s="85"/>
      <c r="W1826" s="85"/>
      <c r="X1826" s="85"/>
    </row>
    <row r="1827" spans="2:24" s="58" customFormat="1" ht="12" x14ac:dyDescent="0.2">
      <c r="B1827" s="91"/>
      <c r="E1827" s="92"/>
      <c r="F1827" s="93"/>
      <c r="G1827" s="94"/>
      <c r="H1827" s="94"/>
      <c r="I1827" s="94"/>
      <c r="J1827" s="94"/>
      <c r="K1827" s="93"/>
      <c r="L1827" s="86"/>
      <c r="M1827" s="86"/>
      <c r="N1827" s="86"/>
      <c r="O1827" s="86"/>
      <c r="P1827" s="86"/>
      <c r="Q1827" s="85"/>
      <c r="S1827" s="85"/>
      <c r="T1827" s="85"/>
      <c r="U1827" s="85"/>
      <c r="V1827" s="85"/>
      <c r="W1827" s="85"/>
      <c r="X1827" s="85"/>
    </row>
    <row r="1828" spans="2:24" s="58" customFormat="1" ht="12" x14ac:dyDescent="0.2">
      <c r="B1828" s="91"/>
      <c r="E1828" s="92"/>
      <c r="F1828" s="93"/>
      <c r="G1828" s="94"/>
      <c r="H1828" s="94"/>
      <c r="I1828" s="94"/>
      <c r="J1828" s="94"/>
      <c r="K1828" s="93"/>
      <c r="L1828" s="86"/>
      <c r="M1828" s="86"/>
      <c r="N1828" s="86"/>
      <c r="O1828" s="86"/>
      <c r="P1828" s="86"/>
      <c r="Q1828" s="85"/>
      <c r="S1828" s="85"/>
      <c r="T1828" s="85"/>
      <c r="U1828" s="85"/>
      <c r="V1828" s="85"/>
      <c r="W1828" s="85"/>
      <c r="X1828" s="85"/>
    </row>
    <row r="1829" spans="2:24" s="58" customFormat="1" ht="12" x14ac:dyDescent="0.2">
      <c r="B1829" s="91"/>
      <c r="E1829" s="92"/>
      <c r="F1829" s="93"/>
      <c r="G1829" s="94"/>
      <c r="H1829" s="94"/>
      <c r="I1829" s="94"/>
      <c r="J1829" s="94"/>
      <c r="K1829" s="93"/>
      <c r="L1829" s="86"/>
      <c r="M1829" s="86"/>
      <c r="N1829" s="86"/>
      <c r="O1829" s="86"/>
      <c r="P1829" s="86"/>
      <c r="Q1829" s="85"/>
      <c r="S1829" s="85"/>
      <c r="T1829" s="85"/>
      <c r="U1829" s="85"/>
      <c r="V1829" s="85"/>
      <c r="W1829" s="85"/>
      <c r="X1829" s="85"/>
    </row>
    <row r="1830" spans="2:24" s="58" customFormat="1" ht="12" x14ac:dyDescent="0.2">
      <c r="B1830" s="91"/>
      <c r="E1830" s="92"/>
      <c r="F1830" s="93"/>
      <c r="G1830" s="94"/>
      <c r="H1830" s="94"/>
      <c r="I1830" s="94"/>
      <c r="J1830" s="94"/>
      <c r="K1830" s="93"/>
      <c r="L1830" s="86"/>
      <c r="M1830" s="86"/>
      <c r="N1830" s="86"/>
      <c r="O1830" s="86"/>
      <c r="P1830" s="86"/>
      <c r="Q1830" s="85"/>
      <c r="S1830" s="85"/>
      <c r="T1830" s="85"/>
      <c r="U1830" s="85"/>
      <c r="V1830" s="85"/>
      <c r="W1830" s="85"/>
      <c r="X1830" s="85"/>
    </row>
    <row r="1831" spans="2:24" s="58" customFormat="1" ht="12" x14ac:dyDescent="0.2">
      <c r="B1831" s="91"/>
      <c r="E1831" s="92"/>
      <c r="F1831" s="93"/>
      <c r="G1831" s="94"/>
      <c r="H1831" s="94"/>
      <c r="I1831" s="94"/>
      <c r="J1831" s="94"/>
      <c r="K1831" s="93"/>
      <c r="L1831" s="86"/>
      <c r="M1831" s="86"/>
      <c r="N1831" s="86"/>
      <c r="O1831" s="86"/>
      <c r="P1831" s="86"/>
      <c r="Q1831" s="85"/>
      <c r="S1831" s="85"/>
      <c r="T1831" s="85"/>
      <c r="U1831" s="85"/>
      <c r="V1831" s="85"/>
      <c r="W1831" s="85"/>
      <c r="X1831" s="85"/>
    </row>
    <row r="1832" spans="2:24" s="58" customFormat="1" ht="12" x14ac:dyDescent="0.2">
      <c r="B1832" s="91"/>
      <c r="E1832" s="92"/>
      <c r="F1832" s="93"/>
      <c r="G1832" s="94"/>
      <c r="H1832" s="94"/>
      <c r="I1832" s="94"/>
      <c r="J1832" s="94"/>
      <c r="K1832" s="93"/>
      <c r="L1832" s="86"/>
      <c r="M1832" s="86"/>
      <c r="N1832" s="86"/>
      <c r="O1832" s="86"/>
      <c r="P1832" s="86"/>
      <c r="Q1832" s="85"/>
      <c r="S1832" s="85"/>
      <c r="T1832" s="85"/>
      <c r="U1832" s="85"/>
      <c r="V1832" s="85"/>
      <c r="W1832" s="85"/>
      <c r="X1832" s="85"/>
    </row>
    <row r="1833" spans="2:24" s="58" customFormat="1" ht="12" x14ac:dyDescent="0.2">
      <c r="B1833" s="91"/>
      <c r="E1833" s="92"/>
      <c r="F1833" s="93"/>
      <c r="G1833" s="94"/>
      <c r="H1833" s="94"/>
      <c r="I1833" s="94"/>
      <c r="J1833" s="94"/>
      <c r="K1833" s="93"/>
      <c r="L1833" s="86"/>
      <c r="M1833" s="86"/>
      <c r="N1833" s="86"/>
      <c r="O1833" s="86"/>
      <c r="P1833" s="86"/>
      <c r="Q1833" s="85"/>
      <c r="S1833" s="85"/>
      <c r="T1833" s="85"/>
      <c r="U1833" s="85"/>
      <c r="V1833" s="85"/>
      <c r="W1833" s="85"/>
      <c r="X1833" s="85"/>
    </row>
    <row r="1834" spans="2:24" s="58" customFormat="1" ht="12" x14ac:dyDescent="0.2">
      <c r="B1834" s="91"/>
      <c r="E1834" s="92"/>
      <c r="F1834" s="93"/>
      <c r="G1834" s="94"/>
      <c r="H1834" s="94"/>
      <c r="I1834" s="94"/>
      <c r="J1834" s="94"/>
      <c r="K1834" s="93"/>
      <c r="L1834" s="86"/>
      <c r="M1834" s="86"/>
      <c r="N1834" s="86"/>
      <c r="O1834" s="86"/>
      <c r="P1834" s="86"/>
      <c r="Q1834" s="85"/>
      <c r="S1834" s="85"/>
      <c r="T1834" s="85"/>
      <c r="U1834" s="85"/>
      <c r="V1834" s="85"/>
      <c r="W1834" s="85"/>
      <c r="X1834" s="85"/>
    </row>
    <row r="1835" spans="2:24" s="58" customFormat="1" ht="12" x14ac:dyDescent="0.2">
      <c r="B1835" s="91"/>
      <c r="E1835" s="92"/>
      <c r="F1835" s="93"/>
      <c r="G1835" s="94"/>
      <c r="H1835" s="94"/>
      <c r="I1835" s="94"/>
      <c r="J1835" s="94"/>
      <c r="K1835" s="93"/>
      <c r="L1835" s="86"/>
      <c r="M1835" s="86"/>
      <c r="N1835" s="86"/>
      <c r="O1835" s="86"/>
      <c r="P1835" s="86"/>
      <c r="Q1835" s="85"/>
      <c r="S1835" s="85"/>
      <c r="T1835" s="85"/>
      <c r="U1835" s="85"/>
      <c r="V1835" s="85"/>
      <c r="W1835" s="85"/>
      <c r="X1835" s="85"/>
    </row>
    <row r="1836" spans="2:24" s="58" customFormat="1" ht="12" x14ac:dyDescent="0.2">
      <c r="B1836" s="91"/>
      <c r="E1836" s="92"/>
      <c r="F1836" s="93"/>
      <c r="G1836" s="94"/>
      <c r="H1836" s="94"/>
      <c r="I1836" s="94"/>
      <c r="J1836" s="94"/>
      <c r="K1836" s="93"/>
      <c r="L1836" s="86"/>
      <c r="M1836" s="86"/>
      <c r="N1836" s="86"/>
      <c r="O1836" s="86"/>
      <c r="P1836" s="86"/>
      <c r="Q1836" s="85"/>
      <c r="S1836" s="85"/>
      <c r="T1836" s="85"/>
      <c r="U1836" s="85"/>
      <c r="V1836" s="85"/>
      <c r="W1836" s="85"/>
      <c r="X1836" s="85"/>
    </row>
    <row r="1837" spans="2:24" s="58" customFormat="1" ht="12" x14ac:dyDescent="0.2">
      <c r="B1837" s="91"/>
      <c r="E1837" s="92"/>
      <c r="F1837" s="93"/>
      <c r="G1837" s="94"/>
      <c r="H1837" s="94"/>
      <c r="I1837" s="94"/>
      <c r="J1837" s="94"/>
      <c r="K1837" s="93"/>
      <c r="L1837" s="86"/>
      <c r="M1837" s="86"/>
      <c r="N1837" s="86"/>
      <c r="O1837" s="86"/>
      <c r="P1837" s="86"/>
      <c r="Q1837" s="85"/>
      <c r="S1837" s="85"/>
      <c r="T1837" s="85"/>
      <c r="U1837" s="85"/>
      <c r="V1837" s="85"/>
      <c r="W1837" s="85"/>
      <c r="X1837" s="85"/>
    </row>
    <row r="1838" spans="2:24" s="58" customFormat="1" ht="12" x14ac:dyDescent="0.2">
      <c r="B1838" s="91"/>
      <c r="E1838" s="92"/>
      <c r="F1838" s="93"/>
      <c r="G1838" s="94"/>
      <c r="H1838" s="94"/>
      <c r="I1838" s="94"/>
      <c r="J1838" s="94"/>
      <c r="K1838" s="93"/>
      <c r="L1838" s="86"/>
      <c r="M1838" s="86"/>
      <c r="N1838" s="86"/>
      <c r="O1838" s="86"/>
      <c r="P1838" s="86"/>
      <c r="Q1838" s="85"/>
      <c r="S1838" s="85"/>
      <c r="T1838" s="85"/>
      <c r="U1838" s="85"/>
      <c r="V1838" s="85"/>
      <c r="W1838" s="85"/>
      <c r="X1838" s="85"/>
    </row>
    <row r="1839" spans="2:24" s="58" customFormat="1" ht="12" x14ac:dyDescent="0.2">
      <c r="B1839" s="91"/>
      <c r="E1839" s="92"/>
      <c r="F1839" s="93"/>
      <c r="G1839" s="94"/>
      <c r="H1839" s="94"/>
      <c r="I1839" s="94"/>
      <c r="J1839" s="94"/>
      <c r="K1839" s="93"/>
      <c r="L1839" s="86"/>
      <c r="M1839" s="86"/>
      <c r="N1839" s="86"/>
      <c r="O1839" s="86"/>
      <c r="P1839" s="86"/>
      <c r="Q1839" s="85"/>
      <c r="S1839" s="85"/>
      <c r="T1839" s="85"/>
      <c r="U1839" s="85"/>
      <c r="V1839" s="85"/>
      <c r="W1839" s="85"/>
      <c r="X1839" s="85"/>
    </row>
    <row r="1840" spans="2:24" s="58" customFormat="1" ht="12" x14ac:dyDescent="0.2">
      <c r="B1840" s="91"/>
      <c r="E1840" s="92"/>
      <c r="F1840" s="93"/>
      <c r="G1840" s="94"/>
      <c r="H1840" s="94"/>
      <c r="I1840" s="94"/>
      <c r="J1840" s="94"/>
      <c r="K1840" s="93"/>
      <c r="L1840" s="86"/>
      <c r="M1840" s="86"/>
      <c r="N1840" s="86"/>
      <c r="O1840" s="86"/>
      <c r="P1840" s="86"/>
      <c r="Q1840" s="85"/>
      <c r="S1840" s="85"/>
      <c r="T1840" s="85"/>
      <c r="U1840" s="85"/>
      <c r="V1840" s="85"/>
      <c r="W1840" s="85"/>
      <c r="X1840" s="85"/>
    </row>
    <row r="1841" spans="2:24" s="58" customFormat="1" ht="12" x14ac:dyDescent="0.2">
      <c r="B1841" s="91"/>
      <c r="E1841" s="92"/>
      <c r="F1841" s="93"/>
      <c r="G1841" s="94"/>
      <c r="H1841" s="94"/>
      <c r="I1841" s="94"/>
      <c r="J1841" s="94"/>
      <c r="K1841" s="93"/>
      <c r="L1841" s="86"/>
      <c r="M1841" s="86"/>
      <c r="N1841" s="86"/>
      <c r="O1841" s="86"/>
      <c r="P1841" s="86"/>
      <c r="Q1841" s="85"/>
      <c r="S1841" s="85"/>
      <c r="T1841" s="85"/>
      <c r="U1841" s="85"/>
      <c r="V1841" s="85"/>
      <c r="W1841" s="85"/>
      <c r="X1841" s="85"/>
    </row>
    <row r="1842" spans="2:24" s="58" customFormat="1" ht="12" x14ac:dyDescent="0.2">
      <c r="B1842" s="91"/>
      <c r="E1842" s="92"/>
      <c r="F1842" s="93"/>
      <c r="G1842" s="94"/>
      <c r="H1842" s="94"/>
      <c r="I1842" s="94"/>
      <c r="J1842" s="94"/>
      <c r="K1842" s="93"/>
      <c r="L1842" s="86"/>
      <c r="M1842" s="86"/>
      <c r="N1842" s="86"/>
      <c r="O1842" s="86"/>
      <c r="P1842" s="86"/>
      <c r="Q1842" s="85"/>
      <c r="S1842" s="85"/>
      <c r="T1842" s="85"/>
      <c r="U1842" s="85"/>
      <c r="V1842" s="85"/>
      <c r="W1842" s="85"/>
      <c r="X1842" s="85"/>
    </row>
    <row r="1843" spans="2:24" s="58" customFormat="1" ht="12" x14ac:dyDescent="0.2">
      <c r="B1843" s="91"/>
      <c r="E1843" s="92"/>
      <c r="F1843" s="93"/>
      <c r="G1843" s="94"/>
      <c r="H1843" s="94"/>
      <c r="I1843" s="94"/>
      <c r="J1843" s="94"/>
      <c r="K1843" s="93"/>
      <c r="L1843" s="86"/>
      <c r="M1843" s="86"/>
      <c r="N1843" s="86"/>
      <c r="O1843" s="86"/>
      <c r="P1843" s="86"/>
      <c r="Q1843" s="85"/>
      <c r="S1843" s="85"/>
      <c r="T1843" s="85"/>
      <c r="U1843" s="85"/>
      <c r="V1843" s="85"/>
      <c r="W1843" s="85"/>
      <c r="X1843" s="85"/>
    </row>
    <row r="1844" spans="2:24" s="58" customFormat="1" ht="12" x14ac:dyDescent="0.2">
      <c r="B1844" s="91"/>
      <c r="E1844" s="92"/>
      <c r="F1844" s="93"/>
      <c r="G1844" s="94"/>
      <c r="H1844" s="94"/>
      <c r="I1844" s="94"/>
      <c r="J1844" s="94"/>
      <c r="K1844" s="93"/>
      <c r="L1844" s="86"/>
      <c r="M1844" s="86"/>
      <c r="N1844" s="86"/>
      <c r="O1844" s="86"/>
      <c r="P1844" s="86"/>
      <c r="Q1844" s="85"/>
      <c r="S1844" s="85"/>
      <c r="T1844" s="85"/>
      <c r="U1844" s="85"/>
      <c r="V1844" s="85"/>
      <c r="W1844" s="85"/>
      <c r="X1844" s="85"/>
    </row>
    <row r="1845" spans="2:24" s="58" customFormat="1" ht="12" x14ac:dyDescent="0.2">
      <c r="B1845" s="91"/>
      <c r="E1845" s="92"/>
      <c r="F1845" s="93"/>
      <c r="G1845" s="94"/>
      <c r="H1845" s="94"/>
      <c r="I1845" s="94"/>
      <c r="J1845" s="94"/>
      <c r="K1845" s="93"/>
      <c r="L1845" s="86"/>
      <c r="M1845" s="86"/>
      <c r="N1845" s="86"/>
      <c r="O1845" s="86"/>
      <c r="P1845" s="86"/>
      <c r="Q1845" s="85"/>
      <c r="S1845" s="85"/>
      <c r="T1845" s="85"/>
      <c r="U1845" s="85"/>
      <c r="V1845" s="85"/>
      <c r="W1845" s="85"/>
      <c r="X1845" s="85"/>
    </row>
    <row r="1846" spans="2:24" s="58" customFormat="1" ht="12" x14ac:dyDescent="0.2">
      <c r="B1846" s="91"/>
      <c r="E1846" s="92"/>
      <c r="F1846" s="93"/>
      <c r="G1846" s="94"/>
      <c r="H1846" s="94"/>
      <c r="I1846" s="94"/>
      <c r="J1846" s="94"/>
      <c r="K1846" s="93"/>
      <c r="L1846" s="86"/>
      <c r="M1846" s="86"/>
      <c r="N1846" s="86"/>
      <c r="O1846" s="86"/>
      <c r="P1846" s="86"/>
      <c r="Q1846" s="85"/>
      <c r="S1846" s="85"/>
      <c r="T1846" s="85"/>
      <c r="U1846" s="85"/>
      <c r="V1846" s="85"/>
      <c r="W1846" s="85"/>
      <c r="X1846" s="85"/>
    </row>
    <row r="1847" spans="2:24" s="58" customFormat="1" ht="12" x14ac:dyDescent="0.2">
      <c r="B1847" s="91"/>
      <c r="E1847" s="92"/>
      <c r="F1847" s="93"/>
      <c r="G1847" s="94"/>
      <c r="H1847" s="94"/>
      <c r="I1847" s="94"/>
      <c r="J1847" s="94"/>
      <c r="K1847" s="93"/>
      <c r="L1847" s="86"/>
      <c r="M1847" s="86"/>
      <c r="N1847" s="86"/>
      <c r="O1847" s="86"/>
      <c r="P1847" s="86"/>
      <c r="Q1847" s="85"/>
      <c r="S1847" s="85"/>
      <c r="T1847" s="85"/>
      <c r="U1847" s="85"/>
      <c r="V1847" s="85"/>
      <c r="W1847" s="85"/>
      <c r="X1847" s="85"/>
    </row>
    <row r="1848" spans="2:24" s="58" customFormat="1" ht="12" x14ac:dyDescent="0.2">
      <c r="B1848" s="91"/>
      <c r="E1848" s="92"/>
      <c r="F1848" s="93"/>
      <c r="G1848" s="94"/>
      <c r="H1848" s="94"/>
      <c r="I1848" s="94"/>
      <c r="J1848" s="94"/>
      <c r="K1848" s="93"/>
      <c r="L1848" s="86"/>
      <c r="M1848" s="86"/>
      <c r="N1848" s="86"/>
      <c r="O1848" s="86"/>
      <c r="P1848" s="86"/>
      <c r="Q1848" s="85"/>
      <c r="S1848" s="85"/>
      <c r="T1848" s="85"/>
      <c r="U1848" s="85"/>
      <c r="V1848" s="85"/>
      <c r="W1848" s="85"/>
      <c r="X1848" s="85"/>
    </row>
    <row r="1849" spans="2:24" s="58" customFormat="1" ht="12" x14ac:dyDescent="0.2">
      <c r="B1849" s="91"/>
      <c r="E1849" s="92"/>
      <c r="F1849" s="93"/>
      <c r="G1849" s="94"/>
      <c r="H1849" s="94"/>
      <c r="I1849" s="94"/>
      <c r="J1849" s="94"/>
      <c r="K1849" s="93"/>
      <c r="L1849" s="86"/>
      <c r="M1849" s="86"/>
      <c r="N1849" s="86"/>
      <c r="O1849" s="86"/>
      <c r="P1849" s="86"/>
      <c r="Q1849" s="85"/>
      <c r="S1849" s="85"/>
      <c r="T1849" s="85"/>
      <c r="U1849" s="85"/>
      <c r="V1849" s="85"/>
      <c r="W1849" s="85"/>
      <c r="X1849" s="85"/>
    </row>
    <row r="1850" spans="2:24" s="58" customFormat="1" ht="12" x14ac:dyDescent="0.2">
      <c r="B1850" s="91"/>
      <c r="E1850" s="92"/>
      <c r="F1850" s="93"/>
      <c r="G1850" s="94"/>
      <c r="H1850" s="94"/>
      <c r="I1850" s="94"/>
      <c r="J1850" s="94"/>
      <c r="K1850" s="93"/>
      <c r="L1850" s="86"/>
      <c r="M1850" s="86"/>
      <c r="N1850" s="86"/>
      <c r="O1850" s="86"/>
      <c r="P1850" s="86"/>
      <c r="Q1850" s="85"/>
      <c r="S1850" s="85"/>
      <c r="T1850" s="85"/>
      <c r="U1850" s="85"/>
      <c r="V1850" s="85"/>
      <c r="W1850" s="85"/>
      <c r="X1850" s="85"/>
    </row>
    <row r="1851" spans="2:24" s="58" customFormat="1" ht="12" x14ac:dyDescent="0.2">
      <c r="B1851" s="91"/>
      <c r="E1851" s="92"/>
      <c r="F1851" s="93"/>
      <c r="G1851" s="94"/>
      <c r="H1851" s="94"/>
      <c r="I1851" s="94"/>
      <c r="J1851" s="94"/>
      <c r="K1851" s="93"/>
      <c r="L1851" s="86"/>
      <c r="M1851" s="86"/>
      <c r="N1851" s="86"/>
      <c r="O1851" s="86"/>
      <c r="P1851" s="86"/>
      <c r="Q1851" s="85"/>
      <c r="S1851" s="85"/>
      <c r="T1851" s="85"/>
      <c r="U1851" s="85"/>
      <c r="V1851" s="85"/>
      <c r="W1851" s="85"/>
      <c r="X1851" s="85"/>
    </row>
    <row r="1852" spans="2:24" s="58" customFormat="1" ht="12" x14ac:dyDescent="0.2">
      <c r="B1852" s="91"/>
      <c r="E1852" s="92"/>
      <c r="F1852" s="93"/>
      <c r="G1852" s="94"/>
      <c r="H1852" s="94"/>
      <c r="I1852" s="94"/>
      <c r="J1852" s="94"/>
      <c r="K1852" s="93"/>
      <c r="L1852" s="86"/>
      <c r="M1852" s="86"/>
      <c r="N1852" s="86"/>
      <c r="O1852" s="86"/>
      <c r="P1852" s="86"/>
      <c r="Q1852" s="85"/>
      <c r="S1852" s="85"/>
      <c r="T1852" s="85"/>
      <c r="U1852" s="85"/>
      <c r="V1852" s="85"/>
      <c r="W1852" s="85"/>
      <c r="X1852" s="85"/>
    </row>
    <row r="1853" spans="2:24" s="58" customFormat="1" ht="12" x14ac:dyDescent="0.2">
      <c r="B1853" s="91"/>
      <c r="E1853" s="92"/>
      <c r="F1853" s="93"/>
      <c r="G1853" s="94"/>
      <c r="H1853" s="94"/>
      <c r="I1853" s="94"/>
      <c r="J1853" s="94"/>
      <c r="K1853" s="93"/>
      <c r="L1853" s="86"/>
      <c r="M1853" s="86"/>
      <c r="N1853" s="86"/>
      <c r="O1853" s="86"/>
      <c r="P1853" s="86"/>
      <c r="Q1853" s="85"/>
      <c r="S1853" s="85"/>
      <c r="T1853" s="85"/>
      <c r="U1853" s="85"/>
      <c r="V1853" s="85"/>
      <c r="W1853" s="85"/>
      <c r="X1853" s="85"/>
    </row>
    <row r="1854" spans="2:24" s="58" customFormat="1" ht="12" x14ac:dyDescent="0.2">
      <c r="B1854" s="91"/>
      <c r="E1854" s="92"/>
      <c r="F1854" s="93"/>
      <c r="G1854" s="94"/>
      <c r="H1854" s="94"/>
      <c r="I1854" s="94"/>
      <c r="J1854" s="94"/>
      <c r="K1854" s="93"/>
      <c r="L1854" s="86"/>
      <c r="M1854" s="86"/>
      <c r="N1854" s="86"/>
      <c r="O1854" s="86"/>
      <c r="P1854" s="86"/>
      <c r="Q1854" s="85"/>
      <c r="S1854" s="85"/>
      <c r="T1854" s="85"/>
      <c r="U1854" s="85"/>
      <c r="V1854" s="85"/>
      <c r="W1854" s="85"/>
      <c r="X1854" s="85"/>
    </row>
    <row r="1855" spans="2:24" s="58" customFormat="1" ht="12" x14ac:dyDescent="0.2">
      <c r="B1855" s="91"/>
      <c r="E1855" s="92"/>
      <c r="F1855" s="93"/>
      <c r="G1855" s="94"/>
      <c r="H1855" s="94"/>
      <c r="I1855" s="94"/>
      <c r="J1855" s="94"/>
      <c r="K1855" s="93"/>
      <c r="L1855" s="86"/>
      <c r="M1855" s="86"/>
      <c r="N1855" s="86"/>
      <c r="O1855" s="86"/>
      <c r="P1855" s="86"/>
      <c r="Q1855" s="85"/>
      <c r="S1855" s="85"/>
      <c r="T1855" s="85"/>
      <c r="U1855" s="85"/>
      <c r="V1855" s="85"/>
      <c r="W1855" s="85"/>
      <c r="X1855" s="85"/>
    </row>
    <row r="1856" spans="2:24" s="58" customFormat="1" ht="12" x14ac:dyDescent="0.2">
      <c r="B1856" s="91"/>
      <c r="E1856" s="92"/>
      <c r="F1856" s="93"/>
      <c r="G1856" s="94"/>
      <c r="H1856" s="94"/>
      <c r="I1856" s="94"/>
      <c r="J1856" s="94"/>
      <c r="K1856" s="93"/>
      <c r="L1856" s="86"/>
      <c r="M1856" s="86"/>
      <c r="N1856" s="86"/>
      <c r="O1856" s="86"/>
      <c r="P1856" s="86"/>
      <c r="Q1856" s="85"/>
      <c r="S1856" s="85"/>
      <c r="T1856" s="85"/>
      <c r="U1856" s="85"/>
      <c r="V1856" s="85"/>
      <c r="W1856" s="85"/>
      <c r="X1856" s="85"/>
    </row>
    <row r="1857" spans="2:24" s="58" customFormat="1" ht="12" x14ac:dyDescent="0.2">
      <c r="B1857" s="91"/>
      <c r="E1857" s="92"/>
      <c r="F1857" s="93"/>
      <c r="G1857" s="94"/>
      <c r="H1857" s="94"/>
      <c r="I1857" s="94"/>
      <c r="J1857" s="94"/>
      <c r="K1857" s="93"/>
      <c r="L1857" s="86"/>
      <c r="M1857" s="86"/>
      <c r="N1857" s="86"/>
      <c r="O1857" s="86"/>
      <c r="P1857" s="86"/>
      <c r="Q1857" s="85"/>
      <c r="S1857" s="85"/>
      <c r="T1857" s="85"/>
      <c r="U1857" s="85"/>
      <c r="V1857" s="85"/>
      <c r="W1857" s="85"/>
      <c r="X1857" s="85"/>
    </row>
    <row r="1858" spans="2:24" s="58" customFormat="1" ht="12" x14ac:dyDescent="0.2">
      <c r="B1858" s="91"/>
      <c r="E1858" s="92"/>
      <c r="F1858" s="93"/>
      <c r="G1858" s="94"/>
      <c r="H1858" s="94"/>
      <c r="I1858" s="94"/>
      <c r="J1858" s="94"/>
      <c r="K1858" s="93"/>
      <c r="L1858" s="86"/>
      <c r="M1858" s="86"/>
      <c r="N1858" s="86"/>
      <c r="O1858" s="86"/>
      <c r="P1858" s="86"/>
      <c r="Q1858" s="85"/>
      <c r="S1858" s="85"/>
      <c r="T1858" s="85"/>
      <c r="U1858" s="85"/>
      <c r="V1858" s="85"/>
      <c r="W1858" s="85"/>
      <c r="X1858" s="85"/>
    </row>
    <row r="1859" spans="2:24" s="58" customFormat="1" ht="12" x14ac:dyDescent="0.2">
      <c r="B1859" s="91"/>
      <c r="E1859" s="92"/>
      <c r="F1859" s="93"/>
      <c r="G1859" s="94"/>
      <c r="H1859" s="94"/>
      <c r="I1859" s="94"/>
      <c r="J1859" s="94"/>
      <c r="K1859" s="93"/>
      <c r="L1859" s="86"/>
      <c r="M1859" s="86"/>
      <c r="N1859" s="86"/>
      <c r="O1859" s="86"/>
      <c r="P1859" s="86"/>
      <c r="Q1859" s="85"/>
      <c r="S1859" s="85"/>
      <c r="T1859" s="85"/>
      <c r="U1859" s="85"/>
      <c r="V1859" s="85"/>
      <c r="W1859" s="85"/>
      <c r="X1859" s="85"/>
    </row>
    <row r="1860" spans="2:24" s="58" customFormat="1" ht="12" x14ac:dyDescent="0.2">
      <c r="B1860" s="91"/>
      <c r="E1860" s="92"/>
      <c r="F1860" s="93"/>
      <c r="G1860" s="94"/>
      <c r="H1860" s="94"/>
      <c r="I1860" s="94"/>
      <c r="J1860" s="94"/>
      <c r="K1860" s="93"/>
      <c r="L1860" s="86"/>
      <c r="M1860" s="86"/>
      <c r="N1860" s="86"/>
      <c r="O1860" s="86"/>
      <c r="P1860" s="86"/>
      <c r="Q1860" s="85"/>
      <c r="S1860" s="85"/>
      <c r="T1860" s="85"/>
      <c r="U1860" s="85"/>
      <c r="V1860" s="85"/>
      <c r="W1860" s="85"/>
      <c r="X1860" s="85"/>
    </row>
    <row r="1861" spans="2:24" s="58" customFormat="1" ht="12" x14ac:dyDescent="0.2">
      <c r="B1861" s="91"/>
      <c r="E1861" s="92"/>
      <c r="F1861" s="93"/>
      <c r="G1861" s="94"/>
      <c r="H1861" s="94"/>
      <c r="I1861" s="94"/>
      <c r="J1861" s="94"/>
      <c r="K1861" s="93"/>
      <c r="L1861" s="86"/>
      <c r="M1861" s="86"/>
      <c r="N1861" s="86"/>
      <c r="O1861" s="86"/>
      <c r="P1861" s="86"/>
      <c r="Q1861" s="85"/>
      <c r="S1861" s="85"/>
      <c r="T1861" s="85"/>
      <c r="U1861" s="85"/>
      <c r="V1861" s="85"/>
      <c r="W1861" s="85"/>
      <c r="X1861" s="85"/>
    </row>
    <row r="1862" spans="2:24" s="58" customFormat="1" ht="12" x14ac:dyDescent="0.2">
      <c r="B1862" s="91"/>
      <c r="E1862" s="92"/>
      <c r="F1862" s="93"/>
      <c r="G1862" s="94"/>
      <c r="H1862" s="94"/>
      <c r="I1862" s="94"/>
      <c r="J1862" s="94"/>
      <c r="K1862" s="93"/>
      <c r="L1862" s="86"/>
      <c r="M1862" s="86"/>
      <c r="N1862" s="86"/>
      <c r="O1862" s="86"/>
      <c r="P1862" s="86"/>
      <c r="Q1862" s="85"/>
      <c r="S1862" s="85"/>
      <c r="T1862" s="85"/>
      <c r="U1862" s="85"/>
      <c r="V1862" s="85"/>
      <c r="W1862" s="85"/>
      <c r="X1862" s="85"/>
    </row>
    <row r="1863" spans="2:24" s="58" customFormat="1" ht="12" x14ac:dyDescent="0.2">
      <c r="B1863" s="91"/>
      <c r="E1863" s="92"/>
      <c r="F1863" s="93"/>
      <c r="G1863" s="94"/>
      <c r="H1863" s="94"/>
      <c r="I1863" s="94"/>
      <c r="J1863" s="94"/>
      <c r="K1863" s="93"/>
      <c r="L1863" s="86"/>
      <c r="M1863" s="86"/>
      <c r="N1863" s="86"/>
      <c r="O1863" s="86"/>
      <c r="P1863" s="86"/>
      <c r="Q1863" s="85"/>
      <c r="S1863" s="85"/>
      <c r="T1863" s="85"/>
      <c r="U1863" s="85"/>
      <c r="V1863" s="85"/>
      <c r="W1863" s="85"/>
      <c r="X1863" s="85"/>
    </row>
    <row r="1864" spans="2:24" s="58" customFormat="1" ht="12" x14ac:dyDescent="0.2">
      <c r="B1864" s="91"/>
      <c r="E1864" s="92"/>
      <c r="F1864" s="93"/>
      <c r="G1864" s="94"/>
      <c r="H1864" s="94"/>
      <c r="I1864" s="94"/>
      <c r="J1864" s="94"/>
      <c r="K1864" s="93"/>
      <c r="L1864" s="86"/>
      <c r="M1864" s="86"/>
      <c r="N1864" s="86"/>
      <c r="O1864" s="86"/>
      <c r="P1864" s="86"/>
      <c r="Q1864" s="85"/>
      <c r="S1864" s="85"/>
      <c r="T1864" s="85"/>
      <c r="U1864" s="85"/>
      <c r="V1864" s="85"/>
      <c r="W1864" s="85"/>
      <c r="X1864" s="85"/>
    </row>
    <row r="1865" spans="2:24" s="58" customFormat="1" ht="12" x14ac:dyDescent="0.2">
      <c r="B1865" s="91"/>
      <c r="E1865" s="92"/>
      <c r="F1865" s="93"/>
      <c r="G1865" s="94"/>
      <c r="H1865" s="94"/>
      <c r="I1865" s="94"/>
      <c r="J1865" s="94"/>
      <c r="K1865" s="93"/>
      <c r="L1865" s="86"/>
      <c r="M1865" s="86"/>
      <c r="N1865" s="86"/>
      <c r="O1865" s="86"/>
      <c r="P1865" s="86"/>
      <c r="Q1865" s="85"/>
      <c r="S1865" s="85"/>
      <c r="T1865" s="85"/>
      <c r="U1865" s="85"/>
      <c r="V1865" s="85"/>
      <c r="W1865" s="85"/>
      <c r="X1865" s="85"/>
    </row>
    <row r="1866" spans="2:24" s="58" customFormat="1" ht="12" x14ac:dyDescent="0.2">
      <c r="B1866" s="91"/>
      <c r="E1866" s="92"/>
      <c r="F1866" s="93"/>
      <c r="G1866" s="94"/>
      <c r="H1866" s="94"/>
      <c r="I1866" s="94"/>
      <c r="J1866" s="94"/>
      <c r="K1866" s="93"/>
      <c r="L1866" s="86"/>
      <c r="M1866" s="86"/>
      <c r="N1866" s="86"/>
      <c r="O1866" s="86"/>
      <c r="P1866" s="86"/>
      <c r="Q1866" s="85"/>
      <c r="S1866" s="85"/>
      <c r="T1866" s="85"/>
      <c r="U1866" s="85"/>
      <c r="V1866" s="85"/>
      <c r="W1866" s="85"/>
      <c r="X1866" s="85"/>
    </row>
    <row r="1867" spans="2:24" s="58" customFormat="1" ht="12" x14ac:dyDescent="0.2">
      <c r="B1867" s="91"/>
      <c r="E1867" s="92"/>
      <c r="F1867" s="93"/>
      <c r="G1867" s="94"/>
      <c r="H1867" s="94"/>
      <c r="I1867" s="94"/>
      <c r="J1867" s="94"/>
      <c r="K1867" s="93"/>
      <c r="L1867" s="86"/>
      <c r="M1867" s="86"/>
      <c r="N1867" s="86"/>
      <c r="O1867" s="86"/>
      <c r="P1867" s="86"/>
      <c r="Q1867" s="85"/>
      <c r="S1867" s="85"/>
      <c r="T1867" s="85"/>
      <c r="U1867" s="85"/>
      <c r="V1867" s="85"/>
      <c r="W1867" s="85"/>
      <c r="X1867" s="85"/>
    </row>
    <row r="1868" spans="2:24" s="58" customFormat="1" ht="12" x14ac:dyDescent="0.2">
      <c r="B1868" s="91"/>
      <c r="E1868" s="92"/>
      <c r="F1868" s="93"/>
      <c r="G1868" s="94"/>
      <c r="H1868" s="94"/>
      <c r="I1868" s="94"/>
      <c r="J1868" s="94"/>
      <c r="K1868" s="93"/>
      <c r="L1868" s="86"/>
      <c r="M1868" s="86"/>
      <c r="N1868" s="86"/>
      <c r="O1868" s="86"/>
      <c r="P1868" s="86"/>
      <c r="Q1868" s="85"/>
      <c r="S1868" s="85"/>
      <c r="T1868" s="85"/>
      <c r="U1868" s="85"/>
      <c r="V1868" s="85"/>
      <c r="W1868" s="85"/>
      <c r="X1868" s="85"/>
    </row>
    <row r="1869" spans="2:24" s="58" customFormat="1" ht="12" x14ac:dyDescent="0.2">
      <c r="B1869" s="91"/>
      <c r="E1869" s="92"/>
      <c r="F1869" s="93"/>
      <c r="G1869" s="94"/>
      <c r="H1869" s="94"/>
      <c r="I1869" s="94"/>
      <c r="J1869" s="94"/>
      <c r="K1869" s="93"/>
      <c r="L1869" s="86"/>
      <c r="M1869" s="86"/>
      <c r="N1869" s="86"/>
      <c r="O1869" s="86"/>
      <c r="P1869" s="86"/>
      <c r="Q1869" s="85"/>
      <c r="S1869" s="85"/>
      <c r="T1869" s="85"/>
      <c r="U1869" s="85"/>
      <c r="V1869" s="85"/>
      <c r="W1869" s="85"/>
      <c r="X1869" s="85"/>
    </row>
    <row r="1870" spans="2:24" s="58" customFormat="1" ht="12" x14ac:dyDescent="0.2">
      <c r="B1870" s="91"/>
      <c r="E1870" s="92"/>
      <c r="F1870" s="93"/>
      <c r="G1870" s="94"/>
      <c r="H1870" s="94"/>
      <c r="I1870" s="94"/>
      <c r="J1870" s="94"/>
      <c r="K1870" s="93"/>
      <c r="L1870" s="86"/>
      <c r="M1870" s="86"/>
      <c r="N1870" s="86"/>
      <c r="O1870" s="86"/>
      <c r="P1870" s="86"/>
      <c r="Q1870" s="85"/>
      <c r="S1870" s="85"/>
      <c r="T1870" s="85"/>
      <c r="U1870" s="85"/>
      <c r="V1870" s="85"/>
      <c r="W1870" s="85"/>
      <c r="X1870" s="85"/>
    </row>
    <row r="1871" spans="2:24" s="58" customFormat="1" ht="12" x14ac:dyDescent="0.2">
      <c r="B1871" s="91"/>
      <c r="E1871" s="92"/>
      <c r="F1871" s="93"/>
      <c r="G1871" s="94"/>
      <c r="H1871" s="94"/>
      <c r="I1871" s="94"/>
      <c r="J1871" s="94"/>
      <c r="K1871" s="93"/>
      <c r="L1871" s="86"/>
      <c r="M1871" s="86"/>
      <c r="N1871" s="86"/>
      <c r="O1871" s="86"/>
      <c r="P1871" s="86"/>
      <c r="Q1871" s="85"/>
      <c r="S1871" s="85"/>
      <c r="T1871" s="85"/>
      <c r="U1871" s="85"/>
      <c r="V1871" s="85"/>
      <c r="W1871" s="85"/>
      <c r="X1871" s="85"/>
    </row>
    <row r="1872" spans="2:24" s="58" customFormat="1" ht="12" x14ac:dyDescent="0.2">
      <c r="B1872" s="91"/>
      <c r="E1872" s="92"/>
      <c r="F1872" s="93"/>
      <c r="G1872" s="94"/>
      <c r="H1872" s="94"/>
      <c r="I1872" s="94"/>
      <c r="J1872" s="94"/>
      <c r="K1872" s="93"/>
      <c r="L1872" s="86"/>
      <c r="M1872" s="86"/>
      <c r="N1872" s="86"/>
      <c r="O1872" s="86"/>
      <c r="P1872" s="86"/>
      <c r="Q1872" s="85"/>
      <c r="S1872" s="85"/>
      <c r="T1872" s="85"/>
      <c r="U1872" s="85"/>
      <c r="V1872" s="85"/>
      <c r="W1872" s="85"/>
      <c r="X1872" s="85"/>
    </row>
    <row r="1873" spans="2:24" s="58" customFormat="1" ht="12" x14ac:dyDescent="0.2">
      <c r="B1873" s="91"/>
      <c r="E1873" s="92"/>
      <c r="F1873" s="93"/>
      <c r="G1873" s="94"/>
      <c r="H1873" s="94"/>
      <c r="I1873" s="94"/>
      <c r="J1873" s="94"/>
      <c r="K1873" s="93"/>
      <c r="L1873" s="86"/>
      <c r="M1873" s="86"/>
      <c r="N1873" s="86"/>
      <c r="O1873" s="86"/>
      <c r="P1873" s="86"/>
      <c r="Q1873" s="85"/>
      <c r="S1873" s="85"/>
      <c r="T1873" s="85"/>
      <c r="U1873" s="85"/>
      <c r="V1873" s="85"/>
      <c r="W1873" s="85"/>
      <c r="X1873" s="85"/>
    </row>
    <row r="1874" spans="2:24" s="58" customFormat="1" ht="12" x14ac:dyDescent="0.2">
      <c r="B1874" s="91"/>
      <c r="E1874" s="92"/>
      <c r="F1874" s="93"/>
      <c r="G1874" s="94"/>
      <c r="H1874" s="94"/>
      <c r="I1874" s="94"/>
      <c r="J1874" s="94"/>
      <c r="K1874" s="93"/>
      <c r="L1874" s="86"/>
      <c r="M1874" s="86"/>
      <c r="N1874" s="86"/>
      <c r="O1874" s="86"/>
      <c r="P1874" s="86"/>
      <c r="Q1874" s="85"/>
      <c r="S1874" s="85"/>
      <c r="T1874" s="85"/>
      <c r="U1874" s="85"/>
      <c r="V1874" s="85"/>
      <c r="W1874" s="85"/>
      <c r="X1874" s="85"/>
    </row>
    <row r="1875" spans="2:24" s="58" customFormat="1" ht="12" x14ac:dyDescent="0.2">
      <c r="B1875" s="91"/>
      <c r="E1875" s="92"/>
      <c r="F1875" s="93"/>
      <c r="G1875" s="94"/>
      <c r="H1875" s="94"/>
      <c r="I1875" s="94"/>
      <c r="J1875" s="94"/>
      <c r="K1875" s="93"/>
      <c r="L1875" s="86"/>
      <c r="M1875" s="86"/>
      <c r="N1875" s="86"/>
      <c r="O1875" s="86"/>
      <c r="P1875" s="86"/>
      <c r="Q1875" s="85"/>
      <c r="S1875" s="85"/>
      <c r="T1875" s="85"/>
      <c r="U1875" s="85"/>
      <c r="V1875" s="85"/>
      <c r="W1875" s="85"/>
      <c r="X1875" s="85"/>
    </row>
    <row r="1876" spans="2:24" s="58" customFormat="1" ht="12" x14ac:dyDescent="0.2">
      <c r="B1876" s="91"/>
      <c r="E1876" s="92"/>
      <c r="F1876" s="93"/>
      <c r="G1876" s="94"/>
      <c r="H1876" s="94"/>
      <c r="I1876" s="94"/>
      <c r="J1876" s="94"/>
      <c r="K1876" s="93"/>
      <c r="L1876" s="86"/>
      <c r="M1876" s="86"/>
      <c r="N1876" s="86"/>
      <c r="O1876" s="86"/>
      <c r="P1876" s="86"/>
      <c r="Q1876" s="85"/>
      <c r="S1876" s="85"/>
      <c r="T1876" s="85"/>
      <c r="U1876" s="85"/>
      <c r="V1876" s="85"/>
      <c r="W1876" s="85"/>
      <c r="X1876" s="85"/>
    </row>
    <row r="1877" spans="2:24" s="58" customFormat="1" ht="12" x14ac:dyDescent="0.2">
      <c r="B1877" s="91"/>
      <c r="E1877" s="92"/>
      <c r="F1877" s="93"/>
      <c r="G1877" s="94"/>
      <c r="H1877" s="94"/>
      <c r="I1877" s="94"/>
      <c r="J1877" s="94"/>
      <c r="K1877" s="93"/>
      <c r="L1877" s="86"/>
      <c r="M1877" s="86"/>
      <c r="N1877" s="86"/>
      <c r="O1877" s="86"/>
      <c r="P1877" s="86"/>
      <c r="Q1877" s="85"/>
      <c r="S1877" s="85"/>
      <c r="T1877" s="85"/>
      <c r="U1877" s="85"/>
      <c r="V1877" s="85"/>
      <c r="W1877" s="85"/>
      <c r="X1877" s="85"/>
    </row>
    <row r="1878" spans="2:24" s="58" customFormat="1" ht="12" x14ac:dyDescent="0.2">
      <c r="B1878" s="91"/>
      <c r="E1878" s="92"/>
      <c r="F1878" s="93"/>
      <c r="G1878" s="94"/>
      <c r="H1878" s="94"/>
      <c r="I1878" s="94"/>
      <c r="J1878" s="94"/>
      <c r="K1878" s="93"/>
      <c r="L1878" s="86"/>
      <c r="M1878" s="86"/>
      <c r="N1878" s="86"/>
      <c r="O1878" s="86"/>
      <c r="P1878" s="86"/>
      <c r="Q1878" s="85"/>
      <c r="S1878" s="85"/>
      <c r="T1878" s="85"/>
      <c r="U1878" s="85"/>
      <c r="V1878" s="85"/>
      <c r="W1878" s="85"/>
      <c r="X1878" s="85"/>
    </row>
    <row r="1879" spans="2:24" s="58" customFormat="1" ht="12" x14ac:dyDescent="0.2">
      <c r="B1879" s="91"/>
      <c r="E1879" s="92"/>
      <c r="F1879" s="93"/>
      <c r="G1879" s="94"/>
      <c r="H1879" s="94"/>
      <c r="I1879" s="94"/>
      <c r="J1879" s="94"/>
      <c r="K1879" s="93"/>
      <c r="L1879" s="86"/>
      <c r="M1879" s="86"/>
      <c r="N1879" s="86"/>
      <c r="O1879" s="86"/>
      <c r="P1879" s="86"/>
      <c r="Q1879" s="85"/>
      <c r="S1879" s="85"/>
      <c r="T1879" s="85"/>
      <c r="U1879" s="85"/>
      <c r="V1879" s="85"/>
      <c r="W1879" s="85"/>
      <c r="X1879" s="85"/>
    </row>
    <row r="1880" spans="2:24" s="58" customFormat="1" ht="12" x14ac:dyDescent="0.2">
      <c r="B1880" s="91"/>
      <c r="E1880" s="92"/>
      <c r="F1880" s="93"/>
      <c r="G1880" s="94"/>
      <c r="H1880" s="94"/>
      <c r="I1880" s="94"/>
      <c r="J1880" s="94"/>
      <c r="K1880" s="93"/>
      <c r="L1880" s="86"/>
      <c r="M1880" s="86"/>
      <c r="N1880" s="86"/>
      <c r="O1880" s="86"/>
      <c r="P1880" s="86"/>
      <c r="Q1880" s="85"/>
      <c r="S1880" s="85"/>
      <c r="T1880" s="85"/>
      <c r="U1880" s="85"/>
      <c r="V1880" s="85"/>
      <c r="W1880" s="85"/>
      <c r="X1880" s="85"/>
    </row>
    <row r="1881" spans="2:24" s="58" customFormat="1" ht="12" x14ac:dyDescent="0.2">
      <c r="B1881" s="91"/>
      <c r="E1881" s="92"/>
      <c r="F1881" s="93"/>
      <c r="G1881" s="94"/>
      <c r="H1881" s="94"/>
      <c r="I1881" s="94"/>
      <c r="J1881" s="94"/>
      <c r="K1881" s="93"/>
      <c r="L1881" s="86"/>
      <c r="M1881" s="86"/>
      <c r="N1881" s="86"/>
      <c r="O1881" s="86"/>
      <c r="P1881" s="86"/>
      <c r="Q1881" s="85"/>
      <c r="S1881" s="85"/>
      <c r="T1881" s="85"/>
      <c r="U1881" s="85"/>
      <c r="V1881" s="85"/>
      <c r="W1881" s="85"/>
      <c r="X1881" s="85"/>
    </row>
    <row r="1882" spans="2:24" s="58" customFormat="1" ht="12" x14ac:dyDescent="0.2">
      <c r="B1882" s="91"/>
      <c r="E1882" s="92"/>
      <c r="F1882" s="93"/>
      <c r="G1882" s="94"/>
      <c r="H1882" s="94"/>
      <c r="I1882" s="94"/>
      <c r="J1882" s="94"/>
      <c r="K1882" s="93"/>
      <c r="L1882" s="86"/>
      <c r="M1882" s="86"/>
      <c r="N1882" s="86"/>
      <c r="O1882" s="86"/>
      <c r="P1882" s="86"/>
      <c r="Q1882" s="85"/>
      <c r="S1882" s="85"/>
      <c r="T1882" s="85"/>
      <c r="U1882" s="85"/>
      <c r="V1882" s="85"/>
      <c r="W1882" s="85"/>
      <c r="X1882" s="85"/>
    </row>
    <row r="1883" spans="2:24" s="58" customFormat="1" ht="12" x14ac:dyDescent="0.2">
      <c r="B1883" s="91"/>
      <c r="E1883" s="92"/>
      <c r="F1883" s="93"/>
      <c r="G1883" s="94"/>
      <c r="H1883" s="94"/>
      <c r="I1883" s="94"/>
      <c r="J1883" s="94"/>
      <c r="K1883" s="93"/>
      <c r="L1883" s="86"/>
      <c r="M1883" s="86"/>
      <c r="N1883" s="86"/>
      <c r="O1883" s="86"/>
      <c r="P1883" s="86"/>
      <c r="Q1883" s="85"/>
      <c r="S1883" s="85"/>
      <c r="T1883" s="85"/>
      <c r="U1883" s="85"/>
      <c r="V1883" s="85"/>
      <c r="W1883" s="85"/>
      <c r="X1883" s="85"/>
    </row>
    <row r="1884" spans="2:24" s="58" customFormat="1" ht="12" x14ac:dyDescent="0.2">
      <c r="B1884" s="91"/>
      <c r="E1884" s="92"/>
      <c r="F1884" s="93"/>
      <c r="G1884" s="94"/>
      <c r="H1884" s="94"/>
      <c r="I1884" s="94"/>
      <c r="J1884" s="94"/>
      <c r="K1884" s="93"/>
      <c r="L1884" s="86"/>
      <c r="M1884" s="86"/>
      <c r="N1884" s="86"/>
      <c r="O1884" s="86"/>
      <c r="P1884" s="86"/>
      <c r="Q1884" s="85"/>
      <c r="S1884" s="85"/>
      <c r="T1884" s="85"/>
      <c r="U1884" s="85"/>
      <c r="V1884" s="85"/>
      <c r="W1884" s="85"/>
      <c r="X1884" s="85"/>
    </row>
    <row r="1885" spans="2:24" s="58" customFormat="1" ht="12" x14ac:dyDescent="0.2">
      <c r="B1885" s="91"/>
      <c r="E1885" s="92"/>
      <c r="F1885" s="93"/>
      <c r="G1885" s="94"/>
      <c r="H1885" s="94"/>
      <c r="I1885" s="94"/>
      <c r="J1885" s="94"/>
      <c r="K1885" s="93"/>
      <c r="L1885" s="86"/>
      <c r="M1885" s="86"/>
      <c r="N1885" s="86"/>
      <c r="O1885" s="86"/>
      <c r="P1885" s="86"/>
      <c r="Q1885" s="85"/>
      <c r="S1885" s="85"/>
      <c r="T1885" s="85"/>
      <c r="U1885" s="85"/>
      <c r="V1885" s="85"/>
      <c r="W1885" s="85"/>
      <c r="X1885" s="85"/>
    </row>
    <row r="1886" spans="2:24" s="58" customFormat="1" ht="12" x14ac:dyDescent="0.2">
      <c r="B1886" s="91"/>
      <c r="E1886" s="92"/>
      <c r="F1886" s="93"/>
      <c r="G1886" s="94"/>
      <c r="H1886" s="94"/>
      <c r="I1886" s="94"/>
      <c r="J1886" s="94"/>
      <c r="K1886" s="93"/>
      <c r="L1886" s="86"/>
      <c r="M1886" s="86"/>
      <c r="N1886" s="86"/>
      <c r="O1886" s="86"/>
      <c r="P1886" s="86"/>
      <c r="Q1886" s="85"/>
      <c r="S1886" s="85"/>
      <c r="T1886" s="85"/>
      <c r="U1886" s="85"/>
      <c r="V1886" s="85"/>
      <c r="W1886" s="85"/>
      <c r="X1886" s="85"/>
    </row>
    <row r="1887" spans="2:24" s="58" customFormat="1" ht="12" x14ac:dyDescent="0.2">
      <c r="B1887" s="91"/>
      <c r="E1887" s="92"/>
      <c r="F1887" s="93"/>
      <c r="G1887" s="94"/>
      <c r="H1887" s="94"/>
      <c r="I1887" s="94"/>
      <c r="J1887" s="94"/>
      <c r="K1887" s="93"/>
      <c r="L1887" s="86"/>
      <c r="M1887" s="86"/>
      <c r="N1887" s="86"/>
      <c r="O1887" s="86"/>
      <c r="P1887" s="86"/>
      <c r="Q1887" s="85"/>
      <c r="S1887" s="85"/>
      <c r="T1887" s="85"/>
      <c r="U1887" s="85"/>
      <c r="V1887" s="85"/>
      <c r="W1887" s="85"/>
      <c r="X1887" s="85"/>
    </row>
    <row r="1888" spans="2:24" s="58" customFormat="1" ht="12" x14ac:dyDescent="0.2">
      <c r="B1888" s="91"/>
      <c r="E1888" s="92"/>
      <c r="F1888" s="93"/>
      <c r="G1888" s="94"/>
      <c r="H1888" s="94"/>
      <c r="I1888" s="94"/>
      <c r="J1888" s="94"/>
      <c r="K1888" s="93"/>
      <c r="L1888" s="86"/>
      <c r="M1888" s="86"/>
      <c r="N1888" s="86"/>
      <c r="O1888" s="86"/>
      <c r="P1888" s="86"/>
      <c r="Q1888" s="85"/>
      <c r="S1888" s="85"/>
      <c r="T1888" s="85"/>
      <c r="U1888" s="85"/>
      <c r="V1888" s="85"/>
      <c r="W1888" s="85"/>
      <c r="X1888" s="85"/>
    </row>
    <row r="1889" spans="2:24" s="58" customFormat="1" ht="12" x14ac:dyDescent="0.2">
      <c r="B1889" s="91"/>
      <c r="E1889" s="92"/>
      <c r="F1889" s="93"/>
      <c r="G1889" s="94"/>
      <c r="H1889" s="94"/>
      <c r="I1889" s="94"/>
      <c r="J1889" s="94"/>
      <c r="K1889" s="93"/>
      <c r="L1889" s="86"/>
      <c r="M1889" s="86"/>
      <c r="N1889" s="86"/>
      <c r="O1889" s="86"/>
      <c r="P1889" s="86"/>
      <c r="Q1889" s="85"/>
      <c r="S1889" s="85"/>
      <c r="T1889" s="85"/>
      <c r="U1889" s="85"/>
      <c r="V1889" s="85"/>
      <c r="W1889" s="85"/>
      <c r="X1889" s="85"/>
    </row>
    <row r="1890" spans="2:24" s="58" customFormat="1" ht="12" x14ac:dyDescent="0.2">
      <c r="B1890" s="91"/>
      <c r="E1890" s="92"/>
      <c r="F1890" s="93"/>
      <c r="G1890" s="94"/>
      <c r="H1890" s="94"/>
      <c r="I1890" s="94"/>
      <c r="J1890" s="94"/>
      <c r="K1890" s="93"/>
      <c r="L1890" s="86"/>
      <c r="M1890" s="86"/>
      <c r="N1890" s="86"/>
      <c r="O1890" s="86"/>
      <c r="P1890" s="86"/>
      <c r="Q1890" s="85"/>
      <c r="S1890" s="85"/>
      <c r="T1890" s="85"/>
      <c r="U1890" s="85"/>
      <c r="V1890" s="85"/>
      <c r="W1890" s="85"/>
      <c r="X1890" s="85"/>
    </row>
    <row r="1891" spans="2:24" s="58" customFormat="1" ht="12" x14ac:dyDescent="0.2">
      <c r="B1891" s="91"/>
      <c r="E1891" s="92"/>
      <c r="F1891" s="93"/>
      <c r="G1891" s="94"/>
      <c r="H1891" s="94"/>
      <c r="I1891" s="94"/>
      <c r="J1891" s="94"/>
      <c r="K1891" s="93"/>
      <c r="L1891" s="86"/>
      <c r="M1891" s="86"/>
      <c r="N1891" s="86"/>
      <c r="O1891" s="86"/>
      <c r="P1891" s="86"/>
      <c r="Q1891" s="85"/>
      <c r="S1891" s="85"/>
      <c r="T1891" s="85"/>
      <c r="U1891" s="85"/>
      <c r="V1891" s="85"/>
      <c r="W1891" s="85"/>
      <c r="X1891" s="85"/>
    </row>
    <row r="1892" spans="2:24" s="58" customFormat="1" ht="12" x14ac:dyDescent="0.2">
      <c r="B1892" s="91"/>
      <c r="E1892" s="92"/>
      <c r="F1892" s="93"/>
      <c r="G1892" s="94"/>
      <c r="H1892" s="94"/>
      <c r="I1892" s="94"/>
      <c r="J1892" s="94"/>
      <c r="K1892" s="93"/>
      <c r="L1892" s="86"/>
      <c r="M1892" s="86"/>
      <c r="N1892" s="86"/>
      <c r="O1892" s="86"/>
      <c r="P1892" s="86"/>
      <c r="Q1892" s="85"/>
      <c r="S1892" s="85"/>
      <c r="T1892" s="85"/>
      <c r="U1892" s="85"/>
      <c r="V1892" s="85"/>
      <c r="W1892" s="85"/>
      <c r="X1892" s="85"/>
    </row>
    <row r="1893" spans="2:24" s="58" customFormat="1" ht="12" x14ac:dyDescent="0.2">
      <c r="B1893" s="91"/>
      <c r="E1893" s="92"/>
      <c r="F1893" s="93"/>
      <c r="G1893" s="94"/>
      <c r="H1893" s="94"/>
      <c r="I1893" s="94"/>
      <c r="J1893" s="94"/>
      <c r="K1893" s="93"/>
      <c r="L1893" s="86"/>
      <c r="M1893" s="86"/>
      <c r="N1893" s="86"/>
      <c r="O1893" s="86"/>
      <c r="P1893" s="86"/>
      <c r="Q1893" s="85"/>
      <c r="S1893" s="85"/>
      <c r="T1893" s="85"/>
      <c r="U1893" s="85"/>
      <c r="V1893" s="85"/>
      <c r="W1893" s="85"/>
      <c r="X1893" s="85"/>
    </row>
    <row r="1894" spans="2:24" s="58" customFormat="1" ht="12" x14ac:dyDescent="0.2">
      <c r="B1894" s="91"/>
      <c r="E1894" s="92"/>
      <c r="F1894" s="93"/>
      <c r="G1894" s="94"/>
      <c r="H1894" s="94"/>
      <c r="I1894" s="94"/>
      <c r="J1894" s="94"/>
      <c r="K1894" s="93"/>
      <c r="L1894" s="86"/>
      <c r="M1894" s="86"/>
      <c r="N1894" s="86"/>
      <c r="O1894" s="86"/>
      <c r="P1894" s="86"/>
      <c r="Q1894" s="85"/>
      <c r="S1894" s="85"/>
      <c r="T1894" s="85"/>
      <c r="U1894" s="85"/>
      <c r="V1894" s="85"/>
      <c r="W1894" s="85"/>
      <c r="X1894" s="85"/>
    </row>
    <row r="1895" spans="2:24" s="58" customFormat="1" ht="12" x14ac:dyDescent="0.2">
      <c r="B1895" s="91"/>
      <c r="E1895" s="92"/>
      <c r="F1895" s="93"/>
      <c r="G1895" s="94"/>
      <c r="H1895" s="94"/>
      <c r="I1895" s="94"/>
      <c r="J1895" s="94"/>
      <c r="K1895" s="93"/>
      <c r="L1895" s="86"/>
      <c r="M1895" s="86"/>
      <c r="N1895" s="86"/>
      <c r="O1895" s="86"/>
      <c r="P1895" s="86"/>
      <c r="Q1895" s="85"/>
      <c r="S1895" s="85"/>
      <c r="T1895" s="85"/>
      <c r="U1895" s="85"/>
      <c r="V1895" s="85"/>
      <c r="W1895" s="85"/>
      <c r="X1895" s="85"/>
    </row>
    <row r="1896" spans="2:24" s="58" customFormat="1" ht="12" x14ac:dyDescent="0.2">
      <c r="B1896" s="91"/>
      <c r="E1896" s="92"/>
      <c r="F1896" s="93"/>
      <c r="G1896" s="94"/>
      <c r="H1896" s="94"/>
      <c r="I1896" s="94"/>
      <c r="J1896" s="94"/>
      <c r="K1896" s="93"/>
      <c r="L1896" s="86"/>
      <c r="M1896" s="86"/>
      <c r="N1896" s="86"/>
      <c r="O1896" s="86"/>
      <c r="P1896" s="86"/>
      <c r="Q1896" s="85"/>
      <c r="S1896" s="85"/>
      <c r="T1896" s="85"/>
      <c r="U1896" s="85"/>
      <c r="V1896" s="85"/>
      <c r="W1896" s="85"/>
      <c r="X1896" s="85"/>
    </row>
    <row r="1897" spans="2:24" s="58" customFormat="1" ht="12" x14ac:dyDescent="0.2">
      <c r="B1897" s="91"/>
      <c r="E1897" s="92"/>
      <c r="F1897" s="93"/>
      <c r="G1897" s="94"/>
      <c r="H1897" s="94"/>
      <c r="I1897" s="94"/>
      <c r="J1897" s="94"/>
      <c r="K1897" s="93"/>
      <c r="L1897" s="86"/>
      <c r="M1897" s="86"/>
      <c r="N1897" s="86"/>
      <c r="O1897" s="86"/>
      <c r="P1897" s="86"/>
      <c r="Q1897" s="85"/>
      <c r="S1897" s="85"/>
      <c r="T1897" s="85"/>
      <c r="U1897" s="85"/>
      <c r="V1897" s="85"/>
      <c r="W1897" s="85"/>
      <c r="X1897" s="85"/>
    </row>
    <row r="1898" spans="2:24" s="58" customFormat="1" ht="12" x14ac:dyDescent="0.2">
      <c r="B1898" s="91"/>
      <c r="E1898" s="92"/>
      <c r="F1898" s="93"/>
      <c r="G1898" s="94"/>
      <c r="H1898" s="94"/>
      <c r="I1898" s="94"/>
      <c r="J1898" s="94"/>
      <c r="K1898" s="93"/>
      <c r="L1898" s="86"/>
      <c r="M1898" s="86"/>
      <c r="N1898" s="86"/>
      <c r="O1898" s="86"/>
      <c r="P1898" s="86"/>
      <c r="Q1898" s="85"/>
      <c r="S1898" s="85"/>
      <c r="T1898" s="85"/>
      <c r="U1898" s="85"/>
      <c r="V1898" s="85"/>
      <c r="W1898" s="85"/>
      <c r="X1898" s="85"/>
    </row>
    <row r="1899" spans="2:24" s="58" customFormat="1" ht="12" x14ac:dyDescent="0.2">
      <c r="B1899" s="91"/>
      <c r="E1899" s="92"/>
      <c r="F1899" s="93"/>
      <c r="G1899" s="94"/>
      <c r="H1899" s="94"/>
      <c r="I1899" s="94"/>
      <c r="J1899" s="94"/>
      <c r="K1899" s="93"/>
      <c r="L1899" s="86"/>
      <c r="M1899" s="86"/>
      <c r="N1899" s="86"/>
      <c r="O1899" s="86"/>
      <c r="P1899" s="86"/>
      <c r="Q1899" s="85"/>
      <c r="S1899" s="85"/>
      <c r="T1899" s="85"/>
      <c r="U1899" s="85"/>
      <c r="V1899" s="85"/>
      <c r="W1899" s="85"/>
      <c r="X1899" s="85"/>
    </row>
    <row r="1900" spans="2:24" s="58" customFormat="1" ht="12" x14ac:dyDescent="0.2">
      <c r="B1900" s="91"/>
      <c r="E1900" s="92"/>
      <c r="F1900" s="93"/>
      <c r="G1900" s="94"/>
      <c r="H1900" s="94"/>
      <c r="I1900" s="94"/>
      <c r="J1900" s="94"/>
      <c r="K1900" s="93"/>
      <c r="L1900" s="86"/>
      <c r="M1900" s="86"/>
      <c r="N1900" s="86"/>
      <c r="O1900" s="86"/>
      <c r="P1900" s="86"/>
      <c r="Q1900" s="85"/>
      <c r="S1900" s="85"/>
      <c r="T1900" s="85"/>
      <c r="U1900" s="85"/>
      <c r="V1900" s="85"/>
      <c r="W1900" s="85"/>
      <c r="X1900" s="85"/>
    </row>
    <row r="1901" spans="2:24" s="58" customFormat="1" ht="12" x14ac:dyDescent="0.2">
      <c r="B1901" s="91"/>
      <c r="E1901" s="92"/>
      <c r="F1901" s="93"/>
      <c r="G1901" s="94"/>
      <c r="H1901" s="94"/>
      <c r="I1901" s="94"/>
      <c r="J1901" s="94"/>
      <c r="K1901" s="93"/>
      <c r="L1901" s="86"/>
      <c r="M1901" s="86"/>
      <c r="N1901" s="86"/>
      <c r="O1901" s="86"/>
      <c r="P1901" s="86"/>
      <c r="Q1901" s="85"/>
      <c r="S1901" s="85"/>
      <c r="T1901" s="85"/>
      <c r="U1901" s="85"/>
      <c r="V1901" s="85"/>
      <c r="W1901" s="85"/>
      <c r="X1901" s="85"/>
    </row>
    <row r="1902" spans="2:24" s="58" customFormat="1" ht="12" x14ac:dyDescent="0.2">
      <c r="B1902" s="91"/>
      <c r="E1902" s="92"/>
      <c r="F1902" s="93"/>
      <c r="G1902" s="94"/>
      <c r="H1902" s="94"/>
      <c r="I1902" s="94"/>
      <c r="J1902" s="94"/>
      <c r="K1902" s="93"/>
      <c r="L1902" s="86"/>
      <c r="M1902" s="86"/>
      <c r="N1902" s="86"/>
      <c r="O1902" s="86"/>
      <c r="P1902" s="86"/>
      <c r="Q1902" s="85"/>
      <c r="S1902" s="85"/>
      <c r="T1902" s="85"/>
      <c r="U1902" s="85"/>
      <c r="V1902" s="85"/>
      <c r="W1902" s="85"/>
      <c r="X1902" s="85"/>
    </row>
    <row r="1903" spans="2:24" s="58" customFormat="1" ht="12" x14ac:dyDescent="0.2">
      <c r="B1903" s="91"/>
      <c r="E1903" s="92"/>
      <c r="F1903" s="93"/>
      <c r="G1903" s="94"/>
      <c r="H1903" s="94"/>
      <c r="I1903" s="94"/>
      <c r="J1903" s="94"/>
      <c r="K1903" s="93"/>
      <c r="L1903" s="86"/>
      <c r="M1903" s="86"/>
      <c r="N1903" s="86"/>
      <c r="O1903" s="86"/>
      <c r="P1903" s="86"/>
      <c r="Q1903" s="85"/>
      <c r="S1903" s="85"/>
      <c r="T1903" s="85"/>
      <c r="U1903" s="85"/>
      <c r="V1903" s="85"/>
      <c r="W1903" s="85"/>
      <c r="X1903" s="85"/>
    </row>
    <row r="1904" spans="2:24" s="58" customFormat="1" ht="12" x14ac:dyDescent="0.2">
      <c r="B1904" s="91"/>
      <c r="E1904" s="92"/>
      <c r="F1904" s="93"/>
      <c r="G1904" s="94"/>
      <c r="H1904" s="94"/>
      <c r="I1904" s="94"/>
      <c r="J1904" s="94"/>
      <c r="K1904" s="93"/>
      <c r="L1904" s="86"/>
      <c r="M1904" s="86"/>
      <c r="N1904" s="86"/>
      <c r="O1904" s="86"/>
      <c r="P1904" s="86"/>
      <c r="Q1904" s="85"/>
      <c r="S1904" s="85"/>
      <c r="T1904" s="85"/>
      <c r="U1904" s="85"/>
      <c r="V1904" s="85"/>
      <c r="W1904" s="85"/>
      <c r="X1904" s="85"/>
    </row>
    <row r="1905" spans="2:24" s="58" customFormat="1" ht="12" x14ac:dyDescent="0.2">
      <c r="B1905" s="91"/>
      <c r="E1905" s="92"/>
      <c r="F1905" s="93"/>
      <c r="G1905" s="94"/>
      <c r="H1905" s="94"/>
      <c r="I1905" s="94"/>
      <c r="J1905" s="94"/>
      <c r="K1905" s="93"/>
      <c r="L1905" s="86"/>
      <c r="M1905" s="86"/>
      <c r="N1905" s="86"/>
      <c r="O1905" s="86"/>
      <c r="P1905" s="86"/>
      <c r="Q1905" s="85"/>
      <c r="S1905" s="85"/>
      <c r="T1905" s="85"/>
      <c r="U1905" s="85"/>
      <c r="V1905" s="85"/>
      <c r="W1905" s="85"/>
      <c r="X1905" s="85"/>
    </row>
    <row r="1906" spans="2:24" s="58" customFormat="1" ht="12" x14ac:dyDescent="0.2">
      <c r="B1906" s="91"/>
      <c r="E1906" s="92"/>
      <c r="F1906" s="93"/>
      <c r="G1906" s="94"/>
      <c r="H1906" s="94"/>
      <c r="I1906" s="94"/>
      <c r="J1906" s="94"/>
      <c r="K1906" s="93"/>
      <c r="L1906" s="86"/>
      <c r="M1906" s="86"/>
      <c r="N1906" s="86"/>
      <c r="O1906" s="86"/>
      <c r="P1906" s="86"/>
      <c r="Q1906" s="85"/>
      <c r="S1906" s="85"/>
      <c r="T1906" s="85"/>
      <c r="U1906" s="85"/>
      <c r="V1906" s="85"/>
      <c r="W1906" s="85"/>
      <c r="X1906" s="85"/>
    </row>
    <row r="1907" spans="2:24" s="58" customFormat="1" ht="12" x14ac:dyDescent="0.2">
      <c r="B1907" s="91"/>
      <c r="E1907" s="92"/>
      <c r="F1907" s="93"/>
      <c r="G1907" s="94"/>
      <c r="H1907" s="94"/>
      <c r="I1907" s="94"/>
      <c r="J1907" s="94"/>
      <c r="K1907" s="93"/>
      <c r="L1907" s="86"/>
      <c r="M1907" s="86"/>
      <c r="N1907" s="86"/>
      <c r="O1907" s="86"/>
      <c r="P1907" s="86"/>
      <c r="Q1907" s="85"/>
      <c r="S1907" s="85"/>
      <c r="T1907" s="85"/>
      <c r="U1907" s="85"/>
      <c r="V1907" s="85"/>
      <c r="W1907" s="85"/>
      <c r="X1907" s="85"/>
    </row>
    <row r="1908" spans="2:24" s="58" customFormat="1" ht="12" x14ac:dyDescent="0.2">
      <c r="B1908" s="91"/>
      <c r="E1908" s="92"/>
      <c r="F1908" s="93"/>
      <c r="G1908" s="94"/>
      <c r="H1908" s="94"/>
      <c r="I1908" s="94"/>
      <c r="J1908" s="94"/>
      <c r="K1908" s="93"/>
      <c r="L1908" s="86"/>
      <c r="M1908" s="86"/>
      <c r="N1908" s="86"/>
      <c r="O1908" s="86"/>
      <c r="P1908" s="86"/>
      <c r="Q1908" s="85"/>
      <c r="S1908" s="85"/>
      <c r="T1908" s="85"/>
      <c r="U1908" s="85"/>
      <c r="V1908" s="85"/>
      <c r="W1908" s="85"/>
      <c r="X1908" s="85"/>
    </row>
    <row r="1909" spans="2:24" s="58" customFormat="1" ht="12" x14ac:dyDescent="0.2">
      <c r="B1909" s="91"/>
      <c r="E1909" s="92"/>
      <c r="F1909" s="93"/>
      <c r="G1909" s="94"/>
      <c r="H1909" s="94"/>
      <c r="I1909" s="94"/>
      <c r="J1909" s="94"/>
      <c r="K1909" s="93"/>
      <c r="L1909" s="86"/>
      <c r="M1909" s="86"/>
      <c r="N1909" s="86"/>
      <c r="O1909" s="86"/>
      <c r="P1909" s="86"/>
      <c r="Q1909" s="85"/>
      <c r="S1909" s="85"/>
      <c r="T1909" s="85"/>
      <c r="U1909" s="85"/>
      <c r="V1909" s="85"/>
      <c r="W1909" s="85"/>
      <c r="X1909" s="85"/>
    </row>
    <row r="1910" spans="2:24" s="58" customFormat="1" ht="12" x14ac:dyDescent="0.2">
      <c r="B1910" s="91"/>
      <c r="E1910" s="92"/>
      <c r="F1910" s="93"/>
      <c r="G1910" s="94"/>
      <c r="H1910" s="94"/>
      <c r="I1910" s="94"/>
      <c r="J1910" s="94"/>
      <c r="K1910" s="93"/>
      <c r="L1910" s="86"/>
      <c r="M1910" s="86"/>
      <c r="N1910" s="86"/>
      <c r="O1910" s="86"/>
      <c r="P1910" s="86"/>
      <c r="Q1910" s="85"/>
      <c r="S1910" s="85"/>
      <c r="T1910" s="85"/>
      <c r="U1910" s="85"/>
      <c r="V1910" s="85"/>
      <c r="W1910" s="85"/>
      <c r="X1910" s="85"/>
    </row>
    <row r="1911" spans="2:24" s="58" customFormat="1" ht="12" x14ac:dyDescent="0.2">
      <c r="B1911" s="91"/>
      <c r="E1911" s="92"/>
      <c r="F1911" s="93"/>
      <c r="G1911" s="94"/>
      <c r="H1911" s="94"/>
      <c r="I1911" s="94"/>
      <c r="J1911" s="94"/>
      <c r="K1911" s="93"/>
      <c r="L1911" s="86"/>
      <c r="M1911" s="86"/>
      <c r="N1911" s="86"/>
      <c r="O1911" s="86"/>
      <c r="P1911" s="86"/>
      <c r="Q1911" s="85"/>
      <c r="S1911" s="85"/>
      <c r="T1911" s="85"/>
      <c r="U1911" s="85"/>
      <c r="V1911" s="85"/>
      <c r="W1911" s="85"/>
      <c r="X1911" s="85"/>
    </row>
    <row r="1912" spans="2:24" s="58" customFormat="1" ht="12" x14ac:dyDescent="0.2">
      <c r="B1912" s="91"/>
      <c r="E1912" s="92"/>
      <c r="F1912" s="93"/>
      <c r="G1912" s="94"/>
      <c r="H1912" s="94"/>
      <c r="I1912" s="94"/>
      <c r="J1912" s="94"/>
      <c r="K1912" s="93"/>
      <c r="L1912" s="86"/>
      <c r="M1912" s="86"/>
      <c r="N1912" s="86"/>
      <c r="O1912" s="86"/>
      <c r="P1912" s="86"/>
      <c r="Q1912" s="85"/>
      <c r="S1912" s="85"/>
      <c r="T1912" s="85"/>
      <c r="U1912" s="85"/>
      <c r="V1912" s="85"/>
      <c r="W1912" s="85"/>
      <c r="X1912" s="85"/>
    </row>
    <row r="1913" spans="2:24" s="58" customFormat="1" ht="12" x14ac:dyDescent="0.2">
      <c r="B1913" s="91"/>
      <c r="E1913" s="92"/>
      <c r="F1913" s="93"/>
      <c r="G1913" s="94"/>
      <c r="H1913" s="94"/>
      <c r="I1913" s="94"/>
      <c r="J1913" s="94"/>
      <c r="K1913" s="93"/>
      <c r="L1913" s="86"/>
      <c r="M1913" s="86"/>
      <c r="N1913" s="86"/>
      <c r="O1913" s="86"/>
      <c r="P1913" s="86"/>
      <c r="Q1913" s="85"/>
      <c r="S1913" s="85"/>
      <c r="T1913" s="85"/>
      <c r="U1913" s="85"/>
      <c r="V1913" s="85"/>
      <c r="W1913" s="85"/>
      <c r="X1913" s="85"/>
    </row>
    <row r="1914" spans="2:24" s="58" customFormat="1" ht="12" x14ac:dyDescent="0.2">
      <c r="B1914" s="91"/>
      <c r="E1914" s="92"/>
      <c r="F1914" s="93"/>
      <c r="G1914" s="94"/>
      <c r="H1914" s="94"/>
      <c r="I1914" s="94"/>
      <c r="J1914" s="94"/>
      <c r="K1914" s="93"/>
      <c r="L1914" s="86"/>
      <c r="M1914" s="86"/>
      <c r="N1914" s="86"/>
      <c r="O1914" s="86"/>
      <c r="P1914" s="86"/>
      <c r="Q1914" s="85"/>
      <c r="S1914" s="85"/>
      <c r="T1914" s="85"/>
      <c r="U1914" s="85"/>
      <c r="V1914" s="85"/>
      <c r="W1914" s="85"/>
      <c r="X1914" s="85"/>
    </row>
    <row r="1915" spans="2:24" s="58" customFormat="1" ht="12" x14ac:dyDescent="0.2">
      <c r="B1915" s="91"/>
      <c r="E1915" s="92"/>
      <c r="F1915" s="93"/>
      <c r="G1915" s="94"/>
      <c r="H1915" s="94"/>
      <c r="I1915" s="94"/>
      <c r="J1915" s="94"/>
      <c r="K1915" s="93"/>
      <c r="L1915" s="86"/>
      <c r="M1915" s="86"/>
      <c r="N1915" s="86"/>
      <c r="O1915" s="86"/>
      <c r="P1915" s="86"/>
      <c r="Q1915" s="85"/>
      <c r="S1915" s="85"/>
      <c r="T1915" s="85"/>
      <c r="U1915" s="85"/>
      <c r="V1915" s="85"/>
      <c r="W1915" s="85"/>
      <c r="X1915" s="85"/>
    </row>
    <row r="1916" spans="2:24" s="58" customFormat="1" ht="12" x14ac:dyDescent="0.2">
      <c r="B1916" s="91"/>
      <c r="E1916" s="92"/>
      <c r="F1916" s="93"/>
      <c r="G1916" s="94"/>
      <c r="H1916" s="94"/>
      <c r="I1916" s="94"/>
      <c r="J1916" s="94"/>
      <c r="K1916" s="93"/>
      <c r="L1916" s="86"/>
      <c r="M1916" s="86"/>
      <c r="N1916" s="86"/>
      <c r="O1916" s="86"/>
      <c r="P1916" s="86"/>
      <c r="Q1916" s="85"/>
      <c r="S1916" s="85"/>
      <c r="T1916" s="85"/>
      <c r="U1916" s="85"/>
      <c r="V1916" s="85"/>
      <c r="W1916" s="85"/>
      <c r="X1916" s="85"/>
    </row>
    <row r="1917" spans="2:24" s="58" customFormat="1" ht="12" x14ac:dyDescent="0.2">
      <c r="B1917" s="91"/>
      <c r="E1917" s="92"/>
      <c r="F1917" s="93"/>
      <c r="G1917" s="94"/>
      <c r="H1917" s="94"/>
      <c r="I1917" s="94"/>
      <c r="J1917" s="94"/>
      <c r="K1917" s="93"/>
      <c r="L1917" s="86"/>
      <c r="M1917" s="86"/>
      <c r="N1917" s="86"/>
      <c r="O1917" s="86"/>
      <c r="P1917" s="86"/>
      <c r="Q1917" s="85"/>
      <c r="S1917" s="85"/>
      <c r="T1917" s="85"/>
      <c r="U1917" s="85"/>
      <c r="V1917" s="85"/>
      <c r="W1917" s="85"/>
      <c r="X1917" s="85"/>
    </row>
    <row r="1918" spans="2:24" s="58" customFormat="1" ht="12" x14ac:dyDescent="0.2">
      <c r="B1918" s="91"/>
      <c r="E1918" s="92"/>
      <c r="F1918" s="93"/>
      <c r="G1918" s="94"/>
      <c r="H1918" s="94"/>
      <c r="I1918" s="94"/>
      <c r="J1918" s="94"/>
      <c r="K1918" s="93"/>
      <c r="L1918" s="86"/>
      <c r="M1918" s="86"/>
      <c r="N1918" s="86"/>
      <c r="O1918" s="86"/>
      <c r="P1918" s="86"/>
      <c r="Q1918" s="85"/>
      <c r="S1918" s="85"/>
      <c r="T1918" s="85"/>
      <c r="U1918" s="85"/>
      <c r="V1918" s="85"/>
      <c r="W1918" s="85"/>
      <c r="X1918" s="85"/>
    </row>
    <row r="1919" spans="2:24" s="58" customFormat="1" ht="12" x14ac:dyDescent="0.2">
      <c r="B1919" s="91"/>
      <c r="E1919" s="92"/>
      <c r="F1919" s="93"/>
      <c r="G1919" s="94"/>
      <c r="H1919" s="94"/>
      <c r="I1919" s="94"/>
      <c r="J1919" s="94"/>
      <c r="K1919" s="93"/>
      <c r="L1919" s="86"/>
      <c r="M1919" s="86"/>
      <c r="N1919" s="86"/>
      <c r="O1919" s="86"/>
      <c r="P1919" s="86"/>
      <c r="Q1919" s="85"/>
      <c r="S1919" s="85"/>
      <c r="T1919" s="85"/>
      <c r="U1919" s="85"/>
      <c r="V1919" s="85"/>
      <c r="W1919" s="85"/>
      <c r="X1919" s="85"/>
    </row>
    <row r="1920" spans="2:24" s="58" customFormat="1" ht="12" x14ac:dyDescent="0.2">
      <c r="B1920" s="91"/>
      <c r="E1920" s="92"/>
      <c r="F1920" s="93"/>
      <c r="G1920" s="94"/>
      <c r="H1920" s="94"/>
      <c r="I1920" s="94"/>
      <c r="J1920" s="94"/>
      <c r="K1920" s="93"/>
      <c r="L1920" s="86"/>
      <c r="M1920" s="86"/>
      <c r="N1920" s="86"/>
      <c r="O1920" s="86"/>
      <c r="P1920" s="86"/>
      <c r="Q1920" s="85"/>
      <c r="S1920" s="85"/>
      <c r="T1920" s="85"/>
      <c r="U1920" s="85"/>
      <c r="V1920" s="85"/>
      <c r="W1920" s="85"/>
      <c r="X1920" s="85"/>
    </row>
    <row r="1921" spans="2:24" s="58" customFormat="1" ht="12" x14ac:dyDescent="0.2">
      <c r="B1921" s="91"/>
      <c r="E1921" s="92"/>
      <c r="F1921" s="93"/>
      <c r="G1921" s="94"/>
      <c r="H1921" s="94"/>
      <c r="I1921" s="94"/>
      <c r="J1921" s="94"/>
      <c r="K1921" s="93"/>
      <c r="L1921" s="86"/>
      <c r="M1921" s="86"/>
      <c r="N1921" s="86"/>
      <c r="O1921" s="86"/>
      <c r="P1921" s="86"/>
      <c r="Q1921" s="85"/>
      <c r="S1921" s="85"/>
      <c r="T1921" s="85"/>
      <c r="U1921" s="85"/>
      <c r="V1921" s="85"/>
      <c r="W1921" s="85"/>
      <c r="X1921" s="85"/>
    </row>
    <row r="1922" spans="2:24" s="58" customFormat="1" ht="12" x14ac:dyDescent="0.2">
      <c r="B1922" s="91"/>
      <c r="E1922" s="92"/>
      <c r="F1922" s="93"/>
      <c r="G1922" s="94"/>
      <c r="H1922" s="94"/>
      <c r="I1922" s="94"/>
      <c r="J1922" s="94"/>
      <c r="K1922" s="93"/>
      <c r="L1922" s="86"/>
      <c r="M1922" s="86"/>
      <c r="N1922" s="86"/>
      <c r="O1922" s="86"/>
      <c r="P1922" s="86"/>
      <c r="Q1922" s="85"/>
      <c r="S1922" s="85"/>
      <c r="T1922" s="85"/>
      <c r="U1922" s="85"/>
      <c r="V1922" s="85"/>
      <c r="W1922" s="85"/>
      <c r="X1922" s="85"/>
    </row>
    <row r="1923" spans="2:24" s="58" customFormat="1" ht="12" x14ac:dyDescent="0.2">
      <c r="B1923" s="91"/>
      <c r="E1923" s="92"/>
      <c r="F1923" s="93"/>
      <c r="G1923" s="94"/>
      <c r="H1923" s="94"/>
      <c r="I1923" s="94"/>
      <c r="J1923" s="94"/>
      <c r="K1923" s="93"/>
      <c r="L1923" s="86"/>
      <c r="M1923" s="86"/>
      <c r="N1923" s="86"/>
      <c r="O1923" s="86"/>
      <c r="P1923" s="86"/>
      <c r="Q1923" s="85"/>
      <c r="S1923" s="85"/>
      <c r="T1923" s="85"/>
      <c r="U1923" s="85"/>
      <c r="V1923" s="85"/>
      <c r="W1923" s="85"/>
      <c r="X1923" s="85"/>
    </row>
    <row r="1924" spans="2:24" s="58" customFormat="1" ht="12" x14ac:dyDescent="0.2">
      <c r="B1924" s="91"/>
      <c r="E1924" s="92"/>
      <c r="F1924" s="93"/>
      <c r="G1924" s="94"/>
      <c r="H1924" s="94"/>
      <c r="I1924" s="94"/>
      <c r="J1924" s="94"/>
      <c r="K1924" s="93"/>
      <c r="L1924" s="86"/>
      <c r="M1924" s="86"/>
      <c r="N1924" s="86"/>
      <c r="O1924" s="86"/>
      <c r="P1924" s="86"/>
      <c r="Q1924" s="85"/>
      <c r="S1924" s="85"/>
      <c r="T1924" s="85"/>
      <c r="U1924" s="85"/>
      <c r="V1924" s="85"/>
      <c r="W1924" s="85"/>
      <c r="X1924" s="85"/>
    </row>
    <row r="1925" spans="2:24" s="58" customFormat="1" ht="12" x14ac:dyDescent="0.2">
      <c r="B1925" s="91"/>
      <c r="E1925" s="92"/>
      <c r="F1925" s="93"/>
      <c r="G1925" s="94"/>
      <c r="H1925" s="94"/>
      <c r="I1925" s="94"/>
      <c r="J1925" s="94"/>
      <c r="K1925" s="93"/>
      <c r="L1925" s="86"/>
      <c r="M1925" s="86"/>
      <c r="N1925" s="86"/>
      <c r="O1925" s="86"/>
      <c r="P1925" s="86"/>
      <c r="Q1925" s="85"/>
      <c r="S1925" s="85"/>
      <c r="T1925" s="85"/>
      <c r="U1925" s="85"/>
      <c r="V1925" s="85"/>
      <c r="W1925" s="85"/>
      <c r="X1925" s="85"/>
    </row>
    <row r="1926" spans="2:24" s="58" customFormat="1" ht="12" x14ac:dyDescent="0.2">
      <c r="B1926" s="91"/>
      <c r="E1926" s="92"/>
      <c r="F1926" s="93"/>
      <c r="G1926" s="94"/>
      <c r="H1926" s="94"/>
      <c r="I1926" s="94"/>
      <c r="J1926" s="94"/>
      <c r="K1926" s="93"/>
      <c r="L1926" s="86"/>
      <c r="M1926" s="86"/>
      <c r="N1926" s="86"/>
      <c r="O1926" s="86"/>
      <c r="P1926" s="86"/>
      <c r="Q1926" s="85"/>
      <c r="S1926" s="85"/>
      <c r="T1926" s="85"/>
      <c r="U1926" s="85"/>
      <c r="V1926" s="85"/>
      <c r="W1926" s="85"/>
      <c r="X1926" s="85"/>
    </row>
    <row r="1927" spans="2:24" s="58" customFormat="1" ht="12" x14ac:dyDescent="0.2">
      <c r="B1927" s="91"/>
      <c r="E1927" s="92"/>
      <c r="F1927" s="93"/>
      <c r="G1927" s="94"/>
      <c r="H1927" s="94"/>
      <c r="I1927" s="94"/>
      <c r="J1927" s="94"/>
      <c r="K1927" s="93"/>
      <c r="L1927" s="86"/>
      <c r="M1927" s="86"/>
      <c r="N1927" s="86"/>
      <c r="O1927" s="86"/>
      <c r="P1927" s="86"/>
      <c r="Q1927" s="85"/>
      <c r="S1927" s="85"/>
      <c r="T1927" s="85"/>
      <c r="U1927" s="85"/>
      <c r="V1927" s="85"/>
      <c r="W1927" s="85"/>
      <c r="X1927" s="85"/>
    </row>
    <row r="1928" spans="2:24" s="58" customFormat="1" ht="12" x14ac:dyDescent="0.2">
      <c r="B1928" s="91"/>
      <c r="E1928" s="92"/>
      <c r="F1928" s="93"/>
      <c r="G1928" s="94"/>
      <c r="H1928" s="94"/>
      <c r="I1928" s="94"/>
      <c r="J1928" s="94"/>
      <c r="K1928" s="93"/>
      <c r="L1928" s="86"/>
      <c r="M1928" s="86"/>
      <c r="N1928" s="86"/>
      <c r="O1928" s="86"/>
      <c r="P1928" s="86"/>
      <c r="Q1928" s="85"/>
      <c r="S1928" s="85"/>
      <c r="T1928" s="85"/>
      <c r="U1928" s="85"/>
      <c r="V1928" s="85"/>
      <c r="W1928" s="85"/>
      <c r="X1928" s="85"/>
    </row>
    <row r="1929" spans="2:24" s="58" customFormat="1" ht="12" x14ac:dyDescent="0.2">
      <c r="B1929" s="91"/>
      <c r="E1929" s="92"/>
      <c r="F1929" s="93"/>
      <c r="G1929" s="94"/>
      <c r="H1929" s="94"/>
      <c r="I1929" s="94"/>
      <c r="J1929" s="94"/>
      <c r="K1929" s="93"/>
      <c r="L1929" s="86"/>
      <c r="M1929" s="86"/>
      <c r="N1929" s="86"/>
      <c r="O1929" s="86"/>
      <c r="P1929" s="86"/>
      <c r="Q1929" s="85"/>
      <c r="S1929" s="85"/>
      <c r="T1929" s="85"/>
      <c r="U1929" s="85"/>
      <c r="V1929" s="85"/>
      <c r="W1929" s="85"/>
      <c r="X1929" s="85"/>
    </row>
    <row r="1930" spans="2:24" s="58" customFormat="1" ht="12" x14ac:dyDescent="0.2">
      <c r="B1930" s="91"/>
      <c r="E1930" s="92"/>
      <c r="F1930" s="93"/>
      <c r="G1930" s="94"/>
      <c r="H1930" s="94"/>
      <c r="I1930" s="94"/>
      <c r="J1930" s="94"/>
      <c r="K1930" s="93"/>
      <c r="L1930" s="86"/>
      <c r="M1930" s="86"/>
      <c r="N1930" s="86"/>
      <c r="O1930" s="86"/>
      <c r="P1930" s="86"/>
      <c r="Q1930" s="85"/>
      <c r="S1930" s="85"/>
      <c r="T1930" s="85"/>
      <c r="U1930" s="85"/>
      <c r="V1930" s="85"/>
      <c r="W1930" s="85"/>
      <c r="X1930" s="85"/>
    </row>
    <row r="1931" spans="2:24" s="58" customFormat="1" ht="12" x14ac:dyDescent="0.2">
      <c r="B1931" s="91"/>
      <c r="E1931" s="92"/>
      <c r="F1931" s="93"/>
      <c r="G1931" s="94"/>
      <c r="H1931" s="94"/>
      <c r="I1931" s="94"/>
      <c r="J1931" s="94"/>
      <c r="K1931" s="93"/>
      <c r="L1931" s="86"/>
      <c r="M1931" s="86"/>
      <c r="N1931" s="86"/>
      <c r="O1931" s="86"/>
      <c r="P1931" s="86"/>
      <c r="Q1931" s="85"/>
      <c r="S1931" s="85"/>
      <c r="T1931" s="85"/>
      <c r="U1931" s="85"/>
      <c r="V1931" s="85"/>
      <c r="W1931" s="85"/>
      <c r="X1931" s="85"/>
    </row>
    <row r="1932" spans="2:24" s="58" customFormat="1" ht="12" x14ac:dyDescent="0.2">
      <c r="B1932" s="91"/>
      <c r="E1932" s="92"/>
      <c r="F1932" s="93"/>
      <c r="G1932" s="94"/>
      <c r="H1932" s="94"/>
      <c r="I1932" s="94"/>
      <c r="J1932" s="94"/>
      <c r="K1932" s="93"/>
      <c r="L1932" s="86"/>
      <c r="M1932" s="86"/>
      <c r="N1932" s="86"/>
      <c r="O1932" s="86"/>
      <c r="P1932" s="86"/>
      <c r="Q1932" s="85"/>
      <c r="S1932" s="85"/>
      <c r="T1932" s="85"/>
      <c r="U1932" s="85"/>
      <c r="V1932" s="85"/>
      <c r="W1932" s="85"/>
      <c r="X1932" s="85"/>
    </row>
    <row r="1933" spans="2:24" s="58" customFormat="1" ht="12" x14ac:dyDescent="0.2">
      <c r="B1933" s="91"/>
      <c r="E1933" s="92"/>
      <c r="F1933" s="93"/>
      <c r="G1933" s="94"/>
      <c r="H1933" s="94"/>
      <c r="I1933" s="94"/>
      <c r="J1933" s="94"/>
      <c r="K1933" s="93"/>
      <c r="L1933" s="86"/>
      <c r="M1933" s="86"/>
      <c r="N1933" s="86"/>
      <c r="O1933" s="86"/>
      <c r="P1933" s="86"/>
      <c r="Q1933" s="85"/>
      <c r="S1933" s="85"/>
      <c r="T1933" s="85"/>
      <c r="U1933" s="85"/>
      <c r="V1933" s="85"/>
      <c r="W1933" s="85"/>
      <c r="X1933" s="85"/>
    </row>
    <row r="1934" spans="2:24" s="58" customFormat="1" ht="12" x14ac:dyDescent="0.2">
      <c r="B1934" s="91"/>
      <c r="E1934" s="92"/>
      <c r="F1934" s="93"/>
      <c r="G1934" s="94"/>
      <c r="H1934" s="94"/>
      <c r="I1934" s="94"/>
      <c r="J1934" s="94"/>
      <c r="K1934" s="93"/>
      <c r="L1934" s="86"/>
      <c r="M1934" s="86"/>
      <c r="N1934" s="86"/>
      <c r="O1934" s="86"/>
      <c r="P1934" s="86"/>
      <c r="Q1934" s="85"/>
      <c r="S1934" s="85"/>
      <c r="T1934" s="85"/>
      <c r="U1934" s="85"/>
      <c r="V1934" s="85"/>
      <c r="W1934" s="85"/>
      <c r="X1934" s="85"/>
    </row>
    <row r="1935" spans="2:24" s="58" customFormat="1" ht="12" x14ac:dyDescent="0.2">
      <c r="B1935" s="91"/>
      <c r="E1935" s="92"/>
      <c r="F1935" s="93"/>
      <c r="G1935" s="94"/>
      <c r="H1935" s="94"/>
      <c r="I1935" s="94"/>
      <c r="J1935" s="94"/>
      <c r="K1935" s="93"/>
      <c r="L1935" s="86"/>
      <c r="M1935" s="86"/>
      <c r="N1935" s="86"/>
      <c r="O1935" s="86"/>
      <c r="P1935" s="86"/>
      <c r="Q1935" s="85"/>
      <c r="S1935" s="85"/>
      <c r="T1935" s="85"/>
      <c r="U1935" s="85"/>
      <c r="V1935" s="85"/>
      <c r="W1935" s="85"/>
      <c r="X1935" s="85"/>
    </row>
    <row r="1936" spans="2:24" s="58" customFormat="1" ht="12" x14ac:dyDescent="0.2">
      <c r="B1936" s="91"/>
      <c r="E1936" s="92"/>
      <c r="F1936" s="93"/>
      <c r="G1936" s="94"/>
      <c r="H1936" s="94"/>
      <c r="I1936" s="94"/>
      <c r="J1936" s="94"/>
      <c r="K1936" s="93"/>
      <c r="L1936" s="86"/>
      <c r="M1936" s="86"/>
      <c r="N1936" s="86"/>
      <c r="O1936" s="86"/>
      <c r="P1936" s="86"/>
      <c r="Q1936" s="85"/>
      <c r="S1936" s="85"/>
      <c r="T1936" s="85"/>
      <c r="U1936" s="85"/>
      <c r="V1936" s="85"/>
      <c r="W1936" s="85"/>
      <c r="X1936" s="85"/>
    </row>
    <row r="1937" spans="2:24" s="58" customFormat="1" ht="12" x14ac:dyDescent="0.2">
      <c r="B1937" s="91"/>
      <c r="E1937" s="92"/>
      <c r="F1937" s="93"/>
      <c r="G1937" s="94"/>
      <c r="H1937" s="94"/>
      <c r="I1937" s="94"/>
      <c r="J1937" s="94"/>
      <c r="K1937" s="93"/>
      <c r="L1937" s="86"/>
      <c r="M1937" s="86"/>
      <c r="N1937" s="86"/>
      <c r="O1937" s="86"/>
      <c r="P1937" s="86"/>
      <c r="Q1937" s="85"/>
      <c r="S1937" s="85"/>
      <c r="T1937" s="85"/>
      <c r="U1937" s="85"/>
      <c r="V1937" s="85"/>
      <c r="W1937" s="85"/>
      <c r="X1937" s="85"/>
    </row>
    <row r="1938" spans="2:24" s="58" customFormat="1" ht="12" x14ac:dyDescent="0.2">
      <c r="B1938" s="91"/>
      <c r="E1938" s="92"/>
      <c r="F1938" s="93"/>
      <c r="G1938" s="94"/>
      <c r="H1938" s="94"/>
      <c r="I1938" s="94"/>
      <c r="J1938" s="94"/>
      <c r="K1938" s="93"/>
      <c r="L1938" s="86"/>
      <c r="M1938" s="86"/>
      <c r="N1938" s="86"/>
      <c r="O1938" s="86"/>
      <c r="P1938" s="86"/>
      <c r="Q1938" s="85"/>
      <c r="S1938" s="85"/>
      <c r="T1938" s="85"/>
      <c r="U1938" s="85"/>
      <c r="V1938" s="85"/>
      <c r="W1938" s="85"/>
      <c r="X1938" s="85"/>
    </row>
    <row r="1939" spans="2:24" s="58" customFormat="1" ht="12" x14ac:dyDescent="0.2">
      <c r="B1939" s="91"/>
      <c r="E1939" s="92"/>
      <c r="F1939" s="93"/>
      <c r="G1939" s="94"/>
      <c r="H1939" s="94"/>
      <c r="I1939" s="94"/>
      <c r="J1939" s="94"/>
      <c r="K1939" s="93"/>
      <c r="L1939" s="86"/>
      <c r="M1939" s="86"/>
      <c r="N1939" s="86"/>
      <c r="O1939" s="86"/>
      <c r="P1939" s="86"/>
      <c r="Q1939" s="85"/>
      <c r="S1939" s="85"/>
      <c r="T1939" s="85"/>
      <c r="U1939" s="85"/>
      <c r="V1939" s="85"/>
      <c r="W1939" s="85"/>
      <c r="X1939" s="85"/>
    </row>
    <row r="1940" spans="2:24" s="58" customFormat="1" ht="12" x14ac:dyDescent="0.2">
      <c r="B1940" s="91"/>
      <c r="E1940" s="92"/>
      <c r="F1940" s="93"/>
      <c r="G1940" s="94"/>
      <c r="H1940" s="94"/>
      <c r="I1940" s="94"/>
      <c r="J1940" s="94"/>
      <c r="K1940" s="93"/>
      <c r="L1940" s="86"/>
      <c r="M1940" s="86"/>
      <c r="N1940" s="86"/>
      <c r="O1940" s="86"/>
      <c r="P1940" s="86"/>
      <c r="Q1940" s="85"/>
      <c r="S1940" s="85"/>
      <c r="T1940" s="85"/>
      <c r="U1940" s="85"/>
      <c r="V1940" s="85"/>
      <c r="W1940" s="85"/>
      <c r="X1940" s="85"/>
    </row>
    <row r="1941" spans="2:24" s="58" customFormat="1" ht="12" x14ac:dyDescent="0.2">
      <c r="B1941" s="91"/>
      <c r="E1941" s="92"/>
      <c r="F1941" s="93"/>
      <c r="G1941" s="94"/>
      <c r="H1941" s="94"/>
      <c r="I1941" s="94"/>
      <c r="J1941" s="94"/>
      <c r="K1941" s="93"/>
      <c r="L1941" s="86"/>
      <c r="M1941" s="86"/>
      <c r="N1941" s="86"/>
      <c r="O1941" s="86"/>
      <c r="P1941" s="86"/>
      <c r="Q1941" s="85"/>
      <c r="S1941" s="85"/>
      <c r="T1941" s="85"/>
      <c r="U1941" s="85"/>
      <c r="V1941" s="85"/>
      <c r="W1941" s="85"/>
      <c r="X1941" s="85"/>
    </row>
    <row r="1942" spans="2:24" s="58" customFormat="1" ht="12" x14ac:dyDescent="0.2">
      <c r="B1942" s="91"/>
      <c r="E1942" s="92"/>
      <c r="F1942" s="93"/>
      <c r="G1942" s="94"/>
      <c r="H1942" s="94"/>
      <c r="I1942" s="94"/>
      <c r="J1942" s="94"/>
      <c r="K1942" s="93"/>
      <c r="L1942" s="86"/>
      <c r="M1942" s="86"/>
      <c r="N1942" s="86"/>
      <c r="O1942" s="86"/>
      <c r="P1942" s="86"/>
      <c r="Q1942" s="85"/>
      <c r="S1942" s="85"/>
      <c r="T1942" s="85"/>
      <c r="U1942" s="85"/>
      <c r="V1942" s="85"/>
      <c r="W1942" s="85"/>
      <c r="X1942" s="85"/>
    </row>
    <row r="1943" spans="2:24" s="58" customFormat="1" ht="12" x14ac:dyDescent="0.2">
      <c r="B1943" s="91"/>
      <c r="E1943" s="92"/>
      <c r="F1943" s="93"/>
      <c r="G1943" s="94"/>
      <c r="H1943" s="94"/>
      <c r="I1943" s="94"/>
      <c r="J1943" s="94"/>
      <c r="K1943" s="93"/>
      <c r="L1943" s="86"/>
      <c r="M1943" s="86"/>
      <c r="N1943" s="86"/>
      <c r="O1943" s="86"/>
      <c r="P1943" s="86"/>
      <c r="Q1943" s="85"/>
      <c r="S1943" s="85"/>
      <c r="T1943" s="85"/>
      <c r="U1943" s="85"/>
      <c r="V1943" s="85"/>
      <c r="W1943" s="85"/>
      <c r="X1943" s="85"/>
    </row>
    <row r="1944" spans="2:24" s="58" customFormat="1" ht="12" x14ac:dyDescent="0.2">
      <c r="B1944" s="91"/>
      <c r="E1944" s="92"/>
      <c r="F1944" s="93"/>
      <c r="G1944" s="94"/>
      <c r="H1944" s="94"/>
      <c r="I1944" s="94"/>
      <c r="J1944" s="94"/>
      <c r="K1944" s="93"/>
      <c r="L1944" s="86"/>
      <c r="M1944" s="86"/>
      <c r="N1944" s="86"/>
      <c r="O1944" s="86"/>
      <c r="P1944" s="86"/>
      <c r="Q1944" s="85"/>
      <c r="S1944" s="85"/>
      <c r="T1944" s="85"/>
      <c r="U1944" s="85"/>
      <c r="V1944" s="85"/>
      <c r="W1944" s="85"/>
      <c r="X1944" s="85"/>
    </row>
    <row r="1945" spans="2:24" s="58" customFormat="1" ht="12" x14ac:dyDescent="0.2">
      <c r="B1945" s="91"/>
      <c r="E1945" s="92"/>
      <c r="F1945" s="93"/>
      <c r="G1945" s="94"/>
      <c r="H1945" s="94"/>
      <c r="I1945" s="94"/>
      <c r="J1945" s="94"/>
      <c r="K1945" s="93"/>
      <c r="L1945" s="86"/>
      <c r="M1945" s="86"/>
      <c r="N1945" s="86"/>
      <c r="O1945" s="86"/>
      <c r="P1945" s="86"/>
      <c r="Q1945" s="85"/>
      <c r="S1945" s="85"/>
      <c r="T1945" s="85"/>
      <c r="U1945" s="85"/>
      <c r="V1945" s="85"/>
      <c r="W1945" s="85"/>
      <c r="X1945" s="85"/>
    </row>
    <row r="1946" spans="2:24" s="58" customFormat="1" ht="12" x14ac:dyDescent="0.2">
      <c r="B1946" s="91"/>
      <c r="E1946" s="92"/>
      <c r="F1946" s="93"/>
      <c r="G1946" s="94"/>
      <c r="H1946" s="94"/>
      <c r="I1946" s="94"/>
      <c r="J1946" s="94"/>
      <c r="K1946" s="93"/>
      <c r="L1946" s="86"/>
      <c r="M1946" s="86"/>
      <c r="N1946" s="86"/>
      <c r="O1946" s="86"/>
      <c r="P1946" s="86"/>
      <c r="Q1946" s="85"/>
      <c r="S1946" s="85"/>
      <c r="T1946" s="85"/>
      <c r="U1946" s="85"/>
      <c r="V1946" s="85"/>
      <c r="W1946" s="85"/>
      <c r="X1946" s="85"/>
    </row>
    <row r="1947" spans="2:24" s="58" customFormat="1" ht="12" x14ac:dyDescent="0.2">
      <c r="B1947" s="91"/>
      <c r="E1947" s="92"/>
      <c r="F1947" s="93"/>
      <c r="G1947" s="94"/>
      <c r="H1947" s="94"/>
      <c r="I1947" s="94"/>
      <c r="J1947" s="94"/>
      <c r="K1947" s="93"/>
      <c r="L1947" s="86"/>
      <c r="M1947" s="86"/>
      <c r="N1947" s="86"/>
      <c r="O1947" s="86"/>
      <c r="P1947" s="86"/>
      <c r="Q1947" s="85"/>
      <c r="S1947" s="85"/>
      <c r="T1947" s="85"/>
      <c r="U1947" s="85"/>
      <c r="V1947" s="85"/>
      <c r="W1947" s="85"/>
      <c r="X1947" s="85"/>
    </row>
    <row r="1948" spans="2:24" s="58" customFormat="1" ht="12" x14ac:dyDescent="0.2">
      <c r="B1948" s="91"/>
      <c r="E1948" s="92"/>
      <c r="F1948" s="93"/>
      <c r="G1948" s="94"/>
      <c r="H1948" s="94"/>
      <c r="I1948" s="94"/>
      <c r="J1948" s="94"/>
      <c r="K1948" s="93"/>
      <c r="L1948" s="86"/>
      <c r="M1948" s="86"/>
      <c r="N1948" s="86"/>
      <c r="O1948" s="86"/>
      <c r="P1948" s="86"/>
      <c r="Q1948" s="85"/>
      <c r="S1948" s="85"/>
      <c r="T1948" s="85"/>
      <c r="U1948" s="85"/>
      <c r="V1948" s="85"/>
      <c r="W1948" s="85"/>
      <c r="X1948" s="85"/>
    </row>
    <row r="1949" spans="2:24" s="58" customFormat="1" ht="12" x14ac:dyDescent="0.2">
      <c r="B1949" s="91"/>
      <c r="E1949" s="92"/>
      <c r="F1949" s="93"/>
      <c r="G1949" s="94"/>
      <c r="H1949" s="94"/>
      <c r="I1949" s="94"/>
      <c r="J1949" s="94"/>
      <c r="K1949" s="93"/>
      <c r="L1949" s="86"/>
      <c r="M1949" s="86"/>
      <c r="N1949" s="86"/>
      <c r="O1949" s="86"/>
      <c r="P1949" s="86"/>
      <c r="Q1949" s="85"/>
      <c r="S1949" s="85"/>
      <c r="T1949" s="85"/>
      <c r="U1949" s="85"/>
      <c r="V1949" s="85"/>
      <c r="W1949" s="85"/>
      <c r="X1949" s="85"/>
    </row>
    <row r="1950" spans="2:24" s="58" customFormat="1" ht="12" x14ac:dyDescent="0.2">
      <c r="B1950" s="91"/>
      <c r="E1950" s="92"/>
      <c r="F1950" s="93"/>
      <c r="G1950" s="94"/>
      <c r="H1950" s="94"/>
      <c r="I1950" s="94"/>
      <c r="J1950" s="94"/>
      <c r="K1950" s="93"/>
      <c r="L1950" s="86"/>
      <c r="M1950" s="86"/>
      <c r="N1950" s="86"/>
      <c r="O1950" s="86"/>
      <c r="P1950" s="86"/>
      <c r="Q1950" s="85"/>
      <c r="S1950" s="85"/>
      <c r="T1950" s="85"/>
      <c r="U1950" s="85"/>
      <c r="V1950" s="85"/>
      <c r="W1950" s="85"/>
      <c r="X1950" s="85"/>
    </row>
    <row r="1951" spans="2:24" s="58" customFormat="1" ht="12" x14ac:dyDescent="0.2">
      <c r="B1951" s="91"/>
      <c r="E1951" s="92"/>
      <c r="F1951" s="93"/>
      <c r="G1951" s="94"/>
      <c r="H1951" s="94"/>
      <c r="I1951" s="94"/>
      <c r="J1951" s="94"/>
      <c r="K1951" s="93"/>
      <c r="L1951" s="86"/>
      <c r="M1951" s="86"/>
      <c r="N1951" s="86"/>
      <c r="O1951" s="86"/>
      <c r="P1951" s="86"/>
      <c r="Q1951" s="85"/>
      <c r="S1951" s="85"/>
      <c r="T1951" s="85"/>
      <c r="U1951" s="85"/>
      <c r="V1951" s="85"/>
      <c r="W1951" s="85"/>
      <c r="X1951" s="85"/>
    </row>
    <row r="1952" spans="2:24" s="58" customFormat="1" ht="12" x14ac:dyDescent="0.2">
      <c r="B1952" s="91"/>
      <c r="E1952" s="92"/>
      <c r="F1952" s="93"/>
      <c r="G1952" s="94"/>
      <c r="H1952" s="94"/>
      <c r="I1952" s="94"/>
      <c r="J1952" s="94"/>
      <c r="K1952" s="93"/>
      <c r="L1952" s="86"/>
      <c r="M1952" s="86"/>
      <c r="N1952" s="86"/>
      <c r="O1952" s="86"/>
      <c r="P1952" s="86"/>
      <c r="Q1952" s="85"/>
      <c r="S1952" s="85"/>
      <c r="T1952" s="85"/>
      <c r="U1952" s="85"/>
      <c r="V1952" s="85"/>
      <c r="W1952" s="85"/>
      <c r="X1952" s="85"/>
    </row>
    <row r="1953" spans="2:24" s="58" customFormat="1" ht="12" x14ac:dyDescent="0.2">
      <c r="B1953" s="91"/>
      <c r="E1953" s="92"/>
      <c r="F1953" s="93"/>
      <c r="G1953" s="94"/>
      <c r="H1953" s="94"/>
      <c r="I1953" s="94"/>
      <c r="J1953" s="94"/>
      <c r="K1953" s="93"/>
      <c r="L1953" s="86"/>
      <c r="M1953" s="86"/>
      <c r="N1953" s="86"/>
      <c r="O1953" s="86"/>
      <c r="P1953" s="86"/>
      <c r="Q1953" s="85"/>
      <c r="S1953" s="85"/>
      <c r="T1953" s="85"/>
      <c r="U1953" s="85"/>
      <c r="V1953" s="85"/>
      <c r="W1953" s="85"/>
      <c r="X1953" s="85"/>
    </row>
    <row r="1954" spans="2:24" s="58" customFormat="1" ht="12" x14ac:dyDescent="0.2">
      <c r="B1954" s="91"/>
      <c r="E1954" s="92"/>
      <c r="F1954" s="93"/>
      <c r="G1954" s="94"/>
      <c r="H1954" s="94"/>
      <c r="I1954" s="94"/>
      <c r="J1954" s="94"/>
      <c r="K1954" s="93"/>
      <c r="L1954" s="86"/>
      <c r="M1954" s="86"/>
      <c r="N1954" s="86"/>
      <c r="O1954" s="86"/>
      <c r="P1954" s="86"/>
      <c r="Q1954" s="85"/>
      <c r="S1954" s="85"/>
      <c r="T1954" s="85"/>
      <c r="U1954" s="85"/>
      <c r="V1954" s="85"/>
      <c r="W1954" s="85"/>
      <c r="X1954" s="85"/>
    </row>
    <row r="1955" spans="2:24" s="58" customFormat="1" ht="12" x14ac:dyDescent="0.2">
      <c r="B1955" s="91"/>
      <c r="E1955" s="92"/>
      <c r="F1955" s="93"/>
      <c r="G1955" s="94"/>
      <c r="H1955" s="94"/>
      <c r="I1955" s="94"/>
      <c r="J1955" s="94"/>
      <c r="K1955" s="93"/>
      <c r="L1955" s="86"/>
      <c r="M1955" s="86"/>
      <c r="N1955" s="86"/>
      <c r="O1955" s="86"/>
      <c r="P1955" s="86"/>
      <c r="Q1955" s="85"/>
      <c r="S1955" s="85"/>
      <c r="T1955" s="85"/>
      <c r="U1955" s="85"/>
      <c r="V1955" s="85"/>
      <c r="W1955" s="85"/>
      <c r="X1955" s="85"/>
    </row>
    <row r="1956" spans="2:24" s="58" customFormat="1" ht="12" x14ac:dyDescent="0.2">
      <c r="B1956" s="91"/>
      <c r="E1956" s="92"/>
      <c r="F1956" s="93"/>
      <c r="G1956" s="94"/>
      <c r="H1956" s="94"/>
      <c r="I1956" s="94"/>
      <c r="J1956" s="94"/>
      <c r="K1956" s="93"/>
      <c r="L1956" s="86"/>
      <c r="M1956" s="86"/>
      <c r="N1956" s="86"/>
      <c r="O1956" s="86"/>
      <c r="P1956" s="86"/>
      <c r="Q1956" s="85"/>
      <c r="S1956" s="85"/>
      <c r="T1956" s="85"/>
      <c r="U1956" s="85"/>
      <c r="V1956" s="85"/>
      <c r="W1956" s="85"/>
      <c r="X1956" s="85"/>
    </row>
    <row r="1957" spans="2:24" s="58" customFormat="1" ht="12" x14ac:dyDescent="0.2">
      <c r="B1957" s="91"/>
      <c r="E1957" s="92"/>
      <c r="F1957" s="93"/>
      <c r="G1957" s="94"/>
      <c r="H1957" s="94"/>
      <c r="I1957" s="94"/>
      <c r="J1957" s="94"/>
      <c r="K1957" s="93"/>
      <c r="L1957" s="86"/>
      <c r="M1957" s="86"/>
      <c r="N1957" s="86"/>
      <c r="O1957" s="86"/>
      <c r="P1957" s="86"/>
      <c r="Q1957" s="85"/>
      <c r="S1957" s="85"/>
      <c r="T1957" s="85"/>
      <c r="U1957" s="85"/>
      <c r="V1957" s="85"/>
      <c r="W1957" s="85"/>
      <c r="X1957" s="85"/>
    </row>
    <row r="1958" spans="2:24" s="58" customFormat="1" ht="12" x14ac:dyDescent="0.2">
      <c r="B1958" s="91"/>
      <c r="E1958" s="92"/>
      <c r="F1958" s="93"/>
      <c r="G1958" s="94"/>
      <c r="H1958" s="94"/>
      <c r="I1958" s="94"/>
      <c r="J1958" s="94"/>
      <c r="K1958" s="93"/>
      <c r="L1958" s="86"/>
      <c r="M1958" s="86"/>
      <c r="N1958" s="86"/>
      <c r="O1958" s="86"/>
      <c r="P1958" s="86"/>
      <c r="Q1958" s="85"/>
      <c r="S1958" s="85"/>
      <c r="T1958" s="85"/>
      <c r="U1958" s="85"/>
      <c r="V1958" s="85"/>
      <c r="W1958" s="85"/>
      <c r="X1958" s="85"/>
    </row>
    <row r="1959" spans="2:24" s="58" customFormat="1" ht="12" x14ac:dyDescent="0.2">
      <c r="B1959" s="91"/>
      <c r="E1959" s="92"/>
      <c r="F1959" s="93"/>
      <c r="G1959" s="94"/>
      <c r="H1959" s="94"/>
      <c r="I1959" s="94"/>
      <c r="J1959" s="94"/>
      <c r="K1959" s="93"/>
      <c r="L1959" s="86"/>
      <c r="M1959" s="86"/>
      <c r="N1959" s="86"/>
      <c r="O1959" s="86"/>
      <c r="P1959" s="86"/>
      <c r="Q1959" s="85"/>
      <c r="S1959" s="85"/>
      <c r="T1959" s="85"/>
      <c r="U1959" s="85"/>
      <c r="V1959" s="85"/>
      <c r="W1959" s="85"/>
      <c r="X1959" s="85"/>
    </row>
    <row r="1960" spans="2:24" s="58" customFormat="1" ht="12" x14ac:dyDescent="0.2">
      <c r="B1960" s="91"/>
      <c r="E1960" s="92"/>
      <c r="F1960" s="93"/>
      <c r="G1960" s="94"/>
      <c r="H1960" s="94"/>
      <c r="I1960" s="94"/>
      <c r="J1960" s="94"/>
      <c r="K1960" s="93"/>
      <c r="L1960" s="86"/>
      <c r="M1960" s="86"/>
      <c r="N1960" s="86"/>
      <c r="O1960" s="86"/>
      <c r="P1960" s="86"/>
      <c r="Q1960" s="85"/>
      <c r="S1960" s="85"/>
      <c r="T1960" s="85"/>
      <c r="U1960" s="85"/>
      <c r="V1960" s="85"/>
      <c r="W1960" s="85"/>
      <c r="X1960" s="85"/>
    </row>
    <row r="1961" spans="2:24" s="58" customFormat="1" ht="12" x14ac:dyDescent="0.2">
      <c r="B1961" s="91"/>
      <c r="E1961" s="92"/>
      <c r="F1961" s="93"/>
      <c r="G1961" s="94"/>
      <c r="H1961" s="94"/>
      <c r="I1961" s="94"/>
      <c r="J1961" s="94"/>
      <c r="K1961" s="93"/>
      <c r="L1961" s="86"/>
      <c r="M1961" s="86"/>
      <c r="N1961" s="86"/>
      <c r="O1961" s="86"/>
      <c r="P1961" s="86"/>
      <c r="Q1961" s="85"/>
      <c r="S1961" s="85"/>
      <c r="T1961" s="85"/>
      <c r="U1961" s="85"/>
      <c r="V1961" s="85"/>
      <c r="W1961" s="85"/>
      <c r="X1961" s="85"/>
    </row>
    <row r="1962" spans="2:24" s="58" customFormat="1" ht="12" x14ac:dyDescent="0.2">
      <c r="B1962" s="91"/>
      <c r="E1962" s="92"/>
      <c r="F1962" s="93"/>
      <c r="G1962" s="94"/>
      <c r="H1962" s="94"/>
      <c r="I1962" s="94"/>
      <c r="J1962" s="94"/>
      <c r="K1962" s="93"/>
      <c r="L1962" s="86"/>
      <c r="M1962" s="86"/>
      <c r="N1962" s="86"/>
      <c r="O1962" s="86"/>
      <c r="P1962" s="86"/>
      <c r="Q1962" s="85"/>
      <c r="S1962" s="85"/>
      <c r="T1962" s="85"/>
      <c r="U1962" s="85"/>
      <c r="V1962" s="85"/>
      <c r="W1962" s="85"/>
      <c r="X1962" s="85"/>
    </row>
    <row r="1963" spans="2:24" s="58" customFormat="1" ht="12" x14ac:dyDescent="0.2">
      <c r="B1963" s="91"/>
      <c r="E1963" s="92"/>
      <c r="F1963" s="93"/>
      <c r="G1963" s="94"/>
      <c r="H1963" s="94"/>
      <c r="I1963" s="94"/>
      <c r="J1963" s="94"/>
      <c r="K1963" s="93"/>
      <c r="L1963" s="86"/>
      <c r="M1963" s="86"/>
      <c r="N1963" s="86"/>
      <c r="O1963" s="86"/>
      <c r="P1963" s="86"/>
      <c r="Q1963" s="85"/>
      <c r="S1963" s="85"/>
      <c r="T1963" s="85"/>
      <c r="U1963" s="85"/>
      <c r="V1963" s="85"/>
      <c r="W1963" s="85"/>
      <c r="X1963" s="85"/>
    </row>
    <row r="1964" spans="2:24" s="58" customFormat="1" ht="12" x14ac:dyDescent="0.2">
      <c r="B1964" s="91"/>
      <c r="E1964" s="92"/>
      <c r="F1964" s="93"/>
      <c r="G1964" s="94"/>
      <c r="H1964" s="94"/>
      <c r="I1964" s="94"/>
      <c r="J1964" s="94"/>
      <c r="K1964" s="93"/>
      <c r="L1964" s="86"/>
      <c r="M1964" s="86"/>
      <c r="N1964" s="86"/>
      <c r="O1964" s="86"/>
      <c r="P1964" s="86"/>
      <c r="Q1964" s="85"/>
      <c r="S1964" s="85"/>
      <c r="T1964" s="85"/>
      <c r="U1964" s="85"/>
      <c r="V1964" s="85"/>
      <c r="W1964" s="85"/>
      <c r="X1964" s="85"/>
    </row>
    <row r="1965" spans="2:24" s="58" customFormat="1" ht="12" x14ac:dyDescent="0.2">
      <c r="B1965" s="91"/>
      <c r="E1965" s="92"/>
      <c r="F1965" s="93"/>
      <c r="G1965" s="94"/>
      <c r="H1965" s="94"/>
      <c r="I1965" s="94"/>
      <c r="J1965" s="94"/>
      <c r="K1965" s="93"/>
      <c r="L1965" s="86"/>
      <c r="M1965" s="86"/>
      <c r="N1965" s="86"/>
      <c r="O1965" s="86"/>
      <c r="P1965" s="86"/>
      <c r="Q1965" s="85"/>
      <c r="S1965" s="85"/>
      <c r="T1965" s="85"/>
      <c r="U1965" s="85"/>
      <c r="V1965" s="85"/>
      <c r="W1965" s="85"/>
      <c r="X1965" s="85"/>
    </row>
    <row r="1966" spans="2:24" s="58" customFormat="1" ht="12" x14ac:dyDescent="0.2">
      <c r="B1966" s="91"/>
      <c r="E1966" s="92"/>
      <c r="F1966" s="93"/>
      <c r="G1966" s="94"/>
      <c r="H1966" s="94"/>
      <c r="I1966" s="94"/>
      <c r="J1966" s="94"/>
      <c r="K1966" s="93"/>
      <c r="L1966" s="86"/>
      <c r="M1966" s="86"/>
      <c r="N1966" s="86"/>
      <c r="O1966" s="86"/>
      <c r="P1966" s="86"/>
      <c r="Q1966" s="85"/>
      <c r="S1966" s="85"/>
      <c r="T1966" s="85"/>
      <c r="U1966" s="85"/>
      <c r="V1966" s="85"/>
      <c r="W1966" s="85"/>
      <c r="X1966" s="85"/>
    </row>
    <row r="1967" spans="2:24" s="58" customFormat="1" ht="12" x14ac:dyDescent="0.2">
      <c r="B1967" s="91"/>
      <c r="E1967" s="92"/>
      <c r="F1967" s="93"/>
      <c r="G1967" s="94"/>
      <c r="H1967" s="94"/>
      <c r="I1967" s="94"/>
      <c r="J1967" s="94"/>
      <c r="K1967" s="93"/>
      <c r="L1967" s="86"/>
      <c r="M1967" s="86"/>
      <c r="N1967" s="86"/>
      <c r="O1967" s="86"/>
      <c r="P1967" s="86"/>
      <c r="Q1967" s="85"/>
      <c r="S1967" s="85"/>
      <c r="T1967" s="85"/>
      <c r="U1967" s="85"/>
      <c r="V1967" s="85"/>
      <c r="W1967" s="85"/>
      <c r="X1967" s="85"/>
    </row>
    <row r="1968" spans="2:24" s="58" customFormat="1" ht="12" x14ac:dyDescent="0.2">
      <c r="B1968" s="91"/>
      <c r="E1968" s="92"/>
      <c r="F1968" s="93"/>
      <c r="G1968" s="94"/>
      <c r="H1968" s="94"/>
      <c r="I1968" s="94"/>
      <c r="J1968" s="94"/>
      <c r="K1968" s="93"/>
      <c r="L1968" s="86"/>
      <c r="M1968" s="86"/>
      <c r="N1968" s="86"/>
      <c r="O1968" s="86"/>
      <c r="P1968" s="86"/>
      <c r="Q1968" s="85"/>
      <c r="S1968" s="85"/>
      <c r="T1968" s="85"/>
      <c r="U1968" s="85"/>
      <c r="V1968" s="85"/>
      <c r="W1968" s="85"/>
      <c r="X1968" s="85"/>
    </row>
    <row r="1969" spans="2:24" s="58" customFormat="1" ht="12" x14ac:dyDescent="0.2">
      <c r="B1969" s="91"/>
      <c r="E1969" s="92"/>
      <c r="F1969" s="93"/>
      <c r="G1969" s="94"/>
      <c r="H1969" s="94"/>
      <c r="I1969" s="94"/>
      <c r="J1969" s="94"/>
      <c r="K1969" s="93"/>
      <c r="L1969" s="86"/>
      <c r="M1969" s="86"/>
      <c r="N1969" s="86"/>
      <c r="O1969" s="86"/>
      <c r="P1969" s="86"/>
      <c r="Q1969" s="85"/>
      <c r="S1969" s="85"/>
      <c r="T1969" s="85"/>
      <c r="U1969" s="85"/>
      <c r="V1969" s="85"/>
      <c r="W1969" s="85"/>
      <c r="X1969" s="85"/>
    </row>
    <row r="1970" spans="2:24" s="58" customFormat="1" ht="12" x14ac:dyDescent="0.2">
      <c r="B1970" s="91"/>
      <c r="E1970" s="92"/>
      <c r="F1970" s="93"/>
      <c r="G1970" s="94"/>
      <c r="H1970" s="94"/>
      <c r="I1970" s="94"/>
      <c r="J1970" s="94"/>
      <c r="K1970" s="93"/>
      <c r="L1970" s="86"/>
      <c r="M1970" s="86"/>
      <c r="N1970" s="86"/>
      <c r="O1970" s="86"/>
      <c r="P1970" s="86"/>
      <c r="Q1970" s="85"/>
      <c r="S1970" s="85"/>
      <c r="T1970" s="85"/>
      <c r="U1970" s="85"/>
      <c r="V1970" s="85"/>
      <c r="W1970" s="85"/>
      <c r="X1970" s="85"/>
    </row>
    <row r="1971" spans="2:24" s="58" customFormat="1" ht="12" x14ac:dyDescent="0.2">
      <c r="B1971" s="91"/>
      <c r="E1971" s="92"/>
      <c r="F1971" s="93"/>
      <c r="G1971" s="94"/>
      <c r="H1971" s="94"/>
      <c r="I1971" s="94"/>
      <c r="J1971" s="94"/>
      <c r="K1971" s="93"/>
      <c r="L1971" s="86"/>
      <c r="M1971" s="86"/>
      <c r="N1971" s="86"/>
      <c r="O1971" s="86"/>
      <c r="P1971" s="86"/>
      <c r="Q1971" s="85"/>
      <c r="S1971" s="85"/>
      <c r="T1971" s="85"/>
      <c r="U1971" s="85"/>
      <c r="V1971" s="85"/>
      <c r="W1971" s="85"/>
      <c r="X1971" s="85"/>
    </row>
    <row r="1972" spans="2:24" s="58" customFormat="1" ht="12" x14ac:dyDescent="0.2">
      <c r="B1972" s="91"/>
      <c r="E1972" s="92"/>
      <c r="F1972" s="93"/>
      <c r="G1972" s="94"/>
      <c r="H1972" s="94"/>
      <c r="I1972" s="94"/>
      <c r="J1972" s="94"/>
      <c r="K1972" s="93"/>
      <c r="L1972" s="86"/>
      <c r="M1972" s="86"/>
      <c r="N1972" s="86"/>
      <c r="O1972" s="86"/>
      <c r="P1972" s="86"/>
      <c r="Q1972" s="85"/>
      <c r="S1972" s="85"/>
      <c r="T1972" s="85"/>
      <c r="U1972" s="85"/>
      <c r="V1972" s="85"/>
      <c r="W1972" s="85"/>
      <c r="X1972" s="85"/>
    </row>
    <row r="1973" spans="2:24" s="58" customFormat="1" ht="12" x14ac:dyDescent="0.2">
      <c r="B1973" s="91"/>
      <c r="E1973" s="92"/>
      <c r="F1973" s="93"/>
      <c r="G1973" s="94"/>
      <c r="H1973" s="94"/>
      <c r="I1973" s="94"/>
      <c r="J1973" s="94"/>
      <c r="K1973" s="93"/>
      <c r="L1973" s="86"/>
      <c r="M1973" s="86"/>
      <c r="N1973" s="86"/>
      <c r="O1973" s="86"/>
      <c r="P1973" s="86"/>
      <c r="Q1973" s="85"/>
      <c r="S1973" s="85"/>
      <c r="T1973" s="85"/>
      <c r="U1973" s="85"/>
      <c r="V1973" s="85"/>
      <c r="W1973" s="85"/>
      <c r="X1973" s="85"/>
    </row>
    <row r="1974" spans="2:24" s="58" customFormat="1" ht="12" x14ac:dyDescent="0.2">
      <c r="B1974" s="91"/>
      <c r="E1974" s="92"/>
      <c r="F1974" s="93"/>
      <c r="G1974" s="94"/>
      <c r="H1974" s="94"/>
      <c r="I1974" s="94"/>
      <c r="J1974" s="94"/>
      <c r="K1974" s="93"/>
      <c r="L1974" s="86"/>
      <c r="M1974" s="86"/>
      <c r="N1974" s="86"/>
      <c r="O1974" s="86"/>
      <c r="P1974" s="86"/>
      <c r="Q1974" s="85"/>
      <c r="S1974" s="85"/>
      <c r="T1974" s="85"/>
      <c r="U1974" s="85"/>
      <c r="V1974" s="85"/>
      <c r="W1974" s="85"/>
      <c r="X1974" s="85"/>
    </row>
    <row r="1975" spans="2:24" s="58" customFormat="1" ht="12" x14ac:dyDescent="0.2">
      <c r="B1975" s="91"/>
      <c r="E1975" s="92"/>
      <c r="F1975" s="93"/>
      <c r="G1975" s="94"/>
      <c r="H1975" s="94"/>
      <c r="I1975" s="94"/>
      <c r="J1975" s="94"/>
      <c r="K1975" s="93"/>
      <c r="L1975" s="86"/>
      <c r="M1975" s="86"/>
      <c r="N1975" s="86"/>
      <c r="O1975" s="86"/>
      <c r="P1975" s="86"/>
      <c r="Q1975" s="85"/>
      <c r="S1975" s="85"/>
      <c r="T1975" s="85"/>
      <c r="U1975" s="85"/>
      <c r="V1975" s="85"/>
      <c r="W1975" s="85"/>
      <c r="X1975" s="85"/>
    </row>
    <row r="1976" spans="2:24" s="58" customFormat="1" ht="12" x14ac:dyDescent="0.2">
      <c r="B1976" s="91"/>
      <c r="E1976" s="92"/>
      <c r="F1976" s="93"/>
      <c r="G1976" s="94"/>
      <c r="H1976" s="94"/>
      <c r="I1976" s="94"/>
      <c r="J1976" s="94"/>
      <c r="K1976" s="93"/>
      <c r="L1976" s="86"/>
      <c r="M1976" s="86"/>
      <c r="N1976" s="86"/>
      <c r="O1976" s="86"/>
      <c r="P1976" s="86"/>
      <c r="Q1976" s="85"/>
      <c r="S1976" s="85"/>
      <c r="T1976" s="85"/>
      <c r="U1976" s="85"/>
      <c r="V1976" s="85"/>
      <c r="W1976" s="85"/>
      <c r="X1976" s="85"/>
    </row>
    <row r="1977" spans="2:24" s="58" customFormat="1" ht="12" x14ac:dyDescent="0.2">
      <c r="B1977" s="91"/>
      <c r="E1977" s="92"/>
      <c r="F1977" s="93"/>
      <c r="G1977" s="94"/>
      <c r="H1977" s="94"/>
      <c r="I1977" s="94"/>
      <c r="J1977" s="94"/>
      <c r="K1977" s="93"/>
      <c r="L1977" s="86"/>
      <c r="M1977" s="86"/>
      <c r="N1977" s="86"/>
      <c r="O1977" s="86"/>
      <c r="P1977" s="86"/>
      <c r="Q1977" s="85"/>
      <c r="S1977" s="85"/>
      <c r="T1977" s="85"/>
      <c r="U1977" s="85"/>
      <c r="V1977" s="85"/>
      <c r="W1977" s="85"/>
      <c r="X1977" s="85"/>
    </row>
    <row r="1978" spans="2:24" s="58" customFormat="1" ht="12" x14ac:dyDescent="0.2">
      <c r="B1978" s="91"/>
      <c r="E1978" s="92"/>
      <c r="F1978" s="93"/>
      <c r="G1978" s="94"/>
      <c r="H1978" s="94"/>
      <c r="I1978" s="94"/>
      <c r="J1978" s="94"/>
      <c r="K1978" s="93"/>
      <c r="L1978" s="86"/>
      <c r="M1978" s="86"/>
      <c r="N1978" s="86"/>
      <c r="O1978" s="86"/>
      <c r="P1978" s="86"/>
      <c r="Q1978" s="85"/>
      <c r="S1978" s="85"/>
      <c r="T1978" s="85"/>
      <c r="U1978" s="85"/>
      <c r="V1978" s="85"/>
      <c r="W1978" s="85"/>
      <c r="X1978" s="85"/>
    </row>
    <row r="1979" spans="2:24" s="58" customFormat="1" ht="12" x14ac:dyDescent="0.2">
      <c r="B1979" s="91"/>
      <c r="E1979" s="92"/>
      <c r="F1979" s="93"/>
      <c r="G1979" s="94"/>
      <c r="H1979" s="94"/>
      <c r="I1979" s="94"/>
      <c r="J1979" s="94"/>
      <c r="K1979" s="93"/>
      <c r="L1979" s="86"/>
      <c r="M1979" s="86"/>
      <c r="N1979" s="86"/>
      <c r="O1979" s="86"/>
      <c r="P1979" s="86"/>
      <c r="Q1979" s="85"/>
      <c r="S1979" s="85"/>
      <c r="T1979" s="85"/>
      <c r="U1979" s="85"/>
      <c r="V1979" s="85"/>
      <c r="W1979" s="85"/>
      <c r="X1979" s="85"/>
    </row>
    <row r="1980" spans="2:24" s="58" customFormat="1" ht="12" x14ac:dyDescent="0.2">
      <c r="B1980" s="91"/>
      <c r="E1980" s="92"/>
      <c r="F1980" s="93"/>
      <c r="G1980" s="94"/>
      <c r="H1980" s="94"/>
      <c r="I1980" s="94"/>
      <c r="J1980" s="94"/>
      <c r="K1980" s="93"/>
      <c r="L1980" s="86"/>
      <c r="M1980" s="86"/>
      <c r="N1980" s="86"/>
      <c r="O1980" s="86"/>
      <c r="P1980" s="86"/>
      <c r="Q1980" s="85"/>
      <c r="S1980" s="85"/>
      <c r="T1980" s="85"/>
      <c r="U1980" s="85"/>
      <c r="V1980" s="85"/>
      <c r="W1980" s="85"/>
      <c r="X1980" s="85"/>
    </row>
    <row r="1981" spans="2:24" s="58" customFormat="1" ht="12" x14ac:dyDescent="0.2">
      <c r="B1981" s="91"/>
      <c r="E1981" s="92"/>
      <c r="F1981" s="93"/>
      <c r="G1981" s="94"/>
      <c r="H1981" s="94"/>
      <c r="I1981" s="94"/>
      <c r="J1981" s="94"/>
      <c r="K1981" s="93"/>
      <c r="L1981" s="86"/>
      <c r="M1981" s="86"/>
      <c r="N1981" s="86"/>
      <c r="O1981" s="86"/>
      <c r="P1981" s="86"/>
      <c r="Q1981" s="85"/>
      <c r="S1981" s="85"/>
      <c r="T1981" s="85"/>
      <c r="U1981" s="85"/>
      <c r="V1981" s="85"/>
      <c r="W1981" s="85"/>
      <c r="X1981" s="85"/>
    </row>
    <row r="1982" spans="2:24" s="58" customFormat="1" ht="12" x14ac:dyDescent="0.2">
      <c r="B1982" s="91"/>
      <c r="E1982" s="92"/>
      <c r="F1982" s="93"/>
      <c r="G1982" s="94"/>
      <c r="H1982" s="94"/>
      <c r="I1982" s="94"/>
      <c r="J1982" s="94"/>
      <c r="K1982" s="93"/>
      <c r="L1982" s="86"/>
      <c r="M1982" s="86"/>
      <c r="N1982" s="86"/>
      <c r="O1982" s="86"/>
      <c r="P1982" s="86"/>
      <c r="Q1982" s="85"/>
      <c r="S1982" s="85"/>
      <c r="T1982" s="85"/>
      <c r="U1982" s="85"/>
      <c r="V1982" s="85"/>
      <c r="W1982" s="85"/>
      <c r="X1982" s="85"/>
    </row>
    <row r="1983" spans="2:24" s="58" customFormat="1" ht="12" x14ac:dyDescent="0.2">
      <c r="B1983" s="91"/>
      <c r="E1983" s="92"/>
      <c r="F1983" s="93"/>
      <c r="G1983" s="94"/>
      <c r="H1983" s="94"/>
      <c r="I1983" s="94"/>
      <c r="J1983" s="94"/>
      <c r="K1983" s="93"/>
      <c r="L1983" s="86"/>
      <c r="M1983" s="86"/>
      <c r="N1983" s="86"/>
      <c r="O1983" s="86"/>
      <c r="P1983" s="86"/>
      <c r="Q1983" s="85"/>
      <c r="S1983" s="85"/>
      <c r="T1983" s="85"/>
      <c r="U1983" s="85"/>
      <c r="V1983" s="85"/>
      <c r="W1983" s="85"/>
      <c r="X1983" s="85"/>
    </row>
    <row r="1984" spans="2:24" s="58" customFormat="1" ht="12" x14ac:dyDescent="0.2">
      <c r="B1984" s="91"/>
      <c r="E1984" s="92"/>
      <c r="F1984" s="93"/>
      <c r="G1984" s="94"/>
      <c r="H1984" s="94"/>
      <c r="I1984" s="94"/>
      <c r="J1984" s="94"/>
      <c r="K1984" s="93"/>
      <c r="L1984" s="86"/>
      <c r="M1984" s="86"/>
      <c r="N1984" s="86"/>
      <c r="O1984" s="86"/>
      <c r="P1984" s="86"/>
      <c r="Q1984" s="85"/>
      <c r="S1984" s="85"/>
      <c r="T1984" s="85"/>
      <c r="U1984" s="85"/>
      <c r="V1984" s="85"/>
      <c r="W1984" s="85"/>
      <c r="X1984" s="85"/>
    </row>
    <row r="1985" spans="2:24" s="58" customFormat="1" ht="12" x14ac:dyDescent="0.2">
      <c r="B1985" s="91"/>
      <c r="E1985" s="92"/>
      <c r="F1985" s="93"/>
      <c r="G1985" s="94"/>
      <c r="H1985" s="94"/>
      <c r="I1985" s="94"/>
      <c r="J1985" s="94"/>
      <c r="K1985" s="93"/>
      <c r="L1985" s="86"/>
      <c r="M1985" s="86"/>
      <c r="N1985" s="86"/>
      <c r="O1985" s="86"/>
      <c r="P1985" s="86"/>
      <c r="Q1985" s="85"/>
      <c r="S1985" s="85"/>
      <c r="T1985" s="85"/>
      <c r="U1985" s="85"/>
      <c r="V1985" s="85"/>
      <c r="W1985" s="85"/>
      <c r="X1985" s="85"/>
    </row>
    <row r="1986" spans="2:24" s="58" customFormat="1" ht="12" x14ac:dyDescent="0.2">
      <c r="B1986" s="91"/>
      <c r="E1986" s="92"/>
      <c r="F1986" s="93"/>
      <c r="G1986" s="94"/>
      <c r="H1986" s="94"/>
      <c r="I1986" s="94"/>
      <c r="J1986" s="94"/>
      <c r="K1986" s="93"/>
      <c r="L1986" s="86"/>
      <c r="M1986" s="86"/>
      <c r="N1986" s="86"/>
      <c r="O1986" s="86"/>
      <c r="P1986" s="86"/>
      <c r="Q1986" s="85"/>
      <c r="S1986" s="85"/>
      <c r="T1986" s="85"/>
      <c r="U1986" s="85"/>
      <c r="V1986" s="85"/>
      <c r="W1986" s="85"/>
      <c r="X1986" s="85"/>
    </row>
    <row r="1987" spans="2:24" s="58" customFormat="1" ht="12" x14ac:dyDescent="0.2">
      <c r="B1987" s="91"/>
      <c r="E1987" s="92"/>
      <c r="F1987" s="93"/>
      <c r="G1987" s="94"/>
      <c r="H1987" s="94"/>
      <c r="I1987" s="94"/>
      <c r="J1987" s="94"/>
      <c r="K1987" s="93"/>
      <c r="L1987" s="86"/>
      <c r="M1987" s="86"/>
      <c r="N1987" s="86"/>
      <c r="O1987" s="86"/>
      <c r="P1987" s="86"/>
      <c r="Q1987" s="85"/>
      <c r="S1987" s="85"/>
      <c r="T1987" s="85"/>
      <c r="U1987" s="85"/>
      <c r="V1987" s="85"/>
      <c r="W1987" s="85"/>
      <c r="X1987" s="85"/>
    </row>
    <row r="1988" spans="2:24" s="58" customFormat="1" ht="12" x14ac:dyDescent="0.2">
      <c r="B1988" s="91"/>
      <c r="E1988" s="92"/>
      <c r="F1988" s="93"/>
      <c r="G1988" s="94"/>
      <c r="H1988" s="94"/>
      <c r="I1988" s="94"/>
      <c r="J1988" s="94"/>
      <c r="K1988" s="93"/>
      <c r="L1988" s="86"/>
      <c r="M1988" s="86"/>
      <c r="N1988" s="86"/>
      <c r="O1988" s="86"/>
      <c r="P1988" s="86"/>
      <c r="Q1988" s="85"/>
      <c r="S1988" s="85"/>
      <c r="T1988" s="85"/>
      <c r="U1988" s="85"/>
      <c r="V1988" s="85"/>
      <c r="W1988" s="85"/>
      <c r="X1988" s="85"/>
    </row>
    <row r="1989" spans="2:24" s="58" customFormat="1" ht="12" x14ac:dyDescent="0.2">
      <c r="B1989" s="91"/>
      <c r="E1989" s="92"/>
      <c r="F1989" s="93"/>
      <c r="G1989" s="94"/>
      <c r="H1989" s="94"/>
      <c r="I1989" s="94"/>
      <c r="J1989" s="94"/>
      <c r="K1989" s="93"/>
      <c r="L1989" s="86"/>
      <c r="M1989" s="86"/>
      <c r="N1989" s="86"/>
      <c r="O1989" s="86"/>
      <c r="P1989" s="86"/>
      <c r="Q1989" s="85"/>
      <c r="S1989" s="85"/>
      <c r="T1989" s="85"/>
      <c r="U1989" s="85"/>
      <c r="V1989" s="85"/>
      <c r="W1989" s="85"/>
      <c r="X1989" s="85"/>
    </row>
    <row r="1990" spans="2:24" s="58" customFormat="1" ht="12" x14ac:dyDescent="0.2">
      <c r="B1990" s="91"/>
      <c r="E1990" s="92"/>
      <c r="F1990" s="93"/>
      <c r="G1990" s="94"/>
      <c r="H1990" s="94"/>
      <c r="I1990" s="94"/>
      <c r="J1990" s="94"/>
      <c r="K1990" s="93"/>
      <c r="L1990" s="86"/>
      <c r="M1990" s="86"/>
      <c r="N1990" s="86"/>
      <c r="O1990" s="86"/>
      <c r="P1990" s="86"/>
      <c r="Q1990" s="85"/>
      <c r="S1990" s="85"/>
      <c r="T1990" s="85"/>
      <c r="U1990" s="85"/>
      <c r="V1990" s="85"/>
      <c r="W1990" s="85"/>
      <c r="X1990" s="85"/>
    </row>
    <row r="1991" spans="2:24" s="58" customFormat="1" ht="12" x14ac:dyDescent="0.2">
      <c r="B1991" s="91"/>
      <c r="E1991" s="92"/>
      <c r="F1991" s="93"/>
      <c r="G1991" s="94"/>
      <c r="H1991" s="94"/>
      <c r="I1991" s="94"/>
      <c r="J1991" s="94"/>
      <c r="K1991" s="93"/>
      <c r="L1991" s="86"/>
      <c r="M1991" s="86"/>
      <c r="N1991" s="86"/>
      <c r="O1991" s="86"/>
      <c r="P1991" s="86"/>
      <c r="Q1991" s="85"/>
      <c r="S1991" s="85"/>
      <c r="T1991" s="85"/>
      <c r="U1991" s="85"/>
      <c r="V1991" s="85"/>
      <c r="W1991" s="85"/>
      <c r="X1991" s="85"/>
    </row>
    <row r="1992" spans="2:24" s="58" customFormat="1" ht="12" x14ac:dyDescent="0.2">
      <c r="B1992" s="91"/>
      <c r="E1992" s="92"/>
      <c r="F1992" s="93"/>
      <c r="G1992" s="94"/>
      <c r="H1992" s="94"/>
      <c r="I1992" s="94"/>
      <c r="J1992" s="94"/>
      <c r="K1992" s="93"/>
      <c r="L1992" s="86"/>
      <c r="M1992" s="86"/>
      <c r="N1992" s="86"/>
      <c r="O1992" s="86"/>
      <c r="P1992" s="86"/>
      <c r="Q1992" s="85"/>
      <c r="S1992" s="85"/>
      <c r="T1992" s="85"/>
      <c r="U1992" s="85"/>
      <c r="V1992" s="85"/>
      <c r="W1992" s="85"/>
      <c r="X1992" s="85"/>
    </row>
    <row r="1993" spans="2:24" s="58" customFormat="1" ht="12" x14ac:dyDescent="0.2">
      <c r="B1993" s="91"/>
      <c r="E1993" s="92"/>
      <c r="F1993" s="93"/>
      <c r="G1993" s="94"/>
      <c r="H1993" s="94"/>
      <c r="I1993" s="94"/>
      <c r="J1993" s="94"/>
      <c r="K1993" s="93"/>
      <c r="L1993" s="86"/>
      <c r="M1993" s="86"/>
      <c r="N1993" s="86"/>
      <c r="O1993" s="86"/>
      <c r="P1993" s="86"/>
      <c r="Q1993" s="85"/>
      <c r="S1993" s="85"/>
      <c r="T1993" s="85"/>
      <c r="U1993" s="85"/>
      <c r="V1993" s="85"/>
      <c r="W1993" s="85"/>
      <c r="X1993" s="85"/>
    </row>
    <row r="1994" spans="2:24" s="58" customFormat="1" ht="12" x14ac:dyDescent="0.2">
      <c r="B1994" s="91"/>
      <c r="E1994" s="92"/>
      <c r="F1994" s="93"/>
      <c r="G1994" s="94"/>
      <c r="H1994" s="94"/>
      <c r="I1994" s="94"/>
      <c r="J1994" s="94"/>
      <c r="K1994" s="93"/>
      <c r="L1994" s="86"/>
      <c r="M1994" s="86"/>
      <c r="N1994" s="86"/>
      <c r="O1994" s="86"/>
      <c r="P1994" s="86"/>
      <c r="Q1994" s="85"/>
      <c r="S1994" s="85"/>
      <c r="T1994" s="85"/>
      <c r="U1994" s="85"/>
      <c r="V1994" s="85"/>
      <c r="W1994" s="85"/>
      <c r="X1994" s="85"/>
    </row>
    <row r="1995" spans="2:24" s="58" customFormat="1" ht="12" x14ac:dyDescent="0.2">
      <c r="B1995" s="91"/>
      <c r="E1995" s="92"/>
      <c r="F1995" s="93"/>
      <c r="G1995" s="94"/>
      <c r="H1995" s="94"/>
      <c r="I1995" s="94"/>
      <c r="J1995" s="94"/>
      <c r="K1995" s="93"/>
      <c r="L1995" s="86"/>
      <c r="M1995" s="86"/>
      <c r="N1995" s="86"/>
      <c r="O1995" s="86"/>
      <c r="P1995" s="86"/>
      <c r="Q1995" s="85"/>
      <c r="S1995" s="85"/>
      <c r="T1995" s="85"/>
      <c r="U1995" s="85"/>
      <c r="V1995" s="85"/>
      <c r="W1995" s="85"/>
      <c r="X1995" s="85"/>
    </row>
    <row r="1996" spans="2:24" s="58" customFormat="1" ht="12" x14ac:dyDescent="0.2">
      <c r="B1996" s="91"/>
      <c r="E1996" s="92"/>
      <c r="F1996" s="93"/>
      <c r="G1996" s="94"/>
      <c r="H1996" s="94"/>
      <c r="I1996" s="94"/>
      <c r="J1996" s="94"/>
      <c r="K1996" s="93"/>
      <c r="L1996" s="86"/>
      <c r="M1996" s="86"/>
      <c r="N1996" s="86"/>
      <c r="O1996" s="86"/>
      <c r="P1996" s="86"/>
      <c r="Q1996" s="85"/>
      <c r="S1996" s="85"/>
      <c r="T1996" s="85"/>
      <c r="U1996" s="85"/>
      <c r="V1996" s="85"/>
      <c r="W1996" s="85"/>
      <c r="X1996" s="85"/>
    </row>
    <row r="1997" spans="2:24" s="58" customFormat="1" ht="12" x14ac:dyDescent="0.2">
      <c r="B1997" s="91"/>
      <c r="E1997" s="92"/>
      <c r="F1997" s="93"/>
      <c r="G1997" s="94"/>
      <c r="H1997" s="94"/>
      <c r="I1997" s="94"/>
      <c r="J1997" s="94"/>
      <c r="K1997" s="93"/>
      <c r="L1997" s="86"/>
      <c r="M1997" s="86"/>
      <c r="N1997" s="86"/>
      <c r="O1997" s="86"/>
      <c r="P1997" s="86"/>
      <c r="Q1997" s="85"/>
      <c r="S1997" s="85"/>
      <c r="T1997" s="85"/>
      <c r="U1997" s="85"/>
      <c r="V1997" s="85"/>
      <c r="W1997" s="85"/>
      <c r="X1997" s="85"/>
    </row>
    <row r="1998" spans="2:24" s="58" customFormat="1" ht="12" x14ac:dyDescent="0.2">
      <c r="B1998" s="91"/>
      <c r="E1998" s="92"/>
      <c r="F1998" s="93"/>
      <c r="G1998" s="94"/>
      <c r="H1998" s="94"/>
      <c r="I1998" s="94"/>
      <c r="J1998" s="94"/>
      <c r="K1998" s="93"/>
      <c r="L1998" s="86"/>
      <c r="M1998" s="86"/>
      <c r="N1998" s="86"/>
      <c r="O1998" s="86"/>
      <c r="P1998" s="86"/>
      <c r="Q1998" s="85"/>
      <c r="S1998" s="85"/>
      <c r="T1998" s="85"/>
      <c r="U1998" s="85"/>
      <c r="V1998" s="85"/>
      <c r="W1998" s="85"/>
      <c r="X1998" s="85"/>
    </row>
    <row r="1999" spans="2:24" s="58" customFormat="1" ht="12" x14ac:dyDescent="0.2">
      <c r="B1999" s="91"/>
      <c r="E1999" s="92"/>
      <c r="F1999" s="93"/>
      <c r="G1999" s="94"/>
      <c r="H1999" s="94"/>
      <c r="I1999" s="94"/>
      <c r="J1999" s="94"/>
      <c r="K1999" s="93"/>
      <c r="L1999" s="86"/>
      <c r="M1999" s="86"/>
      <c r="N1999" s="86"/>
      <c r="O1999" s="86"/>
      <c r="P1999" s="86"/>
      <c r="Q1999" s="85"/>
      <c r="S1999" s="85"/>
      <c r="T1999" s="85"/>
      <c r="U1999" s="85"/>
      <c r="V1999" s="85"/>
      <c r="W1999" s="85"/>
      <c r="X1999" s="85"/>
    </row>
    <row r="2000" spans="2:24" s="58" customFormat="1" ht="12" x14ac:dyDescent="0.2">
      <c r="B2000" s="91"/>
      <c r="E2000" s="92"/>
      <c r="F2000" s="93"/>
      <c r="G2000" s="94"/>
      <c r="H2000" s="94"/>
      <c r="I2000" s="94"/>
      <c r="J2000" s="94"/>
      <c r="K2000" s="93"/>
      <c r="L2000" s="86"/>
      <c r="M2000" s="86"/>
      <c r="N2000" s="86"/>
      <c r="O2000" s="86"/>
      <c r="P2000" s="86"/>
      <c r="Q2000" s="85"/>
      <c r="S2000" s="85"/>
      <c r="T2000" s="85"/>
      <c r="U2000" s="85"/>
      <c r="V2000" s="85"/>
      <c r="W2000" s="85"/>
      <c r="X2000" s="85"/>
    </row>
    <row r="2001" spans="2:24" s="58" customFormat="1" ht="12" x14ac:dyDescent="0.2">
      <c r="B2001" s="91"/>
      <c r="E2001" s="92"/>
      <c r="F2001" s="93"/>
      <c r="G2001" s="94"/>
      <c r="H2001" s="94"/>
      <c r="I2001" s="94"/>
      <c r="J2001" s="94"/>
      <c r="K2001" s="93"/>
      <c r="L2001" s="86"/>
      <c r="M2001" s="86"/>
      <c r="N2001" s="86"/>
      <c r="O2001" s="86"/>
      <c r="P2001" s="86"/>
      <c r="Q2001" s="85"/>
      <c r="S2001" s="85"/>
      <c r="T2001" s="85"/>
      <c r="U2001" s="85"/>
      <c r="V2001" s="85"/>
      <c r="W2001" s="85"/>
      <c r="X2001" s="85"/>
    </row>
    <row r="2002" spans="2:24" s="58" customFormat="1" ht="12" x14ac:dyDescent="0.2">
      <c r="B2002" s="91"/>
      <c r="E2002" s="92"/>
      <c r="F2002" s="93"/>
      <c r="G2002" s="94"/>
      <c r="H2002" s="94"/>
      <c r="I2002" s="94"/>
      <c r="J2002" s="94"/>
      <c r="K2002" s="93"/>
      <c r="L2002" s="86"/>
      <c r="M2002" s="86"/>
      <c r="N2002" s="86"/>
      <c r="O2002" s="86"/>
      <c r="P2002" s="86"/>
      <c r="Q2002" s="85"/>
      <c r="S2002" s="85"/>
      <c r="T2002" s="85"/>
      <c r="U2002" s="85"/>
      <c r="V2002" s="85"/>
      <c r="W2002" s="85"/>
      <c r="X2002" s="85"/>
    </row>
    <row r="2003" spans="2:24" s="58" customFormat="1" ht="12" x14ac:dyDescent="0.2">
      <c r="B2003" s="91"/>
      <c r="E2003" s="92"/>
      <c r="F2003" s="93"/>
      <c r="G2003" s="94"/>
      <c r="H2003" s="94"/>
      <c r="I2003" s="94"/>
      <c r="J2003" s="94"/>
      <c r="K2003" s="93"/>
      <c r="L2003" s="86"/>
      <c r="M2003" s="161"/>
      <c r="N2003" s="86"/>
      <c r="O2003" s="86"/>
      <c r="P2003" s="86"/>
      <c r="Q2003" s="85"/>
      <c r="S2003" s="85"/>
      <c r="T2003" s="85"/>
      <c r="U2003" s="85"/>
      <c r="V2003" s="85"/>
      <c r="W2003" s="85"/>
      <c r="X2003" s="85"/>
    </row>
    <row r="2004" spans="2:24" s="58" customFormat="1" ht="12" x14ac:dyDescent="0.2">
      <c r="B2004" s="91"/>
      <c r="E2004" s="92"/>
      <c r="F2004" s="93"/>
      <c r="G2004" s="94"/>
      <c r="H2004" s="94"/>
      <c r="I2004" s="94"/>
      <c r="J2004" s="94"/>
      <c r="K2004" s="93"/>
      <c r="L2004" s="86"/>
      <c r="M2004" s="161"/>
      <c r="N2004" s="86"/>
      <c r="O2004" s="86"/>
      <c r="P2004" s="86"/>
      <c r="Q2004" s="85"/>
      <c r="S2004" s="85"/>
      <c r="T2004" s="85"/>
      <c r="U2004" s="85"/>
      <c r="V2004" s="85"/>
      <c r="W2004" s="85"/>
      <c r="X2004" s="85"/>
    </row>
    <row r="2005" spans="2:24" s="58" customFormat="1" ht="12" x14ac:dyDescent="0.2">
      <c r="B2005" s="91"/>
      <c r="E2005" s="92"/>
      <c r="F2005" s="93"/>
      <c r="G2005" s="94"/>
      <c r="H2005" s="94"/>
      <c r="I2005" s="94"/>
      <c r="J2005" s="94"/>
      <c r="K2005" s="93"/>
      <c r="L2005" s="86"/>
      <c r="M2005" s="161"/>
      <c r="N2005" s="86"/>
      <c r="O2005" s="86"/>
      <c r="P2005" s="86"/>
      <c r="Q2005" s="85"/>
      <c r="S2005" s="85"/>
      <c r="T2005" s="85"/>
      <c r="U2005" s="85"/>
      <c r="V2005" s="85"/>
      <c r="W2005" s="85"/>
      <c r="X2005" s="85"/>
    </row>
    <row r="2006" spans="2:24" s="58" customFormat="1" ht="12" x14ac:dyDescent="0.2">
      <c r="B2006" s="91"/>
      <c r="E2006" s="92"/>
      <c r="F2006" s="93"/>
      <c r="G2006" s="94"/>
      <c r="H2006" s="94"/>
      <c r="I2006" s="94"/>
      <c r="J2006" s="94"/>
      <c r="K2006" s="93"/>
      <c r="L2006" s="86"/>
      <c r="M2006" s="161"/>
      <c r="N2006" s="86"/>
      <c r="O2006" s="86"/>
      <c r="P2006" s="86"/>
      <c r="Q2006" s="85"/>
      <c r="S2006" s="85"/>
      <c r="T2006" s="85"/>
      <c r="U2006" s="85"/>
      <c r="V2006" s="85"/>
      <c r="W2006" s="85"/>
      <c r="X2006" s="85"/>
    </row>
    <row r="2007" spans="2:24" s="58" customFormat="1" ht="12" x14ac:dyDescent="0.2">
      <c r="B2007" s="91"/>
      <c r="E2007" s="92"/>
      <c r="F2007" s="93"/>
      <c r="G2007" s="94"/>
      <c r="H2007" s="94"/>
      <c r="I2007" s="94"/>
      <c r="J2007" s="94"/>
      <c r="K2007" s="93"/>
      <c r="L2007" s="86"/>
      <c r="M2007" s="161"/>
      <c r="N2007" s="86"/>
      <c r="O2007" s="86"/>
      <c r="P2007" s="86"/>
      <c r="Q2007" s="85"/>
      <c r="S2007" s="85"/>
      <c r="T2007" s="85"/>
      <c r="U2007" s="85"/>
      <c r="V2007" s="85"/>
      <c r="W2007" s="85"/>
      <c r="X2007" s="85"/>
    </row>
    <row r="2008" spans="2:24" s="58" customFormat="1" ht="12" x14ac:dyDescent="0.2">
      <c r="B2008" s="91"/>
      <c r="E2008" s="92"/>
      <c r="F2008" s="93"/>
      <c r="G2008" s="94"/>
      <c r="H2008" s="94"/>
      <c r="I2008" s="94"/>
      <c r="J2008" s="94"/>
      <c r="K2008" s="93"/>
      <c r="L2008" s="86"/>
      <c r="M2008" s="161"/>
      <c r="N2008" s="86"/>
      <c r="O2008" s="86"/>
      <c r="P2008" s="86"/>
      <c r="Q2008" s="85"/>
      <c r="S2008" s="85"/>
      <c r="T2008" s="85"/>
      <c r="U2008" s="85"/>
      <c r="V2008" s="85"/>
      <c r="W2008" s="85"/>
      <c r="X2008" s="85"/>
    </row>
    <row r="2009" spans="2:24" s="58" customFormat="1" ht="12" x14ac:dyDescent="0.2">
      <c r="B2009" s="91"/>
      <c r="E2009" s="92"/>
      <c r="F2009" s="93"/>
      <c r="G2009" s="94"/>
      <c r="H2009" s="94"/>
      <c r="I2009" s="94"/>
      <c r="J2009" s="94"/>
      <c r="K2009" s="93"/>
      <c r="L2009" s="86"/>
      <c r="M2009" s="161"/>
      <c r="N2009" s="86"/>
      <c r="O2009" s="86"/>
      <c r="P2009" s="86"/>
      <c r="Q2009" s="85"/>
      <c r="S2009" s="85"/>
      <c r="T2009" s="85"/>
      <c r="U2009" s="85"/>
      <c r="V2009" s="85"/>
      <c r="W2009" s="85"/>
      <c r="X2009" s="85"/>
    </row>
    <row r="2010" spans="2:24" s="58" customFormat="1" ht="12" x14ac:dyDescent="0.2">
      <c r="B2010" s="91"/>
      <c r="E2010" s="92"/>
      <c r="F2010" s="93"/>
      <c r="G2010" s="94"/>
      <c r="H2010" s="94"/>
      <c r="I2010" s="94"/>
      <c r="J2010" s="94"/>
      <c r="K2010" s="93"/>
      <c r="L2010" s="86"/>
      <c r="M2010" s="161"/>
      <c r="N2010" s="86"/>
      <c r="O2010" s="86"/>
      <c r="P2010" s="86"/>
      <c r="Q2010" s="85"/>
      <c r="S2010" s="85"/>
      <c r="T2010" s="85"/>
      <c r="U2010" s="85"/>
      <c r="V2010" s="85"/>
      <c r="W2010" s="85"/>
      <c r="X2010" s="85"/>
    </row>
    <row r="2011" spans="2:24" s="58" customFormat="1" ht="12" x14ac:dyDescent="0.2">
      <c r="B2011" s="91"/>
      <c r="E2011" s="92"/>
      <c r="F2011" s="93"/>
      <c r="G2011" s="94"/>
      <c r="H2011" s="94"/>
      <c r="I2011" s="94"/>
      <c r="J2011" s="94"/>
      <c r="K2011" s="93"/>
      <c r="L2011" s="86"/>
      <c r="M2011" s="161"/>
      <c r="N2011" s="86"/>
      <c r="O2011" s="86"/>
      <c r="P2011" s="86"/>
      <c r="Q2011" s="85"/>
      <c r="S2011" s="85"/>
      <c r="T2011" s="85"/>
      <c r="U2011" s="85"/>
      <c r="V2011" s="85"/>
      <c r="W2011" s="85"/>
      <c r="X2011" s="85"/>
    </row>
    <row r="2012" spans="2:24" s="58" customFormat="1" ht="12" x14ac:dyDescent="0.2">
      <c r="B2012" s="91"/>
      <c r="E2012" s="92"/>
      <c r="F2012" s="93"/>
      <c r="G2012" s="94"/>
      <c r="H2012" s="94"/>
      <c r="I2012" s="94"/>
      <c r="J2012" s="94"/>
      <c r="K2012" s="93"/>
      <c r="L2012" s="86"/>
      <c r="M2012" s="161"/>
      <c r="N2012" s="86"/>
      <c r="O2012" s="86"/>
      <c r="P2012" s="86"/>
      <c r="Q2012" s="85"/>
      <c r="S2012" s="85"/>
      <c r="T2012" s="85"/>
      <c r="U2012" s="85"/>
      <c r="V2012" s="85"/>
      <c r="W2012" s="85"/>
      <c r="X2012" s="85"/>
    </row>
    <row r="2013" spans="2:24" s="58" customFormat="1" ht="12" x14ac:dyDescent="0.2">
      <c r="B2013" s="91"/>
      <c r="E2013" s="92"/>
      <c r="F2013" s="93"/>
      <c r="G2013" s="94"/>
      <c r="H2013" s="94"/>
      <c r="I2013" s="94"/>
      <c r="J2013" s="94"/>
      <c r="K2013" s="93"/>
      <c r="L2013" s="86"/>
      <c r="M2013" s="161"/>
      <c r="N2013" s="86"/>
      <c r="O2013" s="86"/>
      <c r="P2013" s="86"/>
      <c r="Q2013" s="85"/>
      <c r="S2013" s="85"/>
      <c r="T2013" s="85"/>
      <c r="U2013" s="85"/>
      <c r="V2013" s="85"/>
      <c r="W2013" s="85"/>
      <c r="X2013" s="85"/>
    </row>
    <row r="2014" spans="2:24" s="58" customFormat="1" ht="12" x14ac:dyDescent="0.2">
      <c r="B2014" s="91"/>
      <c r="E2014" s="92"/>
      <c r="F2014" s="93"/>
      <c r="G2014" s="94"/>
      <c r="H2014" s="94"/>
      <c r="I2014" s="94"/>
      <c r="J2014" s="94"/>
      <c r="K2014" s="93"/>
      <c r="L2014" s="86"/>
      <c r="M2014" s="161"/>
      <c r="N2014" s="86"/>
      <c r="O2014" s="86"/>
      <c r="P2014" s="86"/>
      <c r="Q2014" s="85"/>
      <c r="S2014" s="85"/>
      <c r="T2014" s="85"/>
      <c r="U2014" s="85"/>
      <c r="V2014" s="85"/>
      <c r="W2014" s="85"/>
      <c r="X2014" s="85"/>
    </row>
    <row r="2015" spans="2:24" s="58" customFormat="1" ht="12" x14ac:dyDescent="0.2">
      <c r="B2015" s="91"/>
      <c r="E2015" s="92"/>
      <c r="F2015" s="93"/>
      <c r="G2015" s="94"/>
      <c r="H2015" s="94"/>
      <c r="I2015" s="94"/>
      <c r="J2015" s="94"/>
      <c r="K2015" s="93"/>
      <c r="L2015" s="86"/>
      <c r="M2015" s="161"/>
      <c r="N2015" s="86"/>
      <c r="O2015" s="86"/>
      <c r="P2015" s="86"/>
      <c r="Q2015" s="85"/>
      <c r="S2015" s="85"/>
      <c r="T2015" s="85"/>
      <c r="U2015" s="85"/>
      <c r="V2015" s="85"/>
      <c r="W2015" s="85"/>
      <c r="X2015" s="85"/>
    </row>
    <row r="2016" spans="2:24" s="58" customFormat="1" ht="12" x14ac:dyDescent="0.2">
      <c r="B2016" s="91"/>
      <c r="E2016" s="92"/>
      <c r="F2016" s="93"/>
      <c r="G2016" s="94"/>
      <c r="H2016" s="94"/>
      <c r="I2016" s="94"/>
      <c r="J2016" s="94"/>
      <c r="K2016" s="93"/>
      <c r="L2016" s="86"/>
      <c r="M2016" s="161"/>
      <c r="N2016" s="86"/>
      <c r="O2016" s="86"/>
      <c r="P2016" s="86"/>
      <c r="Q2016" s="85"/>
      <c r="S2016" s="85"/>
      <c r="T2016" s="85"/>
      <c r="U2016" s="85"/>
      <c r="V2016" s="85"/>
      <c r="W2016" s="85"/>
      <c r="X2016" s="85"/>
    </row>
    <row r="2017" spans="2:24" s="58" customFormat="1" ht="12" x14ac:dyDescent="0.2">
      <c r="B2017" s="91"/>
      <c r="E2017" s="92"/>
      <c r="F2017" s="93"/>
      <c r="G2017" s="94"/>
      <c r="H2017" s="94"/>
      <c r="I2017" s="94"/>
      <c r="J2017" s="94"/>
      <c r="K2017" s="93"/>
      <c r="L2017" s="86"/>
      <c r="M2017" s="161"/>
      <c r="N2017" s="86"/>
      <c r="O2017" s="86"/>
      <c r="P2017" s="86"/>
      <c r="Q2017" s="85"/>
      <c r="S2017" s="85"/>
      <c r="T2017" s="85"/>
      <c r="U2017" s="85"/>
      <c r="V2017" s="85"/>
      <c r="W2017" s="85"/>
      <c r="X2017" s="85"/>
    </row>
    <row r="2018" spans="2:24" s="58" customFormat="1" ht="12" x14ac:dyDescent="0.2">
      <c r="B2018" s="91"/>
      <c r="E2018" s="92"/>
      <c r="F2018" s="93"/>
      <c r="G2018" s="94"/>
      <c r="H2018" s="94"/>
      <c r="I2018" s="94"/>
      <c r="J2018" s="94"/>
      <c r="K2018" s="93"/>
      <c r="L2018" s="86"/>
      <c r="M2018" s="161"/>
      <c r="N2018" s="86"/>
      <c r="O2018" s="86"/>
      <c r="P2018" s="86"/>
      <c r="Q2018" s="85"/>
      <c r="S2018" s="85"/>
      <c r="T2018" s="85"/>
      <c r="U2018" s="85"/>
      <c r="V2018" s="85"/>
      <c r="W2018" s="85"/>
      <c r="X2018" s="85"/>
    </row>
    <row r="2019" spans="2:24" s="58" customFormat="1" ht="12" x14ac:dyDescent="0.2">
      <c r="B2019" s="91"/>
      <c r="E2019" s="92"/>
      <c r="F2019" s="93"/>
      <c r="G2019" s="94"/>
      <c r="H2019" s="94"/>
      <c r="I2019" s="94"/>
      <c r="J2019" s="94"/>
      <c r="K2019" s="93"/>
      <c r="L2019" s="86"/>
      <c r="M2019" s="161"/>
      <c r="N2019" s="86"/>
      <c r="O2019" s="86"/>
      <c r="P2019" s="86"/>
      <c r="Q2019" s="85"/>
      <c r="S2019" s="85"/>
      <c r="T2019" s="85"/>
      <c r="U2019" s="85"/>
      <c r="V2019" s="85"/>
      <c r="W2019" s="85"/>
      <c r="X2019" s="85"/>
    </row>
    <row r="2020" spans="2:24" s="58" customFormat="1" ht="12" x14ac:dyDescent="0.2">
      <c r="B2020" s="91"/>
      <c r="E2020" s="92"/>
      <c r="F2020" s="93"/>
      <c r="G2020" s="94"/>
      <c r="H2020" s="94"/>
      <c r="I2020" s="94"/>
      <c r="J2020" s="94"/>
      <c r="K2020" s="93"/>
      <c r="L2020" s="86"/>
      <c r="M2020" s="161"/>
      <c r="N2020" s="86"/>
      <c r="O2020" s="86"/>
      <c r="P2020" s="86"/>
      <c r="Q2020" s="85"/>
      <c r="S2020" s="85"/>
      <c r="T2020" s="85"/>
      <c r="U2020" s="85"/>
      <c r="V2020" s="85"/>
      <c r="W2020" s="85"/>
      <c r="X2020" s="85"/>
    </row>
    <row r="2021" spans="2:24" s="58" customFormat="1" ht="12" x14ac:dyDescent="0.2">
      <c r="B2021" s="91"/>
      <c r="E2021" s="92"/>
      <c r="F2021" s="93"/>
      <c r="G2021" s="94"/>
      <c r="H2021" s="94"/>
      <c r="I2021" s="94"/>
      <c r="J2021" s="94"/>
      <c r="K2021" s="93"/>
      <c r="L2021" s="86"/>
      <c r="M2021" s="161"/>
      <c r="N2021" s="86"/>
      <c r="O2021" s="86"/>
      <c r="P2021" s="86"/>
      <c r="Q2021" s="85"/>
      <c r="S2021" s="85"/>
      <c r="T2021" s="85"/>
      <c r="U2021" s="85"/>
      <c r="V2021" s="85"/>
      <c r="W2021" s="85"/>
      <c r="X2021" s="85"/>
    </row>
    <row r="2022" spans="2:24" s="58" customFormat="1" ht="12" x14ac:dyDescent="0.2">
      <c r="B2022" s="91"/>
      <c r="E2022" s="92"/>
      <c r="F2022" s="93"/>
      <c r="G2022" s="94"/>
      <c r="H2022" s="94"/>
      <c r="I2022" s="94"/>
      <c r="J2022" s="94"/>
      <c r="K2022" s="93"/>
      <c r="L2022" s="86"/>
      <c r="M2022" s="161"/>
      <c r="N2022" s="86"/>
      <c r="O2022" s="86"/>
      <c r="P2022" s="86"/>
      <c r="Q2022" s="85"/>
      <c r="S2022" s="85"/>
      <c r="T2022" s="85"/>
      <c r="U2022" s="85"/>
      <c r="V2022" s="85"/>
      <c r="W2022" s="85"/>
      <c r="X2022" s="85"/>
    </row>
    <row r="2023" spans="2:24" s="58" customFormat="1" ht="12" x14ac:dyDescent="0.2">
      <c r="B2023" s="91"/>
      <c r="E2023" s="92"/>
      <c r="F2023" s="93"/>
      <c r="G2023" s="94"/>
      <c r="H2023" s="94"/>
      <c r="I2023" s="94"/>
      <c r="J2023" s="94"/>
      <c r="K2023" s="93"/>
      <c r="L2023" s="86"/>
      <c r="M2023" s="161"/>
      <c r="N2023" s="86"/>
      <c r="O2023" s="86"/>
      <c r="P2023" s="86"/>
      <c r="Q2023" s="85"/>
      <c r="S2023" s="85"/>
      <c r="T2023" s="85"/>
      <c r="U2023" s="85"/>
      <c r="V2023" s="85"/>
      <c r="W2023" s="85"/>
      <c r="X2023" s="85"/>
    </row>
    <row r="2024" spans="2:24" s="58" customFormat="1" ht="12" x14ac:dyDescent="0.2">
      <c r="B2024" s="91"/>
      <c r="E2024" s="92"/>
      <c r="F2024" s="93"/>
      <c r="G2024" s="94"/>
      <c r="H2024" s="94"/>
      <c r="I2024" s="94"/>
      <c r="J2024" s="94"/>
      <c r="K2024" s="93"/>
      <c r="L2024" s="86"/>
      <c r="M2024" s="161"/>
      <c r="N2024" s="86"/>
      <c r="O2024" s="86"/>
      <c r="P2024" s="86"/>
      <c r="Q2024" s="85"/>
      <c r="S2024" s="85"/>
      <c r="T2024" s="85"/>
      <c r="U2024" s="85"/>
      <c r="V2024" s="85"/>
      <c r="W2024" s="85"/>
      <c r="X2024" s="85"/>
    </row>
    <row r="2025" spans="2:24" s="58" customFormat="1" ht="12" x14ac:dyDescent="0.2">
      <c r="B2025" s="91"/>
      <c r="E2025" s="92"/>
      <c r="F2025" s="93"/>
      <c r="G2025" s="94"/>
      <c r="H2025" s="94"/>
      <c r="I2025" s="94"/>
      <c r="J2025" s="94"/>
      <c r="K2025" s="93"/>
      <c r="L2025" s="86"/>
      <c r="M2025" s="161"/>
      <c r="N2025" s="86"/>
      <c r="O2025" s="86"/>
      <c r="P2025" s="86"/>
      <c r="Q2025" s="85"/>
      <c r="S2025" s="85"/>
      <c r="T2025" s="85"/>
      <c r="U2025" s="85"/>
      <c r="V2025" s="85"/>
      <c r="W2025" s="85"/>
      <c r="X2025" s="85"/>
    </row>
    <row r="2026" spans="2:24" s="58" customFormat="1" ht="12" x14ac:dyDescent="0.2">
      <c r="B2026" s="91"/>
      <c r="E2026" s="92"/>
      <c r="F2026" s="93"/>
      <c r="G2026" s="94"/>
      <c r="H2026" s="94"/>
      <c r="I2026" s="94"/>
      <c r="J2026" s="94"/>
      <c r="K2026" s="93"/>
      <c r="L2026" s="86"/>
      <c r="M2026" s="161"/>
      <c r="N2026" s="86"/>
      <c r="O2026" s="86"/>
      <c r="P2026" s="86"/>
      <c r="Q2026" s="85"/>
      <c r="S2026" s="85"/>
      <c r="T2026" s="85"/>
      <c r="U2026" s="85"/>
      <c r="V2026" s="85"/>
      <c r="W2026" s="85"/>
      <c r="X2026" s="85"/>
    </row>
    <row r="2027" spans="2:24" s="58" customFormat="1" ht="12" x14ac:dyDescent="0.2">
      <c r="B2027" s="91"/>
      <c r="E2027" s="92"/>
      <c r="F2027" s="93"/>
      <c r="G2027" s="94"/>
      <c r="H2027" s="94"/>
      <c r="I2027" s="94"/>
      <c r="J2027" s="94"/>
      <c r="K2027" s="93"/>
      <c r="L2027" s="86"/>
      <c r="M2027" s="161"/>
      <c r="N2027" s="86"/>
      <c r="O2027" s="86"/>
      <c r="P2027" s="86"/>
      <c r="Q2027" s="85"/>
      <c r="S2027" s="85"/>
      <c r="T2027" s="85"/>
      <c r="U2027" s="85"/>
      <c r="V2027" s="85"/>
      <c r="W2027" s="85"/>
      <c r="X2027" s="85"/>
    </row>
    <row r="2028" spans="2:24" s="58" customFormat="1" ht="12" x14ac:dyDescent="0.2">
      <c r="B2028" s="91"/>
      <c r="E2028" s="92"/>
      <c r="F2028" s="93"/>
      <c r="G2028" s="94"/>
      <c r="H2028" s="94"/>
      <c r="I2028" s="94"/>
      <c r="J2028" s="94"/>
      <c r="K2028" s="93"/>
      <c r="L2028" s="86"/>
      <c r="M2028" s="161"/>
      <c r="N2028" s="86"/>
      <c r="O2028" s="86"/>
      <c r="P2028" s="86"/>
      <c r="Q2028" s="85"/>
      <c r="S2028" s="85"/>
      <c r="T2028" s="85"/>
      <c r="U2028" s="85"/>
      <c r="V2028" s="85"/>
      <c r="W2028" s="85"/>
      <c r="X2028" s="85"/>
    </row>
    <row r="2029" spans="2:24" s="58" customFormat="1" ht="12" x14ac:dyDescent="0.2">
      <c r="B2029" s="91"/>
      <c r="E2029" s="92"/>
      <c r="F2029" s="93"/>
      <c r="G2029" s="94"/>
      <c r="H2029" s="94"/>
      <c r="I2029" s="94"/>
      <c r="J2029" s="94"/>
      <c r="K2029" s="93"/>
      <c r="L2029" s="86"/>
      <c r="M2029" s="161"/>
      <c r="N2029" s="86"/>
      <c r="O2029" s="86"/>
      <c r="P2029" s="86"/>
      <c r="Q2029" s="85"/>
      <c r="S2029" s="85"/>
      <c r="T2029" s="85"/>
      <c r="U2029" s="85"/>
      <c r="V2029" s="85"/>
      <c r="W2029" s="85"/>
      <c r="X2029" s="85"/>
    </row>
    <row r="2030" spans="2:24" s="58" customFormat="1" ht="12" x14ac:dyDescent="0.2">
      <c r="B2030" s="91"/>
      <c r="E2030" s="92"/>
      <c r="F2030" s="93"/>
      <c r="G2030" s="94"/>
      <c r="H2030" s="94"/>
      <c r="I2030" s="94"/>
      <c r="J2030" s="94"/>
      <c r="K2030" s="93"/>
      <c r="L2030" s="86"/>
      <c r="M2030" s="161"/>
      <c r="N2030" s="86"/>
      <c r="O2030" s="86"/>
      <c r="P2030" s="86"/>
      <c r="Q2030" s="85"/>
      <c r="S2030" s="85"/>
      <c r="T2030" s="85"/>
      <c r="U2030" s="85"/>
      <c r="V2030" s="85"/>
      <c r="W2030" s="85"/>
      <c r="X2030" s="85"/>
    </row>
    <row r="2031" spans="2:24" s="58" customFormat="1" ht="12" x14ac:dyDescent="0.2">
      <c r="B2031" s="91"/>
      <c r="E2031" s="92"/>
      <c r="F2031" s="93"/>
      <c r="G2031" s="94"/>
      <c r="H2031" s="94"/>
      <c r="I2031" s="94"/>
      <c r="J2031" s="94"/>
      <c r="K2031" s="93"/>
      <c r="L2031" s="86"/>
      <c r="M2031" s="161"/>
      <c r="N2031" s="86"/>
      <c r="O2031" s="86"/>
      <c r="P2031" s="86"/>
      <c r="Q2031" s="85"/>
      <c r="S2031" s="85"/>
      <c r="T2031" s="85"/>
      <c r="U2031" s="85"/>
      <c r="V2031" s="85"/>
      <c r="W2031" s="85"/>
      <c r="X2031" s="85"/>
    </row>
    <row r="2032" spans="2:24" s="58" customFormat="1" ht="12" x14ac:dyDescent="0.2">
      <c r="B2032" s="91"/>
      <c r="E2032" s="92"/>
      <c r="F2032" s="93"/>
      <c r="G2032" s="94"/>
      <c r="H2032" s="94"/>
      <c r="I2032" s="94"/>
      <c r="J2032" s="94"/>
      <c r="K2032" s="93"/>
      <c r="L2032" s="86"/>
      <c r="M2032" s="161"/>
      <c r="N2032" s="86"/>
      <c r="O2032" s="86"/>
      <c r="P2032" s="86"/>
      <c r="Q2032" s="85"/>
      <c r="S2032" s="85"/>
      <c r="T2032" s="85"/>
      <c r="U2032" s="85"/>
      <c r="V2032" s="85"/>
      <c r="W2032" s="85"/>
      <c r="X2032" s="85"/>
    </row>
    <row r="2033" spans="2:24" s="58" customFormat="1" ht="12" x14ac:dyDescent="0.2">
      <c r="B2033" s="91"/>
      <c r="E2033" s="92"/>
      <c r="F2033" s="93"/>
      <c r="G2033" s="94"/>
      <c r="H2033" s="94"/>
      <c r="I2033" s="94"/>
      <c r="J2033" s="94"/>
      <c r="K2033" s="93"/>
      <c r="L2033" s="86"/>
      <c r="M2033" s="161"/>
      <c r="N2033" s="86"/>
      <c r="O2033" s="86"/>
      <c r="P2033" s="86"/>
      <c r="Q2033" s="85"/>
      <c r="S2033" s="85"/>
      <c r="T2033" s="85"/>
      <c r="U2033" s="85"/>
      <c r="V2033" s="85"/>
      <c r="W2033" s="85"/>
      <c r="X2033" s="85"/>
    </row>
    <row r="2034" spans="2:24" s="58" customFormat="1" ht="12" x14ac:dyDescent="0.2">
      <c r="B2034" s="91"/>
      <c r="E2034" s="92"/>
      <c r="F2034" s="93"/>
      <c r="G2034" s="94"/>
      <c r="H2034" s="94"/>
      <c r="I2034" s="94"/>
      <c r="J2034" s="94"/>
      <c r="K2034" s="93"/>
      <c r="L2034" s="86"/>
      <c r="M2034" s="161"/>
      <c r="N2034" s="86"/>
      <c r="O2034" s="86"/>
      <c r="P2034" s="86"/>
      <c r="Q2034" s="85"/>
      <c r="S2034" s="85"/>
      <c r="T2034" s="85"/>
      <c r="U2034" s="85"/>
      <c r="V2034" s="85"/>
      <c r="W2034" s="85"/>
      <c r="X2034" s="85"/>
    </row>
    <row r="2035" spans="2:24" s="58" customFormat="1" ht="12" x14ac:dyDescent="0.2">
      <c r="B2035" s="91"/>
      <c r="E2035" s="92"/>
      <c r="F2035" s="93"/>
      <c r="G2035" s="94"/>
      <c r="H2035" s="94"/>
      <c r="I2035" s="94"/>
      <c r="J2035" s="94"/>
      <c r="K2035" s="93"/>
      <c r="L2035" s="86"/>
      <c r="M2035" s="161"/>
      <c r="N2035" s="86"/>
      <c r="O2035" s="86"/>
      <c r="P2035" s="86"/>
      <c r="Q2035" s="85"/>
      <c r="S2035" s="85"/>
      <c r="T2035" s="85"/>
      <c r="U2035" s="85"/>
      <c r="V2035" s="85"/>
      <c r="W2035" s="85"/>
      <c r="X2035" s="85"/>
    </row>
    <row r="2036" spans="2:24" s="58" customFormat="1" ht="12" x14ac:dyDescent="0.2">
      <c r="B2036" s="91"/>
      <c r="E2036" s="92"/>
      <c r="F2036" s="93"/>
      <c r="G2036" s="94"/>
      <c r="H2036" s="94"/>
      <c r="I2036" s="94"/>
      <c r="J2036" s="94"/>
      <c r="K2036" s="93"/>
      <c r="L2036" s="86"/>
      <c r="M2036" s="161"/>
      <c r="N2036" s="86"/>
      <c r="O2036" s="86"/>
      <c r="P2036" s="86"/>
      <c r="Q2036" s="85"/>
      <c r="S2036" s="85"/>
      <c r="T2036" s="85"/>
      <c r="U2036" s="85"/>
      <c r="V2036" s="85"/>
      <c r="W2036" s="85"/>
      <c r="X2036" s="85"/>
    </row>
    <row r="2037" spans="2:24" s="58" customFormat="1" ht="12" x14ac:dyDescent="0.2">
      <c r="B2037" s="91"/>
      <c r="E2037" s="92"/>
      <c r="F2037" s="93"/>
      <c r="G2037" s="94"/>
      <c r="H2037" s="94"/>
      <c r="I2037" s="94"/>
      <c r="J2037" s="94"/>
      <c r="K2037" s="93"/>
      <c r="L2037" s="86"/>
      <c r="M2037" s="161"/>
      <c r="N2037" s="86"/>
      <c r="O2037" s="86"/>
      <c r="P2037" s="86"/>
      <c r="Q2037" s="85"/>
      <c r="S2037" s="85"/>
      <c r="T2037" s="85"/>
      <c r="U2037" s="85"/>
      <c r="V2037" s="85"/>
      <c r="W2037" s="85"/>
      <c r="X2037" s="85"/>
    </row>
    <row r="2038" spans="2:24" s="58" customFormat="1" ht="12" x14ac:dyDescent="0.2">
      <c r="B2038" s="91"/>
      <c r="E2038" s="92"/>
      <c r="F2038" s="93"/>
      <c r="G2038" s="94"/>
      <c r="H2038" s="94"/>
      <c r="I2038" s="94"/>
      <c r="J2038" s="94"/>
      <c r="K2038" s="93"/>
      <c r="L2038" s="86"/>
      <c r="M2038" s="161"/>
      <c r="N2038" s="86"/>
      <c r="O2038" s="86"/>
      <c r="P2038" s="86"/>
      <c r="Q2038" s="85"/>
      <c r="S2038" s="85"/>
      <c r="T2038" s="85"/>
      <c r="U2038" s="85"/>
      <c r="V2038" s="85"/>
      <c r="W2038" s="85"/>
      <c r="X2038" s="85"/>
    </row>
    <row r="2039" spans="2:24" s="58" customFormat="1" ht="12" x14ac:dyDescent="0.2">
      <c r="B2039" s="91"/>
      <c r="E2039" s="92"/>
      <c r="F2039" s="93"/>
      <c r="G2039" s="94"/>
      <c r="H2039" s="94"/>
      <c r="I2039" s="94"/>
      <c r="J2039" s="94"/>
      <c r="K2039" s="93"/>
      <c r="L2039" s="86"/>
      <c r="M2039" s="161"/>
      <c r="N2039" s="86"/>
      <c r="O2039" s="86"/>
      <c r="P2039" s="86"/>
      <c r="Q2039" s="85"/>
      <c r="S2039" s="85"/>
      <c r="T2039" s="85"/>
      <c r="U2039" s="85"/>
      <c r="V2039" s="85"/>
      <c r="W2039" s="85"/>
      <c r="X2039" s="85"/>
    </row>
    <row r="2040" spans="2:24" s="58" customFormat="1" ht="12" x14ac:dyDescent="0.2">
      <c r="B2040" s="91"/>
      <c r="E2040" s="92"/>
      <c r="F2040" s="93"/>
      <c r="G2040" s="94"/>
      <c r="H2040" s="94"/>
      <c r="I2040" s="94"/>
      <c r="J2040" s="94"/>
      <c r="K2040" s="93"/>
      <c r="L2040" s="86"/>
      <c r="M2040" s="161"/>
      <c r="N2040" s="86"/>
      <c r="O2040" s="86"/>
      <c r="P2040" s="86"/>
      <c r="Q2040" s="85"/>
      <c r="S2040" s="85"/>
      <c r="T2040" s="85"/>
      <c r="U2040" s="85"/>
      <c r="V2040" s="85"/>
      <c r="W2040" s="85"/>
      <c r="X2040" s="85"/>
    </row>
    <row r="2041" spans="2:24" s="58" customFormat="1" ht="12" x14ac:dyDescent="0.2">
      <c r="B2041" s="91"/>
      <c r="E2041" s="92"/>
      <c r="F2041" s="93"/>
      <c r="G2041" s="94"/>
      <c r="H2041" s="94"/>
      <c r="I2041" s="94"/>
      <c r="J2041" s="94"/>
      <c r="K2041" s="93"/>
      <c r="L2041" s="86"/>
      <c r="M2041" s="161"/>
      <c r="N2041" s="86"/>
      <c r="O2041" s="86"/>
      <c r="P2041" s="86"/>
      <c r="Q2041" s="85"/>
      <c r="S2041" s="85"/>
      <c r="T2041" s="85"/>
      <c r="U2041" s="85"/>
      <c r="V2041" s="85"/>
      <c r="W2041" s="85"/>
      <c r="X2041" s="85"/>
    </row>
    <row r="2042" spans="2:24" s="58" customFormat="1" ht="12" x14ac:dyDescent="0.2">
      <c r="B2042" s="91"/>
      <c r="E2042" s="92"/>
      <c r="F2042" s="93"/>
      <c r="G2042" s="94"/>
      <c r="H2042" s="94"/>
      <c r="I2042" s="94"/>
      <c r="J2042" s="94"/>
      <c r="K2042" s="93"/>
      <c r="L2042" s="86"/>
      <c r="M2042" s="161"/>
      <c r="N2042" s="86"/>
      <c r="O2042" s="86"/>
      <c r="P2042" s="86"/>
      <c r="Q2042" s="85"/>
      <c r="S2042" s="85"/>
      <c r="T2042" s="85"/>
      <c r="U2042" s="85"/>
      <c r="V2042" s="85"/>
      <c r="W2042" s="85"/>
      <c r="X2042" s="85"/>
    </row>
    <row r="2043" spans="2:24" s="58" customFormat="1" ht="12" x14ac:dyDescent="0.2">
      <c r="B2043" s="91"/>
      <c r="E2043" s="92"/>
      <c r="F2043" s="93"/>
      <c r="G2043" s="94"/>
      <c r="H2043" s="94"/>
      <c r="I2043" s="94"/>
      <c r="J2043" s="94"/>
      <c r="K2043" s="93"/>
      <c r="L2043" s="86"/>
      <c r="M2043" s="161"/>
      <c r="N2043" s="86"/>
      <c r="O2043" s="86"/>
      <c r="P2043" s="86"/>
      <c r="Q2043" s="85"/>
      <c r="S2043" s="85"/>
      <c r="T2043" s="85"/>
      <c r="U2043" s="85"/>
      <c r="V2043" s="85"/>
      <c r="W2043" s="85"/>
      <c r="X2043" s="85"/>
    </row>
    <row r="2044" spans="2:24" s="58" customFormat="1" ht="12" x14ac:dyDescent="0.2">
      <c r="B2044" s="91"/>
      <c r="E2044" s="92"/>
      <c r="F2044" s="93"/>
      <c r="G2044" s="94"/>
      <c r="H2044" s="94"/>
      <c r="I2044" s="94"/>
      <c r="J2044" s="94"/>
      <c r="K2044" s="93"/>
      <c r="L2044" s="86"/>
      <c r="M2044" s="161"/>
      <c r="N2044" s="86"/>
      <c r="O2044" s="86"/>
      <c r="P2044" s="86"/>
      <c r="Q2044" s="85"/>
      <c r="S2044" s="85"/>
      <c r="T2044" s="85"/>
      <c r="U2044" s="85"/>
      <c r="V2044" s="85"/>
      <c r="W2044" s="85"/>
      <c r="X2044" s="85"/>
    </row>
    <row r="2045" spans="2:24" s="58" customFormat="1" ht="12" x14ac:dyDescent="0.2">
      <c r="B2045" s="91"/>
      <c r="E2045" s="92"/>
      <c r="F2045" s="93"/>
      <c r="G2045" s="94"/>
      <c r="H2045" s="94"/>
      <c r="I2045" s="94"/>
      <c r="J2045" s="94"/>
      <c r="K2045" s="93"/>
      <c r="L2045" s="86"/>
      <c r="M2045" s="161"/>
      <c r="N2045" s="86"/>
      <c r="O2045" s="86"/>
      <c r="P2045" s="86"/>
      <c r="Q2045" s="85"/>
      <c r="S2045" s="85"/>
      <c r="T2045" s="85"/>
      <c r="U2045" s="85"/>
      <c r="V2045" s="85"/>
      <c r="W2045" s="85"/>
      <c r="X2045" s="85"/>
    </row>
    <row r="2046" spans="2:24" s="58" customFormat="1" ht="12" x14ac:dyDescent="0.2">
      <c r="B2046" s="91"/>
      <c r="E2046" s="92"/>
      <c r="F2046" s="93"/>
      <c r="G2046" s="94"/>
      <c r="H2046" s="94"/>
      <c r="I2046" s="94"/>
      <c r="J2046" s="94"/>
      <c r="K2046" s="93"/>
      <c r="L2046" s="86"/>
      <c r="M2046" s="161"/>
      <c r="N2046" s="86"/>
      <c r="O2046" s="86"/>
      <c r="P2046" s="86"/>
      <c r="Q2046" s="85"/>
      <c r="S2046" s="85"/>
      <c r="T2046" s="85"/>
      <c r="U2046" s="85"/>
      <c r="V2046" s="85"/>
      <c r="W2046" s="85"/>
      <c r="X2046" s="85"/>
    </row>
    <row r="2047" spans="2:24" s="58" customFormat="1" ht="12" x14ac:dyDescent="0.2">
      <c r="B2047" s="91"/>
      <c r="E2047" s="92"/>
      <c r="F2047" s="93"/>
      <c r="G2047" s="94"/>
      <c r="H2047" s="94"/>
      <c r="I2047" s="94"/>
      <c r="J2047" s="94"/>
      <c r="K2047" s="93"/>
      <c r="L2047" s="86"/>
      <c r="M2047" s="161"/>
      <c r="N2047" s="86"/>
      <c r="O2047" s="86"/>
      <c r="P2047" s="86"/>
      <c r="Q2047" s="85"/>
      <c r="S2047" s="85"/>
      <c r="T2047" s="85"/>
      <c r="U2047" s="85"/>
      <c r="V2047" s="85"/>
      <c r="W2047" s="85"/>
      <c r="X2047" s="85"/>
    </row>
    <row r="2048" spans="2:24" s="58" customFormat="1" ht="12" x14ac:dyDescent="0.2">
      <c r="B2048" s="91"/>
      <c r="E2048" s="92"/>
      <c r="F2048" s="93"/>
      <c r="G2048" s="94"/>
      <c r="H2048" s="94"/>
      <c r="I2048" s="94"/>
      <c r="J2048" s="94"/>
      <c r="K2048" s="93"/>
      <c r="L2048" s="86"/>
      <c r="M2048" s="161"/>
      <c r="N2048" s="86"/>
      <c r="O2048" s="86"/>
      <c r="P2048" s="86"/>
      <c r="Q2048" s="85"/>
      <c r="S2048" s="85"/>
      <c r="T2048" s="85"/>
      <c r="U2048" s="85"/>
      <c r="V2048" s="85"/>
      <c r="W2048" s="85"/>
      <c r="X2048" s="85"/>
    </row>
    <row r="2049" spans="2:24" s="58" customFormat="1" ht="12" x14ac:dyDescent="0.2">
      <c r="B2049" s="91"/>
      <c r="E2049" s="92"/>
      <c r="F2049" s="93"/>
      <c r="G2049" s="94"/>
      <c r="H2049" s="94"/>
      <c r="I2049" s="94"/>
      <c r="J2049" s="94"/>
      <c r="K2049" s="93"/>
      <c r="L2049" s="86"/>
      <c r="M2049" s="161"/>
      <c r="N2049" s="86"/>
      <c r="O2049" s="86"/>
      <c r="P2049" s="86"/>
      <c r="Q2049" s="85"/>
      <c r="S2049" s="85"/>
      <c r="T2049" s="85"/>
      <c r="U2049" s="85"/>
      <c r="V2049" s="85"/>
      <c r="W2049" s="85"/>
      <c r="X2049" s="85"/>
    </row>
    <row r="2050" spans="2:24" s="58" customFormat="1" ht="12" x14ac:dyDescent="0.2">
      <c r="B2050" s="91"/>
      <c r="E2050" s="92"/>
      <c r="F2050" s="93"/>
      <c r="G2050" s="94"/>
      <c r="H2050" s="94"/>
      <c r="I2050" s="94"/>
      <c r="J2050" s="94"/>
      <c r="K2050" s="93"/>
      <c r="L2050" s="86"/>
      <c r="M2050" s="161"/>
      <c r="N2050" s="86"/>
      <c r="O2050" s="86"/>
      <c r="P2050" s="86"/>
      <c r="Q2050" s="85"/>
      <c r="S2050" s="85"/>
      <c r="T2050" s="85"/>
      <c r="U2050" s="85"/>
      <c r="V2050" s="85"/>
      <c r="W2050" s="85"/>
      <c r="X2050" s="85"/>
    </row>
    <row r="2051" spans="2:24" s="58" customFormat="1" ht="12" x14ac:dyDescent="0.2">
      <c r="B2051" s="91"/>
      <c r="E2051" s="92"/>
      <c r="F2051" s="93"/>
      <c r="G2051" s="94"/>
      <c r="H2051" s="94"/>
      <c r="I2051" s="94"/>
      <c r="J2051" s="94"/>
      <c r="K2051" s="93"/>
      <c r="L2051" s="86"/>
      <c r="M2051" s="161"/>
      <c r="N2051" s="86"/>
      <c r="O2051" s="86"/>
      <c r="P2051" s="86"/>
      <c r="Q2051" s="85"/>
      <c r="S2051" s="85"/>
      <c r="T2051" s="85"/>
      <c r="U2051" s="85"/>
      <c r="V2051" s="85"/>
      <c r="W2051" s="85"/>
      <c r="X2051" s="85"/>
    </row>
    <row r="2052" spans="2:24" s="58" customFormat="1" ht="12" x14ac:dyDescent="0.2">
      <c r="B2052" s="91"/>
      <c r="E2052" s="92"/>
      <c r="F2052" s="93"/>
      <c r="G2052" s="94"/>
      <c r="H2052" s="94"/>
      <c r="I2052" s="94"/>
      <c r="J2052" s="94"/>
      <c r="K2052" s="93"/>
      <c r="L2052" s="86"/>
      <c r="M2052" s="161"/>
      <c r="N2052" s="86"/>
      <c r="O2052" s="86"/>
      <c r="P2052" s="86"/>
      <c r="Q2052" s="85"/>
      <c r="S2052" s="85"/>
      <c r="T2052" s="85"/>
      <c r="U2052" s="85"/>
      <c r="V2052" s="85"/>
      <c r="W2052" s="85"/>
      <c r="X2052" s="85"/>
    </row>
    <row r="2053" spans="2:24" s="58" customFormat="1" ht="12" x14ac:dyDescent="0.2">
      <c r="B2053" s="91"/>
      <c r="E2053" s="92"/>
      <c r="F2053" s="93"/>
      <c r="G2053" s="94"/>
      <c r="H2053" s="94"/>
      <c r="I2053" s="94"/>
      <c r="J2053" s="94"/>
      <c r="K2053" s="93"/>
      <c r="L2053" s="86"/>
      <c r="M2053" s="161"/>
      <c r="N2053" s="86"/>
      <c r="O2053" s="86"/>
      <c r="P2053" s="86"/>
      <c r="Q2053" s="85"/>
      <c r="S2053" s="85"/>
      <c r="T2053" s="85"/>
      <c r="U2053" s="85"/>
      <c r="V2053" s="85"/>
      <c r="W2053" s="85"/>
      <c r="X2053" s="85"/>
    </row>
    <row r="2054" spans="2:24" s="58" customFormat="1" ht="12" x14ac:dyDescent="0.2">
      <c r="B2054" s="91"/>
      <c r="E2054" s="92"/>
      <c r="F2054" s="93"/>
      <c r="G2054" s="94"/>
      <c r="H2054" s="94"/>
      <c r="I2054" s="94"/>
      <c r="J2054" s="94"/>
      <c r="K2054" s="93"/>
      <c r="L2054" s="86"/>
      <c r="M2054" s="161"/>
      <c r="N2054" s="86"/>
      <c r="O2054" s="86"/>
      <c r="P2054" s="86"/>
      <c r="Q2054" s="85"/>
      <c r="S2054" s="85"/>
      <c r="T2054" s="85"/>
      <c r="U2054" s="85"/>
      <c r="V2054" s="85"/>
      <c r="W2054" s="85"/>
      <c r="X2054" s="85"/>
    </row>
    <row r="2055" spans="2:24" s="58" customFormat="1" ht="12" x14ac:dyDescent="0.2">
      <c r="B2055" s="91"/>
      <c r="E2055" s="92"/>
      <c r="F2055" s="93"/>
      <c r="G2055" s="94"/>
      <c r="H2055" s="94"/>
      <c r="I2055" s="94"/>
      <c r="J2055" s="94"/>
      <c r="K2055" s="93"/>
      <c r="L2055" s="86"/>
      <c r="M2055" s="161"/>
      <c r="N2055" s="86"/>
      <c r="O2055" s="86"/>
      <c r="P2055" s="86"/>
      <c r="Q2055" s="85"/>
      <c r="S2055" s="85"/>
      <c r="T2055" s="85"/>
      <c r="U2055" s="85"/>
      <c r="V2055" s="85"/>
      <c r="W2055" s="85"/>
      <c r="X2055" s="85"/>
    </row>
    <row r="2056" spans="2:24" s="58" customFormat="1" ht="12" x14ac:dyDescent="0.2">
      <c r="B2056" s="91"/>
      <c r="E2056" s="92"/>
      <c r="F2056" s="93"/>
      <c r="G2056" s="94"/>
      <c r="H2056" s="94"/>
      <c r="I2056" s="94"/>
      <c r="J2056" s="94"/>
      <c r="K2056" s="93"/>
      <c r="L2056" s="86"/>
      <c r="M2056" s="161"/>
      <c r="N2056" s="86"/>
      <c r="O2056" s="86"/>
      <c r="P2056" s="86"/>
      <c r="Q2056" s="85"/>
      <c r="S2056" s="85"/>
      <c r="T2056" s="85"/>
      <c r="U2056" s="85"/>
      <c r="V2056" s="85"/>
      <c r="W2056" s="85"/>
      <c r="X2056" s="85"/>
    </row>
    <row r="2057" spans="2:24" s="58" customFormat="1" ht="12" x14ac:dyDescent="0.2">
      <c r="B2057" s="91"/>
      <c r="E2057" s="92"/>
      <c r="F2057" s="93"/>
      <c r="G2057" s="94"/>
      <c r="H2057" s="94"/>
      <c r="I2057" s="94"/>
      <c r="J2057" s="94"/>
      <c r="K2057" s="93"/>
      <c r="L2057" s="86"/>
      <c r="M2057" s="161"/>
      <c r="N2057" s="86"/>
      <c r="O2057" s="86"/>
      <c r="P2057" s="86"/>
      <c r="Q2057" s="85"/>
      <c r="S2057" s="85"/>
      <c r="T2057" s="85"/>
      <c r="U2057" s="85"/>
      <c r="V2057" s="85"/>
      <c r="W2057" s="85"/>
      <c r="X2057" s="85"/>
    </row>
    <row r="2058" spans="2:24" s="58" customFormat="1" ht="12" x14ac:dyDescent="0.2">
      <c r="B2058" s="91"/>
      <c r="E2058" s="92"/>
      <c r="F2058" s="93"/>
      <c r="G2058" s="94"/>
      <c r="H2058" s="94"/>
      <c r="I2058" s="94"/>
      <c r="J2058" s="94"/>
      <c r="K2058" s="93"/>
      <c r="L2058" s="86"/>
      <c r="M2058" s="161"/>
      <c r="N2058" s="86"/>
      <c r="O2058" s="86"/>
      <c r="P2058" s="86"/>
      <c r="Q2058" s="85"/>
      <c r="S2058" s="85"/>
      <c r="T2058" s="85"/>
      <c r="U2058" s="85"/>
      <c r="V2058" s="85"/>
      <c r="W2058" s="85"/>
      <c r="X2058" s="85"/>
    </row>
    <row r="2059" spans="2:24" s="58" customFormat="1" ht="12" x14ac:dyDescent="0.2">
      <c r="B2059" s="91"/>
      <c r="E2059" s="92"/>
      <c r="F2059" s="93"/>
      <c r="G2059" s="94"/>
      <c r="H2059" s="94"/>
      <c r="I2059" s="94"/>
      <c r="J2059" s="94"/>
      <c r="K2059" s="93"/>
      <c r="L2059" s="86"/>
      <c r="M2059" s="161"/>
      <c r="N2059" s="86"/>
      <c r="O2059" s="86"/>
      <c r="P2059" s="86"/>
      <c r="Q2059" s="85"/>
      <c r="S2059" s="85"/>
      <c r="T2059" s="85"/>
      <c r="U2059" s="85"/>
      <c r="V2059" s="85"/>
      <c r="W2059" s="85"/>
      <c r="X2059" s="85"/>
    </row>
    <row r="2060" spans="2:24" s="58" customFormat="1" ht="12" x14ac:dyDescent="0.2">
      <c r="B2060" s="91"/>
      <c r="E2060" s="92"/>
      <c r="F2060" s="93"/>
      <c r="G2060" s="94"/>
      <c r="H2060" s="94"/>
      <c r="I2060" s="94"/>
      <c r="J2060" s="94"/>
      <c r="K2060" s="93"/>
      <c r="L2060" s="86"/>
      <c r="M2060" s="161"/>
      <c r="N2060" s="86"/>
      <c r="O2060" s="86"/>
      <c r="P2060" s="86"/>
      <c r="Q2060" s="85"/>
      <c r="S2060" s="85"/>
      <c r="T2060" s="85"/>
      <c r="U2060" s="85"/>
      <c r="V2060" s="85"/>
      <c r="W2060" s="85"/>
      <c r="X2060" s="85"/>
    </row>
    <row r="2061" spans="2:24" s="58" customFormat="1" ht="12" x14ac:dyDescent="0.2">
      <c r="B2061" s="91"/>
      <c r="E2061" s="92"/>
      <c r="F2061" s="93"/>
      <c r="G2061" s="94"/>
      <c r="H2061" s="94"/>
      <c r="I2061" s="94"/>
      <c r="J2061" s="94"/>
      <c r="K2061" s="93"/>
      <c r="L2061" s="86"/>
      <c r="M2061" s="161"/>
      <c r="N2061" s="86"/>
      <c r="O2061" s="86"/>
      <c r="P2061" s="86"/>
      <c r="Q2061" s="85"/>
      <c r="S2061" s="85"/>
      <c r="T2061" s="85"/>
      <c r="U2061" s="85"/>
      <c r="V2061" s="85"/>
      <c r="W2061" s="85"/>
      <c r="X2061" s="85"/>
    </row>
    <row r="2062" spans="2:24" s="58" customFormat="1" ht="12" x14ac:dyDescent="0.2">
      <c r="B2062" s="91"/>
      <c r="E2062" s="92"/>
      <c r="F2062" s="93"/>
      <c r="G2062" s="94"/>
      <c r="H2062" s="94"/>
      <c r="I2062" s="94"/>
      <c r="J2062" s="94"/>
      <c r="K2062" s="93"/>
      <c r="L2062" s="86"/>
      <c r="M2062" s="161"/>
      <c r="N2062" s="86"/>
      <c r="O2062" s="86"/>
      <c r="P2062" s="86"/>
      <c r="Q2062" s="85"/>
      <c r="S2062" s="85"/>
      <c r="T2062" s="85"/>
      <c r="U2062" s="85"/>
      <c r="V2062" s="85"/>
      <c r="W2062" s="85"/>
      <c r="X2062" s="85"/>
    </row>
    <row r="2063" spans="2:24" s="58" customFormat="1" ht="12" x14ac:dyDescent="0.2">
      <c r="B2063" s="91"/>
      <c r="E2063" s="92"/>
      <c r="F2063" s="93"/>
      <c r="G2063" s="94"/>
      <c r="H2063" s="94"/>
      <c r="I2063" s="94"/>
      <c r="J2063" s="94"/>
      <c r="K2063" s="93"/>
      <c r="L2063" s="86"/>
      <c r="M2063" s="161"/>
      <c r="N2063" s="86"/>
      <c r="O2063" s="86"/>
      <c r="P2063" s="86"/>
      <c r="Q2063" s="85"/>
      <c r="S2063" s="85"/>
      <c r="T2063" s="85"/>
      <c r="U2063" s="85"/>
      <c r="V2063" s="85"/>
      <c r="W2063" s="85"/>
      <c r="X2063" s="85"/>
    </row>
    <row r="2064" spans="2:24" s="58" customFormat="1" ht="12" x14ac:dyDescent="0.2">
      <c r="B2064" s="91"/>
      <c r="E2064" s="92"/>
      <c r="F2064" s="93"/>
      <c r="G2064" s="94"/>
      <c r="H2064" s="94"/>
      <c r="I2064" s="94"/>
      <c r="J2064" s="94"/>
      <c r="K2064" s="93"/>
      <c r="L2064" s="86"/>
      <c r="M2064" s="161"/>
      <c r="N2064" s="86"/>
      <c r="O2064" s="86"/>
      <c r="P2064" s="86"/>
      <c r="Q2064" s="85"/>
      <c r="S2064" s="85"/>
      <c r="T2064" s="85"/>
      <c r="U2064" s="85"/>
      <c r="V2064" s="85"/>
      <c r="W2064" s="85"/>
      <c r="X2064" s="85"/>
    </row>
    <row r="2065" spans="2:24" s="58" customFormat="1" ht="12" x14ac:dyDescent="0.2">
      <c r="B2065" s="91"/>
      <c r="E2065" s="92"/>
      <c r="F2065" s="93"/>
      <c r="G2065" s="94"/>
      <c r="H2065" s="94"/>
      <c r="I2065" s="94"/>
      <c r="J2065" s="94"/>
      <c r="K2065" s="93"/>
      <c r="L2065" s="86"/>
      <c r="M2065" s="161"/>
      <c r="N2065" s="86"/>
      <c r="O2065" s="86"/>
      <c r="P2065" s="86"/>
      <c r="Q2065" s="85"/>
      <c r="S2065" s="85"/>
      <c r="T2065" s="85"/>
      <c r="U2065" s="85"/>
      <c r="V2065" s="85"/>
      <c r="W2065" s="85"/>
      <c r="X2065" s="85"/>
    </row>
    <row r="2066" spans="2:24" s="58" customFormat="1" ht="12" x14ac:dyDescent="0.2">
      <c r="B2066" s="91"/>
      <c r="E2066" s="92"/>
      <c r="F2066" s="93"/>
      <c r="G2066" s="94"/>
      <c r="H2066" s="94"/>
      <c r="I2066" s="94"/>
      <c r="J2066" s="94"/>
      <c r="K2066" s="93"/>
      <c r="L2066" s="86"/>
      <c r="M2066" s="161"/>
      <c r="N2066" s="86"/>
      <c r="O2066" s="86"/>
      <c r="P2066" s="86"/>
      <c r="Q2066" s="85"/>
      <c r="S2066" s="85"/>
      <c r="T2066" s="85"/>
      <c r="U2066" s="85"/>
      <c r="V2066" s="85"/>
      <c r="W2066" s="85"/>
      <c r="X2066" s="85"/>
    </row>
    <row r="2067" spans="2:24" s="58" customFormat="1" ht="12" x14ac:dyDescent="0.2">
      <c r="B2067" s="91"/>
      <c r="E2067" s="92"/>
      <c r="F2067" s="93"/>
      <c r="G2067" s="94"/>
      <c r="H2067" s="94"/>
      <c r="I2067" s="94"/>
      <c r="J2067" s="94"/>
      <c r="K2067" s="93"/>
      <c r="L2067" s="86"/>
      <c r="M2067" s="161"/>
      <c r="N2067" s="86"/>
      <c r="O2067" s="86"/>
      <c r="P2067" s="86"/>
      <c r="Q2067" s="85"/>
      <c r="S2067" s="85"/>
      <c r="T2067" s="85"/>
      <c r="U2067" s="85"/>
      <c r="V2067" s="85"/>
      <c r="W2067" s="85"/>
      <c r="X2067" s="85"/>
    </row>
    <row r="2068" spans="2:24" s="58" customFormat="1" ht="12" x14ac:dyDescent="0.2">
      <c r="B2068" s="91"/>
      <c r="E2068" s="92"/>
      <c r="F2068" s="93"/>
      <c r="G2068" s="94"/>
      <c r="H2068" s="94"/>
      <c r="I2068" s="94"/>
      <c r="J2068" s="94"/>
      <c r="K2068" s="93"/>
      <c r="L2068" s="86"/>
      <c r="M2068" s="161"/>
      <c r="N2068" s="86"/>
      <c r="O2068" s="86"/>
      <c r="P2068" s="86"/>
      <c r="Q2068" s="85"/>
      <c r="S2068" s="85"/>
      <c r="T2068" s="85"/>
      <c r="U2068" s="85"/>
      <c r="V2068" s="85"/>
      <c r="W2068" s="85"/>
      <c r="X2068" s="85"/>
    </row>
    <row r="2069" spans="2:24" s="58" customFormat="1" ht="12" x14ac:dyDescent="0.2">
      <c r="B2069" s="91"/>
      <c r="E2069" s="92"/>
      <c r="F2069" s="93"/>
      <c r="G2069" s="94"/>
      <c r="H2069" s="94"/>
      <c r="I2069" s="94"/>
      <c r="J2069" s="94"/>
      <c r="K2069" s="93"/>
      <c r="L2069" s="86"/>
      <c r="M2069" s="161"/>
      <c r="N2069" s="86"/>
      <c r="O2069" s="86"/>
      <c r="P2069" s="86"/>
      <c r="Q2069" s="85"/>
      <c r="S2069" s="85"/>
      <c r="T2069" s="85"/>
      <c r="U2069" s="85"/>
      <c r="V2069" s="85"/>
      <c r="W2069" s="85"/>
      <c r="X2069" s="85"/>
    </row>
    <row r="2070" spans="2:24" s="58" customFormat="1" ht="12" x14ac:dyDescent="0.2">
      <c r="B2070" s="91"/>
      <c r="E2070" s="92"/>
      <c r="F2070" s="93"/>
      <c r="G2070" s="94"/>
      <c r="H2070" s="94"/>
      <c r="I2070" s="94"/>
      <c r="J2070" s="94"/>
      <c r="K2070" s="93"/>
      <c r="L2070" s="86"/>
      <c r="M2070" s="161"/>
      <c r="N2070" s="86"/>
      <c r="O2070" s="86"/>
      <c r="P2070" s="86"/>
      <c r="Q2070" s="85"/>
      <c r="S2070" s="85"/>
      <c r="T2070" s="85"/>
      <c r="U2070" s="85"/>
      <c r="V2070" s="85"/>
      <c r="W2070" s="85"/>
      <c r="X2070" s="85"/>
    </row>
    <row r="2071" spans="2:24" s="58" customFormat="1" ht="12" x14ac:dyDescent="0.2">
      <c r="B2071" s="91"/>
      <c r="E2071" s="92"/>
      <c r="F2071" s="93"/>
      <c r="G2071" s="94"/>
      <c r="H2071" s="94"/>
      <c r="I2071" s="94"/>
      <c r="J2071" s="94"/>
      <c r="K2071" s="93"/>
      <c r="L2071" s="86"/>
      <c r="M2071" s="161"/>
      <c r="N2071" s="86"/>
      <c r="O2071" s="86"/>
      <c r="P2071" s="86"/>
      <c r="Q2071" s="85"/>
      <c r="S2071" s="85"/>
      <c r="T2071" s="85"/>
      <c r="U2071" s="85"/>
      <c r="V2071" s="85"/>
      <c r="W2071" s="85"/>
      <c r="X2071" s="85"/>
    </row>
    <row r="2072" spans="2:24" s="58" customFormat="1" ht="12" x14ac:dyDescent="0.2">
      <c r="B2072" s="91"/>
      <c r="E2072" s="92"/>
      <c r="F2072" s="93"/>
      <c r="G2072" s="94"/>
      <c r="H2072" s="94"/>
      <c r="I2072" s="94"/>
      <c r="J2072" s="94"/>
      <c r="K2072" s="93"/>
      <c r="L2072" s="86"/>
      <c r="M2072" s="161"/>
      <c r="N2072" s="86"/>
      <c r="O2072" s="86"/>
      <c r="P2072" s="86"/>
      <c r="Q2072" s="85"/>
      <c r="S2072" s="85"/>
      <c r="T2072" s="85"/>
      <c r="U2072" s="85"/>
      <c r="V2072" s="85"/>
      <c r="W2072" s="85"/>
      <c r="X2072" s="85"/>
    </row>
    <row r="2073" spans="2:24" s="58" customFormat="1" ht="12" x14ac:dyDescent="0.2">
      <c r="B2073" s="91"/>
      <c r="E2073" s="92"/>
      <c r="F2073" s="93"/>
      <c r="G2073" s="94"/>
      <c r="H2073" s="94"/>
      <c r="I2073" s="94"/>
      <c r="J2073" s="94"/>
      <c r="K2073" s="93"/>
      <c r="L2073" s="86"/>
      <c r="M2073" s="161"/>
      <c r="N2073" s="86"/>
      <c r="O2073" s="86"/>
      <c r="P2073" s="86"/>
      <c r="Q2073" s="85"/>
      <c r="S2073" s="85"/>
      <c r="T2073" s="85"/>
      <c r="U2073" s="85"/>
      <c r="V2073" s="85"/>
      <c r="W2073" s="85"/>
      <c r="X2073" s="85"/>
    </row>
    <row r="2074" spans="2:24" s="58" customFormat="1" ht="12" x14ac:dyDescent="0.2">
      <c r="B2074" s="91"/>
      <c r="E2074" s="92"/>
      <c r="F2074" s="93"/>
      <c r="G2074" s="94"/>
      <c r="H2074" s="94"/>
      <c r="I2074" s="94"/>
      <c r="J2074" s="94"/>
      <c r="K2074" s="93"/>
      <c r="L2074" s="86"/>
      <c r="M2074" s="161"/>
      <c r="N2074" s="86"/>
      <c r="O2074" s="86"/>
      <c r="P2074" s="86"/>
      <c r="Q2074" s="85"/>
      <c r="S2074" s="85"/>
      <c r="T2074" s="85"/>
      <c r="U2074" s="85"/>
      <c r="V2074" s="85"/>
      <c r="W2074" s="85"/>
      <c r="X2074" s="85"/>
    </row>
    <row r="2075" spans="2:24" s="58" customFormat="1" ht="12" x14ac:dyDescent="0.2">
      <c r="B2075" s="91"/>
      <c r="E2075" s="92"/>
      <c r="F2075" s="93"/>
      <c r="G2075" s="94"/>
      <c r="H2075" s="94"/>
      <c r="I2075" s="94"/>
      <c r="J2075" s="94"/>
      <c r="K2075" s="93"/>
      <c r="L2075" s="86"/>
      <c r="M2075" s="161"/>
      <c r="N2075" s="86"/>
      <c r="O2075" s="86"/>
      <c r="P2075" s="86"/>
      <c r="Q2075" s="85"/>
      <c r="S2075" s="85"/>
      <c r="T2075" s="85"/>
      <c r="U2075" s="85"/>
      <c r="V2075" s="85"/>
      <c r="W2075" s="85"/>
      <c r="X2075" s="85"/>
    </row>
    <row r="2076" spans="2:24" s="58" customFormat="1" ht="12" x14ac:dyDescent="0.2">
      <c r="B2076" s="91"/>
      <c r="E2076" s="92"/>
      <c r="F2076" s="93"/>
      <c r="G2076" s="94"/>
      <c r="H2076" s="94"/>
      <c r="I2076" s="94"/>
      <c r="J2076" s="94"/>
      <c r="K2076" s="93"/>
      <c r="L2076" s="86"/>
      <c r="M2076" s="161"/>
      <c r="N2076" s="86"/>
      <c r="O2076" s="86"/>
      <c r="P2076" s="86"/>
      <c r="Q2076" s="85"/>
      <c r="S2076" s="85"/>
      <c r="T2076" s="85"/>
      <c r="U2076" s="85"/>
      <c r="V2076" s="85"/>
      <c r="W2076" s="85"/>
      <c r="X2076" s="85"/>
    </row>
    <row r="2077" spans="2:24" s="58" customFormat="1" ht="12" x14ac:dyDescent="0.2">
      <c r="B2077" s="91"/>
      <c r="E2077" s="92"/>
      <c r="F2077" s="93"/>
      <c r="G2077" s="94"/>
      <c r="H2077" s="94"/>
      <c r="I2077" s="94"/>
      <c r="J2077" s="94"/>
      <c r="K2077" s="93"/>
      <c r="L2077" s="86"/>
      <c r="M2077" s="161"/>
      <c r="N2077" s="86"/>
      <c r="O2077" s="86"/>
      <c r="P2077" s="86"/>
      <c r="Q2077" s="85"/>
      <c r="S2077" s="85"/>
      <c r="T2077" s="85"/>
      <c r="U2077" s="85"/>
      <c r="V2077" s="85"/>
      <c r="W2077" s="85"/>
      <c r="X2077" s="85"/>
    </row>
    <row r="2078" spans="2:24" s="58" customFormat="1" ht="12" x14ac:dyDescent="0.2">
      <c r="B2078" s="91"/>
      <c r="E2078" s="92"/>
      <c r="F2078" s="93"/>
      <c r="G2078" s="94"/>
      <c r="H2078" s="94"/>
      <c r="I2078" s="94"/>
      <c r="J2078" s="94"/>
      <c r="K2078" s="93"/>
      <c r="L2078" s="86"/>
      <c r="M2078" s="161"/>
      <c r="N2078" s="86"/>
      <c r="O2078" s="86"/>
      <c r="P2078" s="86"/>
      <c r="Q2078" s="85"/>
      <c r="S2078" s="85"/>
      <c r="T2078" s="85"/>
      <c r="U2078" s="85"/>
      <c r="V2078" s="85"/>
      <c r="W2078" s="85"/>
      <c r="X2078" s="85"/>
    </row>
    <row r="2079" spans="2:24" s="58" customFormat="1" ht="12" x14ac:dyDescent="0.2">
      <c r="B2079" s="91"/>
      <c r="E2079" s="92"/>
      <c r="F2079" s="93"/>
      <c r="G2079" s="94"/>
      <c r="H2079" s="94"/>
      <c r="I2079" s="94"/>
      <c r="J2079" s="94"/>
      <c r="K2079" s="93"/>
      <c r="L2079" s="86"/>
      <c r="M2079" s="161"/>
      <c r="N2079" s="86"/>
      <c r="O2079" s="86"/>
      <c r="P2079" s="86"/>
      <c r="Q2079" s="85"/>
      <c r="S2079" s="85"/>
      <c r="T2079" s="85"/>
      <c r="U2079" s="85"/>
      <c r="V2079" s="85"/>
      <c r="W2079" s="85"/>
      <c r="X2079" s="85"/>
    </row>
    <row r="2080" spans="2:24" s="58" customFormat="1" ht="12" x14ac:dyDescent="0.2">
      <c r="B2080" s="91"/>
      <c r="E2080" s="92"/>
      <c r="F2080" s="93"/>
      <c r="G2080" s="94"/>
      <c r="H2080" s="94"/>
      <c r="I2080" s="94"/>
      <c r="J2080" s="94"/>
      <c r="K2080" s="93"/>
      <c r="L2080" s="86"/>
      <c r="M2080" s="161"/>
      <c r="N2080" s="86"/>
      <c r="O2080" s="86"/>
      <c r="P2080" s="86"/>
      <c r="Q2080" s="85"/>
      <c r="S2080" s="85"/>
      <c r="T2080" s="85"/>
      <c r="U2080" s="85"/>
      <c r="V2080" s="85"/>
      <c r="W2080" s="85"/>
      <c r="X2080" s="85"/>
    </row>
    <row r="2081" spans="2:24" s="58" customFormat="1" ht="12" x14ac:dyDescent="0.2">
      <c r="B2081" s="91"/>
      <c r="E2081" s="92"/>
      <c r="F2081" s="93"/>
      <c r="G2081" s="94"/>
      <c r="H2081" s="94"/>
      <c r="I2081" s="94"/>
      <c r="J2081" s="94"/>
      <c r="K2081" s="93"/>
      <c r="L2081" s="86"/>
      <c r="M2081" s="161"/>
      <c r="N2081" s="86"/>
      <c r="O2081" s="86"/>
      <c r="P2081" s="86"/>
      <c r="Q2081" s="85"/>
      <c r="S2081" s="85"/>
      <c r="T2081" s="85"/>
      <c r="U2081" s="85"/>
      <c r="V2081" s="85"/>
      <c r="W2081" s="85"/>
      <c r="X2081" s="85"/>
    </row>
    <row r="2082" spans="2:24" s="58" customFormat="1" ht="12" x14ac:dyDescent="0.2">
      <c r="B2082" s="91"/>
      <c r="E2082" s="92"/>
      <c r="F2082" s="93"/>
      <c r="G2082" s="94"/>
      <c r="H2082" s="94"/>
      <c r="I2082" s="94"/>
      <c r="J2082" s="94"/>
      <c r="K2082" s="93"/>
      <c r="L2082" s="86"/>
      <c r="M2082" s="161"/>
      <c r="N2082" s="86"/>
      <c r="O2082" s="86"/>
      <c r="P2082" s="86"/>
      <c r="Q2082" s="85"/>
      <c r="S2082" s="85"/>
      <c r="T2082" s="85"/>
      <c r="U2082" s="85"/>
      <c r="V2082" s="85"/>
      <c r="W2082" s="85"/>
      <c r="X2082" s="85"/>
    </row>
    <row r="2083" spans="2:24" s="58" customFormat="1" ht="12" x14ac:dyDescent="0.2">
      <c r="B2083" s="91"/>
      <c r="E2083" s="92"/>
      <c r="F2083" s="93"/>
      <c r="G2083" s="94"/>
      <c r="H2083" s="94"/>
      <c r="I2083" s="94"/>
      <c r="J2083" s="94"/>
      <c r="K2083" s="93"/>
      <c r="L2083" s="86"/>
      <c r="M2083" s="161"/>
      <c r="N2083" s="86"/>
      <c r="O2083" s="86"/>
      <c r="P2083" s="86"/>
      <c r="Q2083" s="85"/>
      <c r="S2083" s="85"/>
      <c r="T2083" s="85"/>
      <c r="U2083" s="85"/>
      <c r="V2083" s="85"/>
      <c r="W2083" s="85"/>
      <c r="X2083" s="85"/>
    </row>
    <row r="2084" spans="2:24" s="58" customFormat="1" ht="12" x14ac:dyDescent="0.2">
      <c r="B2084" s="91"/>
      <c r="E2084" s="92"/>
      <c r="F2084" s="93"/>
      <c r="G2084" s="94"/>
      <c r="H2084" s="94"/>
      <c r="I2084" s="94"/>
      <c r="J2084" s="94"/>
      <c r="K2084" s="93"/>
      <c r="L2084" s="86"/>
      <c r="M2084" s="161"/>
      <c r="N2084" s="86"/>
      <c r="O2084" s="86"/>
      <c r="P2084" s="86"/>
      <c r="Q2084" s="85"/>
      <c r="S2084" s="85"/>
      <c r="T2084" s="85"/>
      <c r="U2084" s="85"/>
      <c r="V2084" s="85"/>
      <c r="W2084" s="85"/>
      <c r="X2084" s="85"/>
    </row>
    <row r="2085" spans="2:24" s="58" customFormat="1" ht="12" x14ac:dyDescent="0.2">
      <c r="B2085" s="91"/>
      <c r="E2085" s="92"/>
      <c r="F2085" s="93"/>
      <c r="G2085" s="94"/>
      <c r="H2085" s="94"/>
      <c r="I2085" s="94"/>
      <c r="J2085" s="94"/>
      <c r="K2085" s="93"/>
      <c r="L2085" s="86"/>
      <c r="M2085" s="161"/>
      <c r="N2085" s="86"/>
      <c r="O2085" s="86"/>
      <c r="P2085" s="86"/>
      <c r="Q2085" s="85"/>
      <c r="S2085" s="85"/>
      <c r="T2085" s="85"/>
      <c r="U2085" s="85"/>
      <c r="V2085" s="85"/>
      <c r="W2085" s="85"/>
      <c r="X2085" s="85"/>
    </row>
    <row r="2086" spans="2:24" s="58" customFormat="1" ht="12" x14ac:dyDescent="0.2">
      <c r="B2086" s="91"/>
      <c r="E2086" s="92"/>
      <c r="F2086" s="93"/>
      <c r="G2086" s="94"/>
      <c r="H2086" s="94"/>
      <c r="I2086" s="94"/>
      <c r="J2086" s="94"/>
      <c r="K2086" s="93"/>
      <c r="L2086" s="86"/>
      <c r="M2086" s="161"/>
      <c r="N2086" s="86"/>
      <c r="O2086" s="86"/>
      <c r="P2086" s="86"/>
      <c r="Q2086" s="85"/>
      <c r="S2086" s="85"/>
      <c r="T2086" s="85"/>
      <c r="U2086" s="85"/>
      <c r="V2086" s="85"/>
      <c r="W2086" s="85"/>
      <c r="X2086" s="85"/>
    </row>
    <row r="2087" spans="2:24" s="58" customFormat="1" ht="12" x14ac:dyDescent="0.2">
      <c r="B2087" s="91"/>
      <c r="E2087" s="92"/>
      <c r="F2087" s="93"/>
      <c r="G2087" s="94"/>
      <c r="H2087" s="94"/>
      <c r="I2087" s="94"/>
      <c r="J2087" s="94"/>
      <c r="K2087" s="93"/>
      <c r="L2087" s="86"/>
      <c r="M2087" s="161"/>
      <c r="N2087" s="86"/>
      <c r="O2087" s="86"/>
      <c r="P2087" s="86"/>
      <c r="Q2087" s="85"/>
      <c r="S2087" s="85"/>
      <c r="T2087" s="85"/>
      <c r="U2087" s="85"/>
      <c r="V2087" s="85"/>
      <c r="W2087" s="85"/>
      <c r="X2087" s="85"/>
    </row>
    <row r="2088" spans="2:24" s="58" customFormat="1" ht="12" x14ac:dyDescent="0.2">
      <c r="B2088" s="91"/>
      <c r="E2088" s="92"/>
      <c r="F2088" s="93"/>
      <c r="G2088" s="94"/>
      <c r="H2088" s="94"/>
      <c r="I2088" s="94"/>
      <c r="J2088" s="94"/>
      <c r="K2088" s="93"/>
      <c r="L2088" s="86"/>
      <c r="M2088" s="161"/>
      <c r="N2088" s="86"/>
      <c r="O2088" s="86"/>
      <c r="P2088" s="86"/>
      <c r="Q2088" s="85"/>
      <c r="S2088" s="85"/>
      <c r="T2088" s="85"/>
      <c r="U2088" s="85"/>
      <c r="V2088" s="85"/>
      <c r="W2088" s="85"/>
      <c r="X2088" s="85"/>
    </row>
    <row r="2089" spans="2:24" s="58" customFormat="1" ht="12" x14ac:dyDescent="0.2">
      <c r="B2089" s="91"/>
      <c r="E2089" s="92"/>
      <c r="F2089" s="93"/>
      <c r="G2089" s="94"/>
      <c r="H2089" s="94"/>
      <c r="I2089" s="94"/>
      <c r="J2089" s="94"/>
      <c r="K2089" s="93"/>
      <c r="L2089" s="86"/>
      <c r="M2089" s="161"/>
      <c r="N2089" s="86"/>
      <c r="O2089" s="86"/>
      <c r="P2089" s="86"/>
      <c r="Q2089" s="85"/>
      <c r="S2089" s="85"/>
      <c r="T2089" s="85"/>
      <c r="U2089" s="85"/>
      <c r="V2089" s="85"/>
      <c r="W2089" s="85"/>
      <c r="X2089" s="85"/>
    </row>
    <row r="2090" spans="2:24" s="58" customFormat="1" ht="12" x14ac:dyDescent="0.2">
      <c r="B2090" s="91"/>
      <c r="E2090" s="92"/>
      <c r="F2090" s="93"/>
      <c r="G2090" s="94"/>
      <c r="H2090" s="94"/>
      <c r="I2090" s="94"/>
      <c r="J2090" s="94"/>
      <c r="K2090" s="93"/>
      <c r="L2090" s="86"/>
      <c r="M2090" s="161"/>
      <c r="N2090" s="86"/>
      <c r="O2090" s="86"/>
      <c r="P2090" s="86"/>
      <c r="Q2090" s="85"/>
      <c r="S2090" s="85"/>
      <c r="T2090" s="85"/>
      <c r="U2090" s="85"/>
      <c r="V2090" s="85"/>
      <c r="W2090" s="85"/>
      <c r="X2090" s="85"/>
    </row>
    <row r="2091" spans="2:24" s="58" customFormat="1" ht="12" x14ac:dyDescent="0.2">
      <c r="B2091" s="91"/>
      <c r="E2091" s="92"/>
      <c r="F2091" s="93"/>
      <c r="G2091" s="94"/>
      <c r="H2091" s="94"/>
      <c r="I2091" s="94"/>
      <c r="J2091" s="94"/>
      <c r="K2091" s="93"/>
      <c r="L2091" s="86"/>
      <c r="M2091" s="161"/>
      <c r="N2091" s="86"/>
      <c r="O2091" s="86"/>
      <c r="P2091" s="86"/>
      <c r="Q2091" s="85"/>
      <c r="S2091" s="85"/>
      <c r="T2091" s="85"/>
      <c r="U2091" s="85"/>
      <c r="V2091" s="85"/>
      <c r="W2091" s="85"/>
      <c r="X2091" s="85"/>
    </row>
    <row r="2092" spans="2:24" s="58" customFormat="1" ht="12" x14ac:dyDescent="0.2">
      <c r="B2092" s="91"/>
      <c r="E2092" s="92"/>
      <c r="F2092" s="93"/>
      <c r="G2092" s="94"/>
      <c r="H2092" s="94"/>
      <c r="I2092" s="94"/>
      <c r="J2092" s="94"/>
      <c r="K2092" s="93"/>
      <c r="L2092" s="86"/>
      <c r="M2092" s="161"/>
      <c r="N2092" s="86"/>
      <c r="O2092" s="86"/>
      <c r="P2092" s="86"/>
      <c r="Q2092" s="85"/>
      <c r="S2092" s="85"/>
      <c r="T2092" s="85"/>
      <c r="U2092" s="85"/>
      <c r="V2092" s="85"/>
      <c r="W2092" s="85"/>
      <c r="X2092" s="85"/>
    </row>
    <row r="2093" spans="2:24" s="58" customFormat="1" ht="12" x14ac:dyDescent="0.2">
      <c r="B2093" s="91"/>
      <c r="E2093" s="92"/>
      <c r="F2093" s="93"/>
      <c r="G2093" s="94"/>
      <c r="H2093" s="94"/>
      <c r="I2093" s="94"/>
      <c r="J2093" s="94"/>
      <c r="K2093" s="93"/>
      <c r="L2093" s="86"/>
      <c r="M2093" s="161"/>
      <c r="N2093" s="86"/>
      <c r="O2093" s="86"/>
      <c r="P2093" s="86"/>
      <c r="Q2093" s="85"/>
      <c r="S2093" s="85"/>
      <c r="T2093" s="85"/>
      <c r="U2093" s="85"/>
      <c r="V2093" s="85"/>
      <c r="W2093" s="85"/>
      <c r="X2093" s="85"/>
    </row>
    <row r="2094" spans="2:24" s="58" customFormat="1" ht="12" x14ac:dyDescent="0.2">
      <c r="B2094" s="91"/>
      <c r="E2094" s="92"/>
      <c r="F2094" s="93"/>
      <c r="G2094" s="94"/>
      <c r="H2094" s="94"/>
      <c r="I2094" s="94"/>
      <c r="J2094" s="94"/>
      <c r="K2094" s="93"/>
      <c r="L2094" s="86"/>
      <c r="M2094" s="161"/>
      <c r="N2094" s="86"/>
      <c r="O2094" s="86"/>
      <c r="P2094" s="86"/>
      <c r="Q2094" s="85"/>
      <c r="S2094" s="85"/>
      <c r="T2094" s="85"/>
      <c r="U2094" s="85"/>
      <c r="V2094" s="85"/>
      <c r="W2094" s="85"/>
      <c r="X2094" s="85"/>
    </row>
    <row r="2095" spans="2:24" s="58" customFormat="1" ht="12" x14ac:dyDescent="0.2">
      <c r="B2095" s="91"/>
      <c r="E2095" s="92"/>
      <c r="F2095" s="93"/>
      <c r="G2095" s="94"/>
      <c r="H2095" s="94"/>
      <c r="I2095" s="94"/>
      <c r="J2095" s="94"/>
      <c r="K2095" s="93"/>
      <c r="L2095" s="86"/>
      <c r="M2095" s="161"/>
      <c r="N2095" s="86"/>
      <c r="O2095" s="86"/>
      <c r="P2095" s="86"/>
      <c r="Q2095" s="85"/>
      <c r="S2095" s="85"/>
      <c r="T2095" s="85"/>
      <c r="U2095" s="85"/>
      <c r="V2095" s="85"/>
      <c r="W2095" s="85"/>
      <c r="X2095" s="85"/>
    </row>
    <row r="2096" spans="2:24" s="58" customFormat="1" ht="12" x14ac:dyDescent="0.2">
      <c r="B2096" s="91"/>
      <c r="E2096" s="92"/>
      <c r="F2096" s="93"/>
      <c r="G2096" s="94"/>
      <c r="H2096" s="94"/>
      <c r="I2096" s="94"/>
      <c r="J2096" s="94"/>
      <c r="K2096" s="93"/>
      <c r="L2096" s="86"/>
      <c r="M2096" s="161"/>
      <c r="N2096" s="86"/>
      <c r="O2096" s="86"/>
      <c r="P2096" s="86"/>
      <c r="Q2096" s="85"/>
      <c r="S2096" s="85"/>
      <c r="T2096" s="85"/>
      <c r="U2096" s="85"/>
      <c r="V2096" s="85"/>
      <c r="W2096" s="85"/>
      <c r="X2096" s="85"/>
    </row>
    <row r="2097" spans="2:24" s="58" customFormat="1" ht="12" x14ac:dyDescent="0.2">
      <c r="B2097" s="91"/>
      <c r="E2097" s="92"/>
      <c r="F2097" s="93"/>
      <c r="G2097" s="94"/>
      <c r="H2097" s="94"/>
      <c r="I2097" s="94"/>
      <c r="J2097" s="94"/>
      <c r="K2097" s="93"/>
      <c r="L2097" s="86"/>
      <c r="M2097" s="161"/>
      <c r="N2097" s="86"/>
      <c r="O2097" s="86"/>
      <c r="P2097" s="86"/>
      <c r="Q2097" s="85"/>
      <c r="S2097" s="85"/>
      <c r="T2097" s="85"/>
      <c r="U2097" s="85"/>
      <c r="V2097" s="85"/>
      <c r="W2097" s="85"/>
      <c r="X2097" s="85"/>
    </row>
    <row r="2098" spans="2:24" s="58" customFormat="1" ht="12" x14ac:dyDescent="0.2">
      <c r="B2098" s="91"/>
      <c r="E2098" s="92"/>
      <c r="F2098" s="93"/>
      <c r="G2098" s="94"/>
      <c r="H2098" s="94"/>
      <c r="I2098" s="94"/>
      <c r="J2098" s="94"/>
      <c r="K2098" s="93"/>
      <c r="L2098" s="86"/>
      <c r="M2098" s="161"/>
      <c r="N2098" s="86"/>
      <c r="O2098" s="86"/>
      <c r="P2098" s="86"/>
      <c r="Q2098" s="85"/>
      <c r="S2098" s="85"/>
      <c r="T2098" s="85"/>
      <c r="U2098" s="85"/>
      <c r="V2098" s="85"/>
      <c r="W2098" s="85"/>
      <c r="X2098" s="85"/>
    </row>
    <row r="2099" spans="2:24" s="58" customFormat="1" ht="12" x14ac:dyDescent="0.2">
      <c r="B2099" s="91"/>
      <c r="E2099" s="92"/>
      <c r="F2099" s="93"/>
      <c r="G2099" s="94"/>
      <c r="H2099" s="94"/>
      <c r="I2099" s="94"/>
      <c r="J2099" s="94"/>
      <c r="K2099" s="93"/>
      <c r="L2099" s="86"/>
      <c r="M2099" s="161"/>
      <c r="N2099" s="86"/>
      <c r="O2099" s="86"/>
      <c r="P2099" s="86"/>
      <c r="Q2099" s="85"/>
      <c r="S2099" s="85"/>
      <c r="T2099" s="85"/>
      <c r="U2099" s="85"/>
      <c r="V2099" s="85"/>
      <c r="W2099" s="85"/>
      <c r="X2099" s="85"/>
    </row>
    <row r="2100" spans="2:24" s="58" customFormat="1" ht="12" x14ac:dyDescent="0.2">
      <c r="B2100" s="91"/>
      <c r="E2100" s="92"/>
      <c r="F2100" s="93"/>
      <c r="G2100" s="94"/>
      <c r="H2100" s="94"/>
      <c r="I2100" s="94"/>
      <c r="J2100" s="94"/>
      <c r="K2100" s="93"/>
      <c r="L2100" s="86"/>
      <c r="M2100" s="161"/>
      <c r="N2100" s="86"/>
      <c r="O2100" s="86"/>
      <c r="P2100" s="86"/>
      <c r="Q2100" s="85"/>
      <c r="S2100" s="85"/>
      <c r="T2100" s="85"/>
      <c r="U2100" s="85"/>
      <c r="V2100" s="85"/>
      <c r="W2100" s="85"/>
      <c r="X2100" s="85"/>
    </row>
    <row r="2101" spans="2:24" s="58" customFormat="1" ht="12" x14ac:dyDescent="0.2">
      <c r="B2101" s="91"/>
      <c r="E2101" s="92"/>
      <c r="F2101" s="93"/>
      <c r="G2101" s="94"/>
      <c r="H2101" s="94"/>
      <c r="I2101" s="94"/>
      <c r="J2101" s="94"/>
      <c r="K2101" s="93"/>
      <c r="L2101" s="86"/>
      <c r="M2101" s="161"/>
      <c r="N2101" s="86"/>
      <c r="O2101" s="86"/>
      <c r="P2101" s="86"/>
      <c r="Q2101" s="85"/>
      <c r="S2101" s="85"/>
      <c r="T2101" s="85"/>
      <c r="U2101" s="85"/>
      <c r="V2101" s="85"/>
      <c r="W2101" s="85"/>
      <c r="X2101" s="85"/>
    </row>
    <row r="2102" spans="2:24" s="58" customFormat="1" ht="12" x14ac:dyDescent="0.2">
      <c r="B2102" s="91"/>
      <c r="E2102" s="92"/>
      <c r="F2102" s="93"/>
      <c r="G2102" s="94"/>
      <c r="H2102" s="94"/>
      <c r="I2102" s="94"/>
      <c r="J2102" s="94"/>
      <c r="K2102" s="93"/>
      <c r="L2102" s="86"/>
      <c r="M2102" s="161"/>
      <c r="N2102" s="86"/>
      <c r="O2102" s="86"/>
      <c r="P2102" s="86"/>
      <c r="Q2102" s="85"/>
      <c r="S2102" s="85"/>
      <c r="T2102" s="85"/>
      <c r="U2102" s="85"/>
      <c r="V2102" s="85"/>
      <c r="W2102" s="85"/>
      <c r="X2102" s="85"/>
    </row>
    <row r="2103" spans="2:24" s="58" customFormat="1" ht="12" x14ac:dyDescent="0.2">
      <c r="B2103" s="91"/>
      <c r="E2103" s="92"/>
      <c r="F2103" s="93"/>
      <c r="G2103" s="94"/>
      <c r="H2103" s="94"/>
      <c r="I2103" s="94"/>
      <c r="J2103" s="94"/>
      <c r="K2103" s="93"/>
      <c r="L2103" s="86"/>
      <c r="M2103" s="161"/>
      <c r="N2103" s="86"/>
      <c r="O2103" s="86"/>
      <c r="P2103" s="86"/>
      <c r="Q2103" s="85"/>
      <c r="S2103" s="85"/>
      <c r="T2103" s="85"/>
      <c r="U2103" s="85"/>
      <c r="V2103" s="85"/>
      <c r="W2103" s="85"/>
      <c r="X2103" s="85"/>
    </row>
    <row r="2104" spans="2:24" s="58" customFormat="1" ht="12" x14ac:dyDescent="0.2">
      <c r="B2104" s="91"/>
      <c r="E2104" s="92"/>
      <c r="F2104" s="93"/>
      <c r="G2104" s="94"/>
      <c r="H2104" s="94"/>
      <c r="I2104" s="94"/>
      <c r="J2104" s="94"/>
      <c r="K2104" s="93"/>
      <c r="L2104" s="86"/>
      <c r="M2104" s="161"/>
      <c r="N2104" s="86"/>
      <c r="O2104" s="86"/>
      <c r="P2104" s="86"/>
      <c r="Q2104" s="85"/>
      <c r="S2104" s="85"/>
      <c r="T2104" s="85"/>
      <c r="U2104" s="85"/>
      <c r="V2104" s="85"/>
      <c r="W2104" s="85"/>
      <c r="X2104" s="85"/>
    </row>
    <row r="2105" spans="2:24" s="58" customFormat="1" ht="12" x14ac:dyDescent="0.2">
      <c r="B2105" s="91"/>
      <c r="E2105" s="92"/>
      <c r="F2105" s="93"/>
      <c r="G2105" s="94"/>
      <c r="H2105" s="94"/>
      <c r="I2105" s="94"/>
      <c r="J2105" s="94"/>
      <c r="K2105" s="93"/>
      <c r="L2105" s="86"/>
      <c r="M2105" s="161"/>
      <c r="N2105" s="86"/>
      <c r="O2105" s="86"/>
      <c r="P2105" s="86"/>
      <c r="Q2105" s="85"/>
      <c r="S2105" s="85"/>
      <c r="T2105" s="85"/>
      <c r="U2105" s="85"/>
      <c r="V2105" s="85"/>
      <c r="W2105" s="85"/>
      <c r="X2105" s="85"/>
    </row>
    <row r="2106" spans="2:24" s="58" customFormat="1" ht="12" x14ac:dyDescent="0.2">
      <c r="B2106" s="91"/>
      <c r="E2106" s="92"/>
      <c r="F2106" s="93"/>
      <c r="G2106" s="94"/>
      <c r="H2106" s="94"/>
      <c r="I2106" s="94"/>
      <c r="J2106" s="94"/>
      <c r="K2106" s="93"/>
      <c r="L2106" s="86"/>
      <c r="M2106" s="161"/>
      <c r="N2106" s="86"/>
      <c r="O2106" s="86"/>
      <c r="P2106" s="86"/>
      <c r="Q2106" s="85"/>
      <c r="S2106" s="85"/>
      <c r="T2106" s="85"/>
      <c r="U2106" s="85"/>
      <c r="V2106" s="85"/>
      <c r="W2106" s="85"/>
      <c r="X2106" s="85"/>
    </row>
    <row r="2107" spans="2:24" s="58" customFormat="1" ht="12" x14ac:dyDescent="0.2">
      <c r="B2107" s="91"/>
      <c r="E2107" s="92"/>
      <c r="F2107" s="93"/>
      <c r="G2107" s="94"/>
      <c r="H2107" s="94"/>
      <c r="I2107" s="94"/>
      <c r="J2107" s="94"/>
      <c r="K2107" s="93"/>
      <c r="L2107" s="86"/>
      <c r="M2107" s="161"/>
      <c r="N2107" s="86"/>
      <c r="O2107" s="86"/>
      <c r="P2107" s="86"/>
      <c r="Q2107" s="85"/>
      <c r="S2107" s="85"/>
      <c r="T2107" s="85"/>
      <c r="U2107" s="85"/>
      <c r="V2107" s="85"/>
      <c r="W2107" s="85"/>
      <c r="X2107" s="85"/>
    </row>
    <row r="2108" spans="2:24" s="58" customFormat="1" ht="12" x14ac:dyDescent="0.2">
      <c r="B2108" s="91"/>
      <c r="E2108" s="92"/>
      <c r="F2108" s="93"/>
      <c r="G2108" s="94"/>
      <c r="H2108" s="94"/>
      <c r="I2108" s="94"/>
      <c r="J2108" s="94"/>
      <c r="K2108" s="93"/>
      <c r="L2108" s="86"/>
      <c r="M2108" s="161"/>
      <c r="N2108" s="86"/>
      <c r="O2108" s="86"/>
      <c r="P2108" s="86"/>
      <c r="Q2108" s="85"/>
      <c r="S2108" s="85"/>
      <c r="T2108" s="85"/>
      <c r="U2108" s="85"/>
      <c r="V2108" s="85"/>
      <c r="W2108" s="85"/>
      <c r="X2108" s="85"/>
    </row>
    <row r="2109" spans="2:24" s="58" customFormat="1" ht="12" x14ac:dyDescent="0.2">
      <c r="B2109" s="91"/>
      <c r="E2109" s="92"/>
      <c r="F2109" s="93"/>
      <c r="G2109" s="94"/>
      <c r="H2109" s="94"/>
      <c r="I2109" s="94"/>
      <c r="J2109" s="94"/>
      <c r="K2109" s="93"/>
      <c r="L2109" s="86"/>
      <c r="M2109" s="161"/>
      <c r="N2109" s="86"/>
      <c r="O2109" s="86"/>
      <c r="P2109" s="86"/>
      <c r="Q2109" s="85"/>
      <c r="S2109" s="85"/>
      <c r="T2109" s="85"/>
      <c r="U2109" s="85"/>
      <c r="V2109" s="85"/>
      <c r="W2109" s="85"/>
      <c r="X2109" s="85"/>
    </row>
    <row r="2110" spans="2:24" s="58" customFormat="1" ht="12" x14ac:dyDescent="0.2">
      <c r="B2110" s="91"/>
      <c r="E2110" s="92"/>
      <c r="F2110" s="93"/>
      <c r="G2110" s="94"/>
      <c r="H2110" s="94"/>
      <c r="I2110" s="94"/>
      <c r="J2110" s="94"/>
      <c r="K2110" s="93"/>
      <c r="L2110" s="86"/>
      <c r="M2110" s="161"/>
      <c r="N2110" s="86"/>
      <c r="O2110" s="86"/>
      <c r="P2110" s="86"/>
      <c r="Q2110" s="85"/>
      <c r="S2110" s="85"/>
      <c r="T2110" s="85"/>
      <c r="U2110" s="85"/>
      <c r="V2110" s="85"/>
      <c r="W2110" s="85"/>
      <c r="X2110" s="85"/>
    </row>
    <row r="2111" spans="2:24" s="58" customFormat="1" ht="12" x14ac:dyDescent="0.2">
      <c r="B2111" s="91"/>
      <c r="E2111" s="92"/>
      <c r="F2111" s="93"/>
      <c r="G2111" s="94"/>
      <c r="H2111" s="94"/>
      <c r="I2111" s="94"/>
      <c r="J2111" s="94"/>
      <c r="K2111" s="93"/>
      <c r="L2111" s="86"/>
      <c r="M2111" s="161"/>
      <c r="N2111" s="86"/>
      <c r="O2111" s="86"/>
      <c r="P2111" s="86"/>
      <c r="Q2111" s="85"/>
      <c r="S2111" s="85"/>
      <c r="T2111" s="85"/>
      <c r="U2111" s="85"/>
      <c r="V2111" s="85"/>
      <c r="W2111" s="85"/>
      <c r="X2111" s="85"/>
    </row>
    <row r="2112" spans="2:24" s="58" customFormat="1" ht="12" x14ac:dyDescent="0.2">
      <c r="B2112" s="91"/>
      <c r="E2112" s="92"/>
      <c r="F2112" s="93"/>
      <c r="G2112" s="94"/>
      <c r="H2112" s="94"/>
      <c r="I2112" s="94"/>
      <c r="J2112" s="94"/>
      <c r="K2112" s="93"/>
      <c r="L2112" s="86"/>
      <c r="M2112" s="161"/>
      <c r="N2112" s="86"/>
      <c r="O2112" s="86"/>
      <c r="P2112" s="86"/>
      <c r="Q2112" s="85"/>
      <c r="S2112" s="85"/>
      <c r="T2112" s="85"/>
      <c r="U2112" s="85"/>
      <c r="V2112" s="85"/>
      <c r="W2112" s="85"/>
      <c r="X2112" s="85"/>
    </row>
    <row r="2113" spans="2:24" s="58" customFormat="1" ht="12" x14ac:dyDescent="0.2">
      <c r="B2113" s="91"/>
      <c r="E2113" s="92"/>
      <c r="F2113" s="93"/>
      <c r="G2113" s="94"/>
      <c r="H2113" s="94"/>
      <c r="I2113" s="94"/>
      <c r="J2113" s="94"/>
      <c r="K2113" s="93"/>
      <c r="L2113" s="86"/>
      <c r="M2113" s="161"/>
      <c r="N2113" s="86"/>
      <c r="O2113" s="86"/>
      <c r="P2113" s="86"/>
      <c r="Q2113" s="85"/>
      <c r="S2113" s="85"/>
      <c r="T2113" s="85"/>
      <c r="U2113" s="85"/>
      <c r="V2113" s="85"/>
      <c r="W2113" s="85"/>
      <c r="X2113" s="85"/>
    </row>
    <row r="2114" spans="2:24" s="58" customFormat="1" ht="12" x14ac:dyDescent="0.2">
      <c r="B2114" s="91"/>
      <c r="E2114" s="92"/>
      <c r="F2114" s="93"/>
      <c r="G2114" s="94"/>
      <c r="H2114" s="94"/>
      <c r="I2114" s="94"/>
      <c r="J2114" s="94"/>
      <c r="K2114" s="93"/>
      <c r="L2114" s="86"/>
      <c r="M2114" s="161"/>
      <c r="N2114" s="86"/>
      <c r="O2114" s="86"/>
      <c r="P2114" s="86"/>
      <c r="Q2114" s="85"/>
      <c r="S2114" s="85"/>
      <c r="T2114" s="85"/>
      <c r="U2114" s="85"/>
      <c r="V2114" s="85"/>
      <c r="W2114" s="85"/>
      <c r="X2114" s="85"/>
    </row>
    <row r="2115" spans="2:24" s="58" customFormat="1" ht="12" x14ac:dyDescent="0.2">
      <c r="B2115" s="91"/>
      <c r="E2115" s="92"/>
      <c r="F2115" s="93"/>
      <c r="G2115" s="94"/>
      <c r="H2115" s="94"/>
      <c r="I2115" s="94"/>
      <c r="J2115" s="94"/>
      <c r="K2115" s="93"/>
      <c r="L2115" s="86"/>
      <c r="M2115" s="161"/>
      <c r="N2115" s="86"/>
      <c r="O2115" s="86"/>
      <c r="P2115" s="86"/>
      <c r="Q2115" s="85"/>
      <c r="S2115" s="85"/>
      <c r="T2115" s="85"/>
      <c r="U2115" s="85"/>
      <c r="V2115" s="85"/>
      <c r="W2115" s="85"/>
      <c r="X2115" s="85"/>
    </row>
    <row r="2116" spans="2:24" s="58" customFormat="1" ht="12" x14ac:dyDescent="0.2">
      <c r="B2116" s="91"/>
      <c r="E2116" s="92"/>
      <c r="F2116" s="93"/>
      <c r="G2116" s="94"/>
      <c r="H2116" s="94"/>
      <c r="I2116" s="94"/>
      <c r="J2116" s="94"/>
      <c r="K2116" s="93"/>
      <c r="L2116" s="86"/>
      <c r="M2116" s="161"/>
      <c r="N2116" s="86"/>
      <c r="O2116" s="86"/>
      <c r="P2116" s="86"/>
      <c r="Q2116" s="85"/>
      <c r="S2116" s="85"/>
      <c r="T2116" s="85"/>
      <c r="U2116" s="85"/>
      <c r="V2116" s="85"/>
      <c r="W2116" s="85"/>
      <c r="X2116" s="85"/>
    </row>
    <row r="2117" spans="2:24" s="58" customFormat="1" ht="12" x14ac:dyDescent="0.2">
      <c r="B2117" s="91"/>
      <c r="E2117" s="92"/>
      <c r="F2117" s="93"/>
      <c r="G2117" s="94"/>
      <c r="H2117" s="94"/>
      <c r="I2117" s="94"/>
      <c r="J2117" s="94"/>
      <c r="K2117" s="93"/>
      <c r="L2117" s="86"/>
      <c r="M2117" s="161"/>
      <c r="N2117" s="86"/>
      <c r="O2117" s="86"/>
      <c r="P2117" s="86"/>
      <c r="Q2117" s="85"/>
      <c r="S2117" s="85"/>
      <c r="T2117" s="85"/>
      <c r="U2117" s="85"/>
      <c r="V2117" s="85"/>
      <c r="W2117" s="85"/>
      <c r="X2117" s="85"/>
    </row>
    <row r="2118" spans="2:24" s="58" customFormat="1" ht="12" x14ac:dyDescent="0.2">
      <c r="B2118" s="91"/>
      <c r="E2118" s="92"/>
      <c r="F2118" s="93"/>
      <c r="G2118" s="94"/>
      <c r="H2118" s="94"/>
      <c r="I2118" s="94"/>
      <c r="J2118" s="94"/>
      <c r="K2118" s="93"/>
      <c r="L2118" s="86"/>
      <c r="M2118" s="161"/>
      <c r="N2118" s="86"/>
      <c r="O2118" s="86"/>
      <c r="P2118" s="86"/>
      <c r="Q2118" s="85"/>
      <c r="S2118" s="85"/>
      <c r="T2118" s="85"/>
      <c r="U2118" s="85"/>
      <c r="V2118" s="85"/>
      <c r="W2118" s="85"/>
      <c r="X2118" s="85"/>
    </row>
    <row r="2119" spans="2:24" s="58" customFormat="1" ht="12" x14ac:dyDescent="0.2">
      <c r="B2119" s="91"/>
      <c r="E2119" s="92"/>
      <c r="F2119" s="93"/>
      <c r="G2119" s="94"/>
      <c r="H2119" s="94"/>
      <c r="I2119" s="94"/>
      <c r="J2119" s="94"/>
      <c r="K2119" s="93"/>
      <c r="L2119" s="86"/>
      <c r="M2119" s="161"/>
      <c r="N2119" s="86"/>
      <c r="O2119" s="86"/>
      <c r="P2119" s="86"/>
      <c r="Q2119" s="85"/>
      <c r="S2119" s="85"/>
      <c r="T2119" s="85"/>
      <c r="U2119" s="85"/>
      <c r="V2119" s="85"/>
      <c r="W2119" s="85"/>
      <c r="X2119" s="85"/>
    </row>
    <row r="2120" spans="2:24" s="58" customFormat="1" ht="12" x14ac:dyDescent="0.2">
      <c r="B2120" s="91"/>
      <c r="E2120" s="92"/>
      <c r="F2120" s="93"/>
      <c r="G2120" s="94"/>
      <c r="H2120" s="94"/>
      <c r="I2120" s="94"/>
      <c r="J2120" s="94"/>
      <c r="K2120" s="93"/>
      <c r="L2120" s="86"/>
      <c r="M2120" s="161"/>
      <c r="N2120" s="86"/>
      <c r="O2120" s="86"/>
      <c r="P2120" s="86"/>
      <c r="Q2120" s="85"/>
      <c r="S2120" s="85"/>
      <c r="T2120" s="85"/>
      <c r="U2120" s="85"/>
      <c r="V2120" s="85"/>
      <c r="W2120" s="85"/>
      <c r="X2120" s="85"/>
    </row>
    <row r="2121" spans="2:24" s="58" customFormat="1" ht="12" x14ac:dyDescent="0.2">
      <c r="B2121" s="91"/>
      <c r="E2121" s="92"/>
      <c r="F2121" s="93"/>
      <c r="G2121" s="94"/>
      <c r="H2121" s="94"/>
      <c r="I2121" s="94"/>
      <c r="J2121" s="94"/>
      <c r="K2121" s="93"/>
      <c r="L2121" s="86"/>
      <c r="M2121" s="161"/>
      <c r="N2121" s="86"/>
      <c r="O2121" s="86"/>
      <c r="P2121" s="86"/>
      <c r="Q2121" s="85"/>
      <c r="S2121" s="85"/>
      <c r="T2121" s="85"/>
      <c r="U2121" s="85"/>
      <c r="V2121" s="85"/>
      <c r="W2121" s="85"/>
      <c r="X2121" s="85"/>
    </row>
    <row r="2122" spans="2:24" s="58" customFormat="1" ht="12" x14ac:dyDescent="0.2">
      <c r="B2122" s="91"/>
      <c r="E2122" s="92"/>
      <c r="F2122" s="93"/>
      <c r="G2122" s="94"/>
      <c r="H2122" s="94"/>
      <c r="I2122" s="94"/>
      <c r="J2122" s="94"/>
      <c r="K2122" s="93"/>
      <c r="L2122" s="86"/>
      <c r="M2122" s="161"/>
      <c r="N2122" s="86"/>
      <c r="O2122" s="86"/>
      <c r="P2122" s="86"/>
      <c r="Q2122" s="85"/>
      <c r="S2122" s="85"/>
      <c r="T2122" s="85"/>
      <c r="U2122" s="85"/>
      <c r="V2122" s="85"/>
      <c r="W2122" s="85"/>
      <c r="X2122" s="85"/>
    </row>
    <row r="2123" spans="2:24" s="58" customFormat="1" ht="12" x14ac:dyDescent="0.2">
      <c r="B2123" s="91"/>
      <c r="E2123" s="92"/>
      <c r="F2123" s="93"/>
      <c r="G2123" s="94"/>
      <c r="H2123" s="94"/>
      <c r="I2123" s="94"/>
      <c r="J2123" s="94"/>
      <c r="K2123" s="93"/>
      <c r="L2123" s="86"/>
      <c r="M2123" s="161"/>
      <c r="N2123" s="86"/>
      <c r="O2123" s="86"/>
      <c r="P2123" s="86"/>
      <c r="Q2123" s="85"/>
      <c r="S2123" s="85"/>
      <c r="T2123" s="85"/>
      <c r="U2123" s="85"/>
      <c r="V2123" s="85"/>
      <c r="W2123" s="85"/>
      <c r="X2123" s="85"/>
    </row>
    <row r="2124" spans="2:24" s="58" customFormat="1" ht="12" x14ac:dyDescent="0.2">
      <c r="B2124" s="91"/>
      <c r="E2124" s="92"/>
      <c r="F2124" s="93"/>
      <c r="G2124" s="94"/>
      <c r="H2124" s="94"/>
      <c r="I2124" s="94"/>
      <c r="J2124" s="94"/>
      <c r="K2124" s="93"/>
      <c r="L2124" s="86"/>
      <c r="M2124" s="161"/>
      <c r="N2124" s="86"/>
      <c r="O2124" s="86"/>
      <c r="P2124" s="86"/>
      <c r="Q2124" s="85"/>
      <c r="S2124" s="85"/>
      <c r="T2124" s="85"/>
      <c r="U2124" s="85"/>
      <c r="V2124" s="85"/>
      <c r="W2124" s="85"/>
      <c r="X2124" s="85"/>
    </row>
    <row r="2125" spans="2:24" s="58" customFormat="1" ht="12" x14ac:dyDescent="0.2">
      <c r="B2125" s="91"/>
      <c r="E2125" s="92"/>
      <c r="F2125" s="93"/>
      <c r="G2125" s="94"/>
      <c r="H2125" s="94"/>
      <c r="I2125" s="94"/>
      <c r="J2125" s="94"/>
      <c r="K2125" s="93"/>
      <c r="L2125" s="86"/>
      <c r="M2125" s="161"/>
      <c r="N2125" s="86"/>
      <c r="O2125" s="86"/>
      <c r="P2125" s="86"/>
      <c r="Q2125" s="85"/>
      <c r="S2125" s="85"/>
      <c r="T2125" s="85"/>
      <c r="U2125" s="85"/>
      <c r="V2125" s="85"/>
      <c r="W2125" s="85"/>
      <c r="X2125" s="85"/>
    </row>
    <row r="2126" spans="2:24" s="58" customFormat="1" ht="12" x14ac:dyDescent="0.2">
      <c r="B2126" s="91"/>
      <c r="E2126" s="92"/>
      <c r="F2126" s="93"/>
      <c r="G2126" s="94"/>
      <c r="H2126" s="94"/>
      <c r="I2126" s="94"/>
      <c r="J2126" s="94"/>
      <c r="K2126" s="93"/>
      <c r="L2126" s="86"/>
      <c r="M2126" s="161"/>
      <c r="N2126" s="86"/>
      <c r="O2126" s="86"/>
      <c r="P2126" s="86"/>
      <c r="Q2126" s="85"/>
      <c r="S2126" s="85"/>
      <c r="T2126" s="85"/>
      <c r="U2126" s="85"/>
      <c r="V2126" s="85"/>
      <c r="W2126" s="85"/>
      <c r="X2126" s="85"/>
    </row>
    <row r="2127" spans="2:24" s="58" customFormat="1" ht="12" x14ac:dyDescent="0.2">
      <c r="B2127" s="91"/>
      <c r="E2127" s="92"/>
      <c r="F2127" s="93"/>
      <c r="G2127" s="94"/>
      <c r="H2127" s="94"/>
      <c r="I2127" s="94"/>
      <c r="J2127" s="94"/>
      <c r="K2127" s="93"/>
      <c r="L2127" s="86"/>
      <c r="M2127" s="161"/>
      <c r="N2127" s="86"/>
      <c r="O2127" s="86"/>
      <c r="P2127" s="86"/>
      <c r="Q2127" s="85"/>
      <c r="S2127" s="85"/>
      <c r="T2127" s="85"/>
      <c r="U2127" s="85"/>
      <c r="V2127" s="85"/>
      <c r="W2127" s="85"/>
      <c r="X2127" s="85"/>
    </row>
    <row r="2128" spans="2:24" s="58" customFormat="1" ht="12" x14ac:dyDescent="0.2">
      <c r="B2128" s="91"/>
      <c r="E2128" s="92"/>
      <c r="F2128" s="93"/>
      <c r="G2128" s="94"/>
      <c r="H2128" s="94"/>
      <c r="I2128" s="94"/>
      <c r="J2128" s="94"/>
      <c r="K2128" s="93"/>
      <c r="L2128" s="86"/>
      <c r="M2128" s="161"/>
      <c r="N2128" s="86"/>
      <c r="O2128" s="86"/>
      <c r="P2128" s="86"/>
      <c r="Q2128" s="85"/>
      <c r="S2128" s="85"/>
      <c r="T2128" s="85"/>
      <c r="U2128" s="85"/>
      <c r="V2128" s="85"/>
      <c r="W2128" s="85"/>
      <c r="X2128" s="85"/>
    </row>
    <row r="2129" spans="2:24" s="58" customFormat="1" ht="12" x14ac:dyDescent="0.2">
      <c r="B2129" s="91"/>
      <c r="E2129" s="92"/>
      <c r="F2129" s="93"/>
      <c r="G2129" s="94"/>
      <c r="H2129" s="94"/>
      <c r="I2129" s="94"/>
      <c r="J2129" s="94"/>
      <c r="K2129" s="93"/>
      <c r="L2129" s="86"/>
      <c r="M2129" s="161"/>
      <c r="N2129" s="86"/>
      <c r="O2129" s="86"/>
      <c r="P2129" s="86"/>
      <c r="Q2129" s="85"/>
      <c r="S2129" s="85"/>
      <c r="T2129" s="85"/>
      <c r="U2129" s="85"/>
      <c r="V2129" s="85"/>
      <c r="W2129" s="85"/>
      <c r="X2129" s="85"/>
    </row>
    <row r="2130" spans="2:24" s="58" customFormat="1" ht="12" x14ac:dyDescent="0.2">
      <c r="B2130" s="91"/>
      <c r="E2130" s="92"/>
      <c r="F2130" s="93"/>
      <c r="G2130" s="94"/>
      <c r="H2130" s="94"/>
      <c r="I2130" s="94"/>
      <c r="J2130" s="94"/>
      <c r="K2130" s="93"/>
      <c r="L2130" s="86"/>
      <c r="M2130" s="161"/>
      <c r="N2130" s="86"/>
      <c r="O2130" s="86"/>
      <c r="P2130" s="86"/>
      <c r="Q2130" s="85"/>
      <c r="S2130" s="85"/>
      <c r="T2130" s="85"/>
      <c r="U2130" s="85"/>
      <c r="V2130" s="85"/>
      <c r="W2130" s="85"/>
      <c r="X2130" s="85"/>
    </row>
    <row r="2131" spans="2:24" s="58" customFormat="1" ht="12" x14ac:dyDescent="0.2">
      <c r="B2131" s="91"/>
      <c r="E2131" s="92"/>
      <c r="F2131" s="93"/>
      <c r="G2131" s="94"/>
      <c r="H2131" s="94"/>
      <c r="I2131" s="94"/>
      <c r="J2131" s="94"/>
      <c r="K2131" s="93"/>
      <c r="L2131" s="86"/>
      <c r="M2131" s="161"/>
      <c r="N2131" s="86"/>
      <c r="O2131" s="86"/>
      <c r="P2131" s="86"/>
      <c r="Q2131" s="85"/>
      <c r="S2131" s="85"/>
      <c r="T2131" s="85"/>
      <c r="U2131" s="85"/>
      <c r="V2131" s="85"/>
      <c r="W2131" s="85"/>
      <c r="X2131" s="85"/>
    </row>
    <row r="2132" spans="2:24" s="58" customFormat="1" ht="12" x14ac:dyDescent="0.2">
      <c r="B2132" s="91"/>
      <c r="E2132" s="92"/>
      <c r="F2132" s="93"/>
      <c r="G2132" s="94"/>
      <c r="H2132" s="94"/>
      <c r="I2132" s="94"/>
      <c r="J2132" s="94"/>
      <c r="K2132" s="93"/>
      <c r="L2132" s="86"/>
      <c r="M2132" s="161"/>
      <c r="N2132" s="86"/>
      <c r="O2132" s="86"/>
      <c r="P2132" s="86"/>
      <c r="Q2132" s="85"/>
      <c r="S2132" s="85"/>
      <c r="T2132" s="85"/>
      <c r="U2132" s="85"/>
      <c r="V2132" s="85"/>
      <c r="W2132" s="85"/>
      <c r="X2132" s="85"/>
    </row>
    <row r="2133" spans="2:24" s="58" customFormat="1" ht="12" x14ac:dyDescent="0.2">
      <c r="B2133" s="91"/>
      <c r="E2133" s="92"/>
      <c r="F2133" s="93"/>
      <c r="G2133" s="94"/>
      <c r="H2133" s="94"/>
      <c r="I2133" s="94"/>
      <c r="J2133" s="94"/>
      <c r="K2133" s="93"/>
      <c r="L2133" s="86"/>
      <c r="M2133" s="161"/>
      <c r="N2133" s="86"/>
      <c r="O2133" s="86"/>
      <c r="P2133" s="86"/>
      <c r="Q2133" s="85"/>
      <c r="S2133" s="85"/>
      <c r="T2133" s="85"/>
      <c r="U2133" s="85"/>
      <c r="V2133" s="85"/>
      <c r="W2133" s="85"/>
      <c r="X2133" s="85"/>
    </row>
    <row r="2134" spans="2:24" s="58" customFormat="1" ht="12" x14ac:dyDescent="0.2">
      <c r="B2134" s="91"/>
      <c r="E2134" s="92"/>
      <c r="F2134" s="93"/>
      <c r="G2134" s="94"/>
      <c r="H2134" s="94"/>
      <c r="I2134" s="94"/>
      <c r="J2134" s="94"/>
      <c r="K2134" s="93"/>
      <c r="L2134" s="86"/>
      <c r="M2134" s="161"/>
      <c r="N2134" s="86"/>
      <c r="O2134" s="86"/>
      <c r="P2134" s="86"/>
      <c r="Q2134" s="85"/>
      <c r="S2134" s="85"/>
      <c r="T2134" s="85"/>
      <c r="U2134" s="85"/>
      <c r="V2134" s="85"/>
      <c r="W2134" s="85"/>
      <c r="X2134" s="85"/>
    </row>
    <row r="2135" spans="2:24" s="58" customFormat="1" ht="12" x14ac:dyDescent="0.2">
      <c r="B2135" s="91"/>
      <c r="E2135" s="92"/>
      <c r="F2135" s="93"/>
      <c r="G2135" s="94"/>
      <c r="H2135" s="94"/>
      <c r="I2135" s="94"/>
      <c r="J2135" s="94"/>
      <c r="K2135" s="93"/>
      <c r="L2135" s="86"/>
      <c r="M2135" s="161"/>
      <c r="N2135" s="86"/>
      <c r="O2135" s="86"/>
      <c r="P2135" s="86"/>
      <c r="Q2135" s="85"/>
      <c r="S2135" s="85"/>
      <c r="T2135" s="85"/>
      <c r="U2135" s="85"/>
      <c r="V2135" s="85"/>
      <c r="W2135" s="85"/>
      <c r="X2135" s="85"/>
    </row>
    <row r="2136" spans="2:24" s="58" customFormat="1" ht="12" x14ac:dyDescent="0.2">
      <c r="B2136" s="91"/>
      <c r="E2136" s="92"/>
      <c r="F2136" s="93"/>
      <c r="G2136" s="94"/>
      <c r="H2136" s="94"/>
      <c r="I2136" s="94"/>
      <c r="J2136" s="94"/>
      <c r="K2136" s="93"/>
      <c r="L2136" s="86"/>
      <c r="M2136" s="161"/>
      <c r="N2136" s="86"/>
      <c r="O2136" s="86"/>
      <c r="P2136" s="86"/>
      <c r="Q2136" s="85"/>
      <c r="S2136" s="85"/>
      <c r="T2136" s="85"/>
      <c r="U2136" s="85"/>
      <c r="V2136" s="85"/>
      <c r="W2136" s="85"/>
      <c r="X2136" s="85"/>
    </row>
    <row r="2137" spans="2:24" s="58" customFormat="1" ht="12" x14ac:dyDescent="0.2">
      <c r="B2137" s="91"/>
      <c r="E2137" s="92"/>
      <c r="F2137" s="93"/>
      <c r="G2137" s="94"/>
      <c r="H2137" s="94"/>
      <c r="I2137" s="94"/>
      <c r="J2137" s="94"/>
      <c r="K2137" s="93"/>
      <c r="L2137" s="86"/>
      <c r="M2137" s="161"/>
      <c r="N2137" s="86"/>
      <c r="O2137" s="86"/>
      <c r="P2137" s="86"/>
      <c r="Q2137" s="85"/>
      <c r="S2137" s="85"/>
      <c r="T2137" s="85"/>
      <c r="U2137" s="85"/>
      <c r="V2137" s="85"/>
      <c r="W2137" s="85"/>
      <c r="X2137" s="85"/>
    </row>
    <row r="2138" spans="2:24" s="58" customFormat="1" ht="12" x14ac:dyDescent="0.2">
      <c r="B2138" s="91"/>
      <c r="E2138" s="92"/>
      <c r="F2138" s="93"/>
      <c r="G2138" s="94"/>
      <c r="H2138" s="94"/>
      <c r="I2138" s="94"/>
      <c r="J2138" s="94"/>
      <c r="K2138" s="93"/>
      <c r="L2138" s="86"/>
      <c r="M2138" s="161"/>
      <c r="N2138" s="86"/>
      <c r="O2138" s="86"/>
      <c r="P2138" s="86"/>
      <c r="Q2138" s="85"/>
      <c r="S2138" s="85"/>
      <c r="T2138" s="85"/>
      <c r="U2138" s="85"/>
      <c r="V2138" s="85"/>
      <c r="W2138" s="85"/>
      <c r="X2138" s="85"/>
    </row>
    <row r="2139" spans="2:24" s="58" customFormat="1" ht="12" x14ac:dyDescent="0.2">
      <c r="B2139" s="91"/>
      <c r="E2139" s="92"/>
      <c r="F2139" s="93"/>
      <c r="G2139" s="94"/>
      <c r="H2139" s="94"/>
      <c r="I2139" s="94"/>
      <c r="J2139" s="94"/>
      <c r="K2139" s="93"/>
      <c r="L2139" s="86"/>
      <c r="M2139" s="161"/>
      <c r="N2139" s="86"/>
      <c r="O2139" s="86"/>
      <c r="P2139" s="86"/>
      <c r="Q2139" s="85"/>
      <c r="S2139" s="85"/>
      <c r="T2139" s="85"/>
      <c r="U2139" s="85"/>
      <c r="V2139" s="85"/>
      <c r="W2139" s="85"/>
      <c r="X2139" s="85"/>
    </row>
    <row r="2140" spans="2:24" s="58" customFormat="1" ht="12" x14ac:dyDescent="0.2">
      <c r="B2140" s="91"/>
      <c r="E2140" s="92"/>
      <c r="F2140" s="93"/>
      <c r="G2140" s="94"/>
      <c r="H2140" s="94"/>
      <c r="I2140" s="94"/>
      <c r="J2140" s="94"/>
      <c r="K2140" s="93"/>
      <c r="L2140" s="86"/>
      <c r="M2140" s="161"/>
      <c r="N2140" s="86"/>
      <c r="O2140" s="86"/>
      <c r="P2140" s="86"/>
      <c r="Q2140" s="85"/>
      <c r="S2140" s="85"/>
      <c r="T2140" s="85"/>
      <c r="U2140" s="85"/>
      <c r="V2140" s="85"/>
      <c r="W2140" s="85"/>
      <c r="X2140" s="85"/>
    </row>
    <row r="2141" spans="2:24" s="58" customFormat="1" ht="12" x14ac:dyDescent="0.2">
      <c r="B2141" s="91"/>
      <c r="E2141" s="92"/>
      <c r="F2141" s="93"/>
      <c r="G2141" s="94"/>
      <c r="H2141" s="94"/>
      <c r="I2141" s="94"/>
      <c r="J2141" s="94"/>
      <c r="K2141" s="93"/>
      <c r="L2141" s="86"/>
      <c r="M2141" s="161"/>
      <c r="N2141" s="86"/>
      <c r="O2141" s="86"/>
      <c r="P2141" s="86"/>
      <c r="Q2141" s="85"/>
      <c r="S2141" s="85"/>
      <c r="T2141" s="85"/>
      <c r="U2141" s="85"/>
      <c r="V2141" s="85"/>
      <c r="W2141" s="85"/>
      <c r="X2141" s="85"/>
    </row>
    <row r="2142" spans="2:24" s="58" customFormat="1" ht="12" x14ac:dyDescent="0.2">
      <c r="B2142" s="91"/>
      <c r="E2142" s="92"/>
      <c r="F2142" s="93"/>
      <c r="G2142" s="94"/>
      <c r="H2142" s="94"/>
      <c r="I2142" s="94"/>
      <c r="J2142" s="94"/>
      <c r="K2142" s="93"/>
      <c r="L2142" s="86"/>
      <c r="M2142" s="161"/>
      <c r="N2142" s="86"/>
      <c r="O2142" s="86"/>
      <c r="P2142" s="86"/>
      <c r="Q2142" s="85"/>
      <c r="S2142" s="85"/>
      <c r="T2142" s="85"/>
      <c r="U2142" s="85"/>
      <c r="V2142" s="85"/>
      <c r="W2142" s="85"/>
      <c r="X2142" s="85"/>
    </row>
    <row r="2143" spans="2:24" s="58" customFormat="1" ht="12" x14ac:dyDescent="0.2">
      <c r="B2143" s="91"/>
      <c r="E2143" s="92"/>
      <c r="F2143" s="93"/>
      <c r="G2143" s="94"/>
      <c r="H2143" s="94"/>
      <c r="I2143" s="94"/>
      <c r="J2143" s="94"/>
      <c r="K2143" s="93"/>
      <c r="L2143" s="86"/>
      <c r="M2143" s="161"/>
      <c r="N2143" s="86"/>
      <c r="O2143" s="86"/>
      <c r="P2143" s="86"/>
      <c r="Q2143" s="85"/>
      <c r="S2143" s="85"/>
      <c r="T2143" s="85"/>
      <c r="U2143" s="85"/>
      <c r="V2143" s="85"/>
      <c r="W2143" s="85"/>
      <c r="X2143" s="85"/>
    </row>
    <row r="2144" spans="2:24" s="58" customFormat="1" ht="12" x14ac:dyDescent="0.2">
      <c r="B2144" s="91"/>
      <c r="E2144" s="92"/>
      <c r="F2144" s="93"/>
      <c r="G2144" s="94"/>
      <c r="H2144" s="94"/>
      <c r="I2144" s="94"/>
      <c r="J2144" s="94"/>
      <c r="K2144" s="93"/>
      <c r="L2144" s="86"/>
      <c r="M2144" s="161"/>
      <c r="N2144" s="86"/>
      <c r="O2144" s="86"/>
      <c r="P2144" s="86"/>
      <c r="Q2144" s="85"/>
      <c r="S2144" s="85"/>
      <c r="T2144" s="85"/>
      <c r="U2144" s="85"/>
      <c r="V2144" s="85"/>
      <c r="W2144" s="85"/>
      <c r="X2144" s="85"/>
    </row>
    <row r="2145" spans="2:24" s="58" customFormat="1" ht="12" x14ac:dyDescent="0.2">
      <c r="B2145" s="91"/>
      <c r="E2145" s="92"/>
      <c r="F2145" s="93"/>
      <c r="G2145" s="94"/>
      <c r="H2145" s="94"/>
      <c r="I2145" s="94"/>
      <c r="J2145" s="94"/>
      <c r="K2145" s="93"/>
      <c r="L2145" s="86"/>
      <c r="M2145" s="161"/>
      <c r="N2145" s="86"/>
      <c r="O2145" s="86"/>
      <c r="P2145" s="86"/>
      <c r="Q2145" s="85"/>
      <c r="S2145" s="85"/>
      <c r="T2145" s="85"/>
      <c r="U2145" s="85"/>
      <c r="V2145" s="85"/>
      <c r="W2145" s="85"/>
      <c r="X2145" s="85"/>
    </row>
    <row r="2146" spans="2:24" s="58" customFormat="1" ht="12" x14ac:dyDescent="0.2">
      <c r="B2146" s="91"/>
      <c r="E2146" s="92"/>
      <c r="F2146" s="93"/>
      <c r="G2146" s="94"/>
      <c r="H2146" s="94"/>
      <c r="I2146" s="94"/>
      <c r="J2146" s="94"/>
      <c r="K2146" s="93"/>
      <c r="L2146" s="86"/>
      <c r="M2146" s="161"/>
      <c r="N2146" s="86"/>
      <c r="O2146" s="86"/>
      <c r="P2146" s="86"/>
      <c r="Q2146" s="85"/>
      <c r="S2146" s="85"/>
      <c r="T2146" s="85"/>
      <c r="U2146" s="85"/>
      <c r="V2146" s="85"/>
      <c r="W2146" s="85"/>
      <c r="X2146" s="85"/>
    </row>
    <row r="2147" spans="2:24" s="58" customFormat="1" ht="12" x14ac:dyDescent="0.2">
      <c r="B2147" s="91"/>
      <c r="E2147" s="92"/>
      <c r="F2147" s="93"/>
      <c r="G2147" s="94"/>
      <c r="H2147" s="94"/>
      <c r="I2147" s="94"/>
      <c r="J2147" s="94"/>
      <c r="K2147" s="93"/>
      <c r="L2147" s="86"/>
      <c r="M2147" s="161"/>
      <c r="N2147" s="86"/>
      <c r="O2147" s="86"/>
      <c r="P2147" s="86"/>
      <c r="Q2147" s="85"/>
      <c r="S2147" s="85"/>
      <c r="T2147" s="85"/>
      <c r="U2147" s="85"/>
      <c r="V2147" s="85"/>
      <c r="W2147" s="85"/>
      <c r="X2147" s="85"/>
    </row>
    <row r="2148" spans="2:24" s="58" customFormat="1" ht="12" x14ac:dyDescent="0.2">
      <c r="B2148" s="91"/>
      <c r="E2148" s="92"/>
      <c r="F2148" s="93"/>
      <c r="G2148" s="94"/>
      <c r="H2148" s="94"/>
      <c r="I2148" s="94"/>
      <c r="J2148" s="94"/>
      <c r="K2148" s="93"/>
      <c r="L2148" s="86"/>
      <c r="M2148" s="161"/>
      <c r="N2148" s="86"/>
      <c r="O2148" s="86"/>
      <c r="P2148" s="86"/>
      <c r="Q2148" s="85"/>
      <c r="S2148" s="85"/>
      <c r="T2148" s="85"/>
      <c r="U2148" s="85"/>
      <c r="V2148" s="85"/>
      <c r="W2148" s="85"/>
      <c r="X2148" s="85"/>
    </row>
    <row r="2149" spans="2:24" s="58" customFormat="1" ht="12" x14ac:dyDescent="0.2">
      <c r="B2149" s="91"/>
      <c r="E2149" s="92"/>
      <c r="F2149" s="93"/>
      <c r="G2149" s="94"/>
      <c r="H2149" s="94"/>
      <c r="I2149" s="94"/>
      <c r="J2149" s="94"/>
      <c r="K2149" s="93"/>
      <c r="L2149" s="86"/>
      <c r="M2149" s="161"/>
      <c r="N2149" s="86"/>
      <c r="O2149" s="86"/>
      <c r="P2149" s="86"/>
      <c r="Q2149" s="85"/>
      <c r="S2149" s="85"/>
      <c r="T2149" s="85"/>
      <c r="U2149" s="85"/>
      <c r="V2149" s="85"/>
      <c r="W2149" s="85"/>
      <c r="X2149" s="85"/>
    </row>
    <row r="2150" spans="2:24" s="58" customFormat="1" ht="12" x14ac:dyDescent="0.2">
      <c r="B2150" s="91"/>
      <c r="E2150" s="92"/>
      <c r="F2150" s="93"/>
      <c r="G2150" s="94"/>
      <c r="H2150" s="94"/>
      <c r="I2150" s="94"/>
      <c r="J2150" s="94"/>
      <c r="K2150" s="93"/>
      <c r="L2150" s="86"/>
      <c r="M2150" s="161"/>
      <c r="N2150" s="86"/>
      <c r="O2150" s="86"/>
      <c r="P2150" s="86"/>
      <c r="Q2150" s="85"/>
      <c r="S2150" s="85"/>
      <c r="T2150" s="85"/>
      <c r="U2150" s="85"/>
      <c r="V2150" s="85"/>
      <c r="W2150" s="85"/>
      <c r="X2150" s="85"/>
    </row>
    <row r="2151" spans="2:24" s="58" customFormat="1" ht="12" x14ac:dyDescent="0.2">
      <c r="B2151" s="91"/>
      <c r="E2151" s="92"/>
      <c r="F2151" s="93"/>
      <c r="G2151" s="94"/>
      <c r="H2151" s="94"/>
      <c r="I2151" s="94"/>
      <c r="J2151" s="94"/>
      <c r="K2151" s="93"/>
      <c r="L2151" s="86"/>
      <c r="M2151" s="161"/>
      <c r="N2151" s="86"/>
      <c r="O2151" s="86"/>
      <c r="P2151" s="86"/>
      <c r="Q2151" s="85"/>
      <c r="S2151" s="85"/>
      <c r="T2151" s="85"/>
      <c r="U2151" s="85"/>
      <c r="V2151" s="85"/>
      <c r="W2151" s="85"/>
      <c r="X2151" s="85"/>
    </row>
    <row r="2152" spans="2:24" s="58" customFormat="1" ht="12" x14ac:dyDescent="0.2">
      <c r="B2152" s="91"/>
      <c r="E2152" s="92"/>
      <c r="F2152" s="93"/>
      <c r="G2152" s="94"/>
      <c r="H2152" s="94"/>
      <c r="I2152" s="94"/>
      <c r="J2152" s="94"/>
      <c r="K2152" s="93"/>
      <c r="L2152" s="86"/>
      <c r="M2152" s="161"/>
      <c r="N2152" s="86"/>
      <c r="O2152" s="86"/>
      <c r="P2152" s="86"/>
      <c r="Q2152" s="85"/>
      <c r="S2152" s="85"/>
      <c r="T2152" s="85"/>
      <c r="U2152" s="85"/>
      <c r="V2152" s="85"/>
      <c r="W2152" s="85"/>
      <c r="X2152" s="85"/>
    </row>
    <row r="2153" spans="2:24" s="58" customFormat="1" ht="12" x14ac:dyDescent="0.2">
      <c r="B2153" s="91"/>
      <c r="E2153" s="92"/>
      <c r="F2153" s="93"/>
      <c r="G2153" s="94"/>
      <c r="H2153" s="94"/>
      <c r="I2153" s="94"/>
      <c r="J2153" s="94"/>
      <c r="K2153" s="93"/>
      <c r="L2153" s="86"/>
      <c r="M2153" s="161"/>
      <c r="N2153" s="86"/>
      <c r="O2153" s="86"/>
      <c r="P2153" s="86"/>
      <c r="Q2153" s="85"/>
      <c r="S2153" s="85"/>
      <c r="T2153" s="85"/>
      <c r="U2153" s="85"/>
      <c r="V2153" s="85"/>
      <c r="W2153" s="85"/>
      <c r="X2153" s="85"/>
    </row>
    <row r="2154" spans="2:24" s="58" customFormat="1" ht="12" x14ac:dyDescent="0.2">
      <c r="B2154" s="91"/>
      <c r="E2154" s="92"/>
      <c r="F2154" s="93"/>
      <c r="G2154" s="94"/>
      <c r="H2154" s="94"/>
      <c r="I2154" s="94"/>
      <c r="J2154" s="94"/>
      <c r="K2154" s="93"/>
      <c r="L2154" s="86"/>
      <c r="M2154" s="161"/>
      <c r="N2154" s="86"/>
      <c r="O2154" s="86"/>
      <c r="P2154" s="86"/>
      <c r="Q2154" s="85"/>
      <c r="S2154" s="85"/>
      <c r="T2154" s="85"/>
      <c r="U2154" s="85"/>
      <c r="V2154" s="85"/>
      <c r="W2154" s="85"/>
      <c r="X2154" s="85"/>
    </row>
    <row r="2155" spans="2:24" s="58" customFormat="1" ht="12" x14ac:dyDescent="0.2">
      <c r="B2155" s="91"/>
      <c r="E2155" s="92"/>
      <c r="F2155" s="93"/>
      <c r="G2155" s="94"/>
      <c r="H2155" s="94"/>
      <c r="I2155" s="94"/>
      <c r="J2155" s="94"/>
      <c r="K2155" s="93"/>
      <c r="L2155" s="86"/>
      <c r="M2155" s="161"/>
      <c r="N2155" s="86"/>
      <c r="O2155" s="86"/>
      <c r="P2155" s="86"/>
      <c r="Q2155" s="85"/>
      <c r="S2155" s="85"/>
      <c r="T2155" s="85"/>
      <c r="U2155" s="85"/>
      <c r="V2155" s="85"/>
      <c r="W2155" s="85"/>
      <c r="X2155" s="85"/>
    </row>
    <row r="2156" spans="2:24" s="58" customFormat="1" ht="12" x14ac:dyDescent="0.2">
      <c r="B2156" s="91"/>
      <c r="E2156" s="92"/>
      <c r="F2156" s="93"/>
      <c r="G2156" s="94"/>
      <c r="H2156" s="94"/>
      <c r="I2156" s="94"/>
      <c r="J2156" s="94"/>
      <c r="K2156" s="93"/>
      <c r="L2156" s="86"/>
      <c r="M2156" s="161"/>
      <c r="N2156" s="86"/>
      <c r="O2156" s="86"/>
      <c r="P2156" s="86"/>
      <c r="Q2156" s="85"/>
      <c r="S2156" s="85"/>
      <c r="T2156" s="85"/>
      <c r="U2156" s="85"/>
      <c r="V2156" s="85"/>
      <c r="W2156" s="85"/>
      <c r="X2156" s="85"/>
    </row>
    <row r="2157" spans="2:24" s="58" customFormat="1" ht="12" x14ac:dyDescent="0.2">
      <c r="B2157" s="91"/>
      <c r="E2157" s="92"/>
      <c r="F2157" s="93"/>
      <c r="G2157" s="94"/>
      <c r="H2157" s="94"/>
      <c r="I2157" s="94"/>
      <c r="J2157" s="94"/>
      <c r="K2157" s="93"/>
      <c r="L2157" s="86"/>
      <c r="M2157" s="161"/>
      <c r="N2157" s="86"/>
      <c r="O2157" s="86"/>
      <c r="P2157" s="86"/>
      <c r="Q2157" s="85"/>
      <c r="S2157" s="85"/>
      <c r="T2157" s="85"/>
      <c r="U2157" s="85"/>
      <c r="V2157" s="85"/>
      <c r="W2157" s="85"/>
      <c r="X2157" s="85"/>
    </row>
    <row r="2158" spans="2:24" s="58" customFormat="1" ht="12" x14ac:dyDescent="0.2">
      <c r="B2158" s="91"/>
      <c r="E2158" s="92"/>
      <c r="F2158" s="93"/>
      <c r="G2158" s="94"/>
      <c r="H2158" s="94"/>
      <c r="I2158" s="94"/>
      <c r="J2158" s="94"/>
      <c r="K2158" s="93"/>
      <c r="L2158" s="86"/>
      <c r="M2158" s="161"/>
      <c r="N2158" s="86"/>
      <c r="O2158" s="86"/>
      <c r="P2158" s="86"/>
      <c r="Q2158" s="85"/>
      <c r="S2158" s="85"/>
      <c r="T2158" s="85"/>
      <c r="U2158" s="85"/>
      <c r="V2158" s="85"/>
      <c r="W2158" s="85"/>
      <c r="X2158" s="85"/>
    </row>
    <row r="2159" spans="2:24" s="58" customFormat="1" ht="12" x14ac:dyDescent="0.2">
      <c r="B2159" s="91"/>
      <c r="E2159" s="92"/>
      <c r="F2159" s="93"/>
      <c r="G2159" s="94"/>
      <c r="H2159" s="94"/>
      <c r="I2159" s="94"/>
      <c r="J2159" s="94"/>
      <c r="K2159" s="93"/>
      <c r="L2159" s="86"/>
      <c r="M2159" s="161"/>
      <c r="N2159" s="86"/>
      <c r="O2159" s="86"/>
      <c r="P2159" s="86"/>
      <c r="Q2159" s="85"/>
      <c r="S2159" s="85"/>
      <c r="T2159" s="85"/>
      <c r="U2159" s="85"/>
      <c r="V2159" s="85"/>
      <c r="W2159" s="85"/>
      <c r="X2159" s="85"/>
    </row>
    <row r="2160" spans="2:24" s="58" customFormat="1" ht="12" x14ac:dyDescent="0.2">
      <c r="B2160" s="91"/>
      <c r="E2160" s="92"/>
      <c r="F2160" s="93"/>
      <c r="G2160" s="94"/>
      <c r="H2160" s="94"/>
      <c r="I2160" s="94"/>
      <c r="J2160" s="94"/>
      <c r="K2160" s="93"/>
      <c r="L2160" s="86"/>
      <c r="M2160" s="161"/>
      <c r="N2160" s="86"/>
      <c r="O2160" s="86"/>
      <c r="P2160" s="86"/>
      <c r="Q2160" s="85"/>
      <c r="S2160" s="85"/>
      <c r="T2160" s="85"/>
      <c r="U2160" s="85"/>
      <c r="V2160" s="85"/>
      <c r="W2160" s="85"/>
      <c r="X2160" s="85"/>
    </row>
    <row r="2161" spans="2:24" s="58" customFormat="1" ht="12" x14ac:dyDescent="0.2">
      <c r="B2161" s="91"/>
      <c r="E2161" s="92"/>
      <c r="F2161" s="93"/>
      <c r="G2161" s="94"/>
      <c r="H2161" s="94"/>
      <c r="I2161" s="94"/>
      <c r="J2161" s="94"/>
      <c r="K2161" s="93"/>
      <c r="L2161" s="86"/>
      <c r="M2161" s="161"/>
      <c r="N2161" s="86"/>
      <c r="O2161" s="86"/>
      <c r="P2161" s="86"/>
      <c r="Q2161" s="85"/>
      <c r="S2161" s="85"/>
      <c r="T2161" s="85"/>
      <c r="U2161" s="85"/>
      <c r="V2161" s="85"/>
      <c r="W2161" s="85"/>
      <c r="X2161" s="85"/>
    </row>
    <row r="2162" spans="2:24" s="58" customFormat="1" ht="12" x14ac:dyDescent="0.2">
      <c r="B2162" s="91"/>
      <c r="E2162" s="92"/>
      <c r="F2162" s="93"/>
      <c r="G2162" s="94"/>
      <c r="H2162" s="94"/>
      <c r="I2162" s="94"/>
      <c r="J2162" s="94"/>
      <c r="K2162" s="93"/>
      <c r="L2162" s="86"/>
      <c r="M2162" s="161"/>
      <c r="N2162" s="86"/>
      <c r="O2162" s="86"/>
      <c r="P2162" s="86"/>
      <c r="Q2162" s="85"/>
      <c r="S2162" s="85"/>
      <c r="T2162" s="85"/>
      <c r="U2162" s="85"/>
      <c r="V2162" s="85"/>
      <c r="W2162" s="85"/>
      <c r="X2162" s="85"/>
    </row>
    <row r="2163" spans="2:24" s="58" customFormat="1" ht="12" x14ac:dyDescent="0.2">
      <c r="B2163" s="91"/>
      <c r="E2163" s="92"/>
      <c r="F2163" s="93"/>
      <c r="G2163" s="94"/>
      <c r="H2163" s="94"/>
      <c r="I2163" s="94"/>
      <c r="J2163" s="94"/>
      <c r="K2163" s="93"/>
      <c r="L2163" s="86"/>
      <c r="M2163" s="161"/>
      <c r="N2163" s="86"/>
      <c r="O2163" s="86"/>
      <c r="P2163" s="86"/>
      <c r="Q2163" s="85"/>
      <c r="S2163" s="85"/>
      <c r="T2163" s="85"/>
      <c r="U2163" s="85"/>
      <c r="V2163" s="85"/>
      <c r="W2163" s="85"/>
      <c r="X2163" s="85"/>
    </row>
    <row r="2164" spans="2:24" s="58" customFormat="1" ht="12" x14ac:dyDescent="0.2">
      <c r="B2164" s="91"/>
      <c r="E2164" s="92"/>
      <c r="F2164" s="93"/>
      <c r="G2164" s="94"/>
      <c r="H2164" s="94"/>
      <c r="I2164" s="94"/>
      <c r="J2164" s="94"/>
      <c r="K2164" s="93"/>
      <c r="L2164" s="86"/>
      <c r="M2164" s="161"/>
      <c r="N2164" s="86"/>
      <c r="O2164" s="86"/>
      <c r="P2164" s="86"/>
      <c r="Q2164" s="85"/>
      <c r="S2164" s="85"/>
      <c r="T2164" s="85"/>
      <c r="U2164" s="85"/>
      <c r="V2164" s="85"/>
      <c r="W2164" s="85"/>
      <c r="X2164" s="85"/>
    </row>
    <row r="2165" spans="2:24" s="58" customFormat="1" ht="12" x14ac:dyDescent="0.2">
      <c r="B2165" s="91"/>
      <c r="E2165" s="92"/>
      <c r="F2165" s="93"/>
      <c r="G2165" s="94"/>
      <c r="H2165" s="94"/>
      <c r="I2165" s="94"/>
      <c r="J2165" s="94"/>
      <c r="K2165" s="93"/>
      <c r="L2165" s="86"/>
      <c r="M2165" s="161"/>
      <c r="N2165" s="86"/>
      <c r="O2165" s="86"/>
      <c r="P2165" s="86"/>
      <c r="Q2165" s="85"/>
      <c r="S2165" s="85"/>
      <c r="T2165" s="85"/>
      <c r="U2165" s="85"/>
      <c r="V2165" s="85"/>
      <c r="W2165" s="85"/>
      <c r="X2165" s="85"/>
    </row>
    <row r="2166" spans="2:24" s="58" customFormat="1" ht="12" x14ac:dyDescent="0.2">
      <c r="B2166" s="91"/>
      <c r="E2166" s="92"/>
      <c r="F2166" s="93"/>
      <c r="G2166" s="94"/>
      <c r="H2166" s="94"/>
      <c r="I2166" s="94"/>
      <c r="J2166" s="94"/>
      <c r="K2166" s="93"/>
      <c r="L2166" s="86"/>
      <c r="M2166" s="161"/>
      <c r="N2166" s="86"/>
      <c r="O2166" s="86"/>
      <c r="P2166" s="86"/>
      <c r="Q2166" s="85"/>
      <c r="S2166" s="85"/>
      <c r="T2166" s="85"/>
      <c r="U2166" s="85"/>
      <c r="V2166" s="85"/>
      <c r="W2166" s="85"/>
      <c r="X2166" s="85"/>
    </row>
    <row r="2167" spans="2:24" s="58" customFormat="1" ht="12" x14ac:dyDescent="0.2">
      <c r="B2167" s="91"/>
      <c r="E2167" s="92"/>
      <c r="F2167" s="93"/>
      <c r="G2167" s="94"/>
      <c r="H2167" s="94"/>
      <c r="I2167" s="94"/>
      <c r="J2167" s="94"/>
      <c r="K2167" s="93"/>
      <c r="L2167" s="86"/>
      <c r="M2167" s="161"/>
      <c r="N2167" s="86"/>
      <c r="O2167" s="86"/>
      <c r="P2167" s="86"/>
      <c r="Q2167" s="85"/>
      <c r="S2167" s="85"/>
      <c r="T2167" s="85"/>
      <c r="U2167" s="85"/>
      <c r="V2167" s="85"/>
      <c r="W2167" s="85"/>
      <c r="X2167" s="85"/>
    </row>
    <row r="2168" spans="2:24" s="58" customFormat="1" ht="12" x14ac:dyDescent="0.2">
      <c r="B2168" s="91"/>
      <c r="E2168" s="92"/>
      <c r="F2168" s="93"/>
      <c r="G2168" s="94"/>
      <c r="H2168" s="94"/>
      <c r="I2168" s="94"/>
      <c r="J2168" s="94"/>
      <c r="K2168" s="93"/>
      <c r="L2168" s="86"/>
      <c r="M2168" s="161"/>
      <c r="N2168" s="86"/>
      <c r="O2168" s="86"/>
      <c r="P2168" s="86"/>
      <c r="Q2168" s="85"/>
      <c r="S2168" s="85"/>
      <c r="T2168" s="85"/>
      <c r="U2168" s="85"/>
      <c r="V2168" s="85"/>
      <c r="W2168" s="85"/>
      <c r="X2168" s="85"/>
    </row>
    <row r="2169" spans="2:24" s="58" customFormat="1" ht="12" x14ac:dyDescent="0.2">
      <c r="B2169" s="91"/>
      <c r="E2169" s="92"/>
      <c r="F2169" s="93"/>
      <c r="G2169" s="94"/>
      <c r="H2169" s="94"/>
      <c r="I2169" s="94"/>
      <c r="J2169" s="94"/>
      <c r="K2169" s="93"/>
      <c r="L2169" s="86"/>
      <c r="M2169" s="161"/>
      <c r="N2169" s="86"/>
      <c r="O2169" s="86"/>
      <c r="P2169" s="86"/>
      <c r="Q2169" s="85"/>
      <c r="S2169" s="85"/>
      <c r="T2169" s="85"/>
      <c r="U2169" s="85"/>
      <c r="V2169" s="85"/>
      <c r="W2169" s="85"/>
      <c r="X2169" s="85"/>
    </row>
    <row r="2170" spans="2:24" s="58" customFormat="1" ht="12" x14ac:dyDescent="0.2">
      <c r="B2170" s="91"/>
      <c r="E2170" s="92"/>
      <c r="F2170" s="93"/>
      <c r="G2170" s="94"/>
      <c r="H2170" s="94"/>
      <c r="I2170" s="94"/>
      <c r="J2170" s="94"/>
      <c r="K2170" s="93"/>
      <c r="L2170" s="86"/>
      <c r="M2170" s="161"/>
      <c r="N2170" s="86"/>
      <c r="O2170" s="86"/>
      <c r="P2170" s="86"/>
      <c r="Q2170" s="85"/>
      <c r="S2170" s="85"/>
      <c r="T2170" s="85"/>
      <c r="U2170" s="85"/>
      <c r="V2170" s="85"/>
      <c r="W2170" s="85"/>
      <c r="X2170" s="85"/>
    </row>
    <row r="2171" spans="2:24" s="58" customFormat="1" ht="12" x14ac:dyDescent="0.2">
      <c r="B2171" s="91"/>
      <c r="E2171" s="92"/>
      <c r="F2171" s="93"/>
      <c r="G2171" s="94"/>
      <c r="H2171" s="94"/>
      <c r="I2171" s="94"/>
      <c r="J2171" s="94"/>
      <c r="K2171" s="93"/>
      <c r="L2171" s="86"/>
      <c r="M2171" s="161"/>
      <c r="N2171" s="86"/>
      <c r="O2171" s="86"/>
      <c r="P2171" s="86"/>
      <c r="Q2171" s="85"/>
      <c r="S2171" s="85"/>
      <c r="T2171" s="85"/>
      <c r="U2171" s="85"/>
      <c r="V2171" s="85"/>
      <c r="W2171" s="85"/>
      <c r="X2171" s="85"/>
    </row>
    <row r="2172" spans="2:24" s="58" customFormat="1" ht="12" x14ac:dyDescent="0.2">
      <c r="B2172" s="91"/>
      <c r="E2172" s="92"/>
      <c r="F2172" s="93"/>
      <c r="G2172" s="94"/>
      <c r="H2172" s="94"/>
      <c r="I2172" s="94"/>
      <c r="J2172" s="94"/>
      <c r="K2172" s="93"/>
      <c r="L2172" s="86"/>
      <c r="M2172" s="161"/>
      <c r="N2172" s="86"/>
      <c r="O2172" s="86"/>
      <c r="P2172" s="86"/>
      <c r="Q2172" s="85"/>
      <c r="S2172" s="85"/>
      <c r="T2172" s="85"/>
      <c r="U2172" s="85"/>
      <c r="V2172" s="85"/>
      <c r="W2172" s="85"/>
      <c r="X2172" s="85"/>
    </row>
    <row r="2173" spans="2:24" s="58" customFormat="1" ht="12" x14ac:dyDescent="0.2">
      <c r="B2173" s="91"/>
      <c r="E2173" s="92"/>
      <c r="F2173" s="93"/>
      <c r="G2173" s="94"/>
      <c r="H2173" s="94"/>
      <c r="I2173" s="94"/>
      <c r="J2173" s="94"/>
      <c r="K2173" s="93"/>
      <c r="L2173" s="86"/>
      <c r="M2173" s="161"/>
      <c r="N2173" s="86"/>
      <c r="O2173" s="86"/>
      <c r="P2173" s="86"/>
      <c r="Q2173" s="85"/>
      <c r="S2173" s="85"/>
      <c r="T2173" s="85"/>
      <c r="U2173" s="85"/>
      <c r="V2173" s="85"/>
      <c r="W2173" s="85"/>
      <c r="X2173" s="85"/>
    </row>
    <row r="2174" spans="2:24" s="58" customFormat="1" ht="12" x14ac:dyDescent="0.2">
      <c r="B2174" s="91"/>
      <c r="E2174" s="92"/>
      <c r="F2174" s="93"/>
      <c r="G2174" s="94"/>
      <c r="H2174" s="94"/>
      <c r="I2174" s="94"/>
      <c r="J2174" s="94"/>
      <c r="K2174" s="93"/>
      <c r="L2174" s="86"/>
      <c r="M2174" s="161"/>
      <c r="N2174" s="86"/>
      <c r="O2174" s="86"/>
      <c r="P2174" s="86"/>
      <c r="Q2174" s="85"/>
      <c r="S2174" s="85"/>
      <c r="T2174" s="85"/>
      <c r="U2174" s="85"/>
      <c r="V2174" s="85"/>
      <c r="W2174" s="85"/>
      <c r="X2174" s="85"/>
    </row>
    <row r="2175" spans="2:24" s="58" customFormat="1" ht="12" x14ac:dyDescent="0.2">
      <c r="B2175" s="91"/>
      <c r="E2175" s="92"/>
      <c r="F2175" s="93"/>
      <c r="G2175" s="94"/>
      <c r="H2175" s="94"/>
      <c r="I2175" s="94"/>
      <c r="J2175" s="94"/>
      <c r="K2175" s="93"/>
      <c r="L2175" s="86"/>
      <c r="M2175" s="161"/>
      <c r="N2175" s="86"/>
      <c r="O2175" s="86"/>
      <c r="P2175" s="86"/>
      <c r="Q2175" s="85"/>
      <c r="S2175" s="85"/>
      <c r="T2175" s="85"/>
      <c r="U2175" s="85"/>
      <c r="V2175" s="85"/>
      <c r="W2175" s="85"/>
      <c r="X2175" s="85"/>
    </row>
    <row r="2176" spans="2:24" s="58" customFormat="1" ht="12" x14ac:dyDescent="0.2">
      <c r="B2176" s="91"/>
      <c r="E2176" s="92"/>
      <c r="F2176" s="93"/>
      <c r="G2176" s="94"/>
      <c r="H2176" s="94"/>
      <c r="I2176" s="94"/>
      <c r="J2176" s="94"/>
      <c r="K2176" s="93"/>
      <c r="L2176" s="86"/>
      <c r="M2176" s="161"/>
      <c r="N2176" s="86"/>
      <c r="O2176" s="86"/>
      <c r="P2176" s="86"/>
      <c r="Q2176" s="85"/>
      <c r="S2176" s="85"/>
      <c r="T2176" s="85"/>
      <c r="U2176" s="85"/>
      <c r="V2176" s="85"/>
      <c r="W2176" s="85"/>
      <c r="X2176" s="85"/>
    </row>
    <row r="2177" spans="2:24" s="58" customFormat="1" ht="12" x14ac:dyDescent="0.2">
      <c r="B2177" s="91"/>
      <c r="E2177" s="92"/>
      <c r="F2177" s="93"/>
      <c r="G2177" s="94"/>
      <c r="H2177" s="94"/>
      <c r="I2177" s="94"/>
      <c r="J2177" s="94"/>
      <c r="K2177" s="93"/>
      <c r="L2177" s="86"/>
      <c r="M2177" s="161"/>
      <c r="N2177" s="86"/>
      <c r="O2177" s="86"/>
      <c r="P2177" s="86"/>
      <c r="Q2177" s="85"/>
      <c r="S2177" s="85"/>
      <c r="T2177" s="85"/>
      <c r="U2177" s="85"/>
      <c r="V2177" s="85"/>
      <c r="W2177" s="85"/>
      <c r="X2177" s="85"/>
    </row>
    <row r="2178" spans="2:24" s="58" customFormat="1" ht="12" x14ac:dyDescent="0.2">
      <c r="B2178" s="91"/>
      <c r="E2178" s="92"/>
      <c r="F2178" s="93"/>
      <c r="G2178" s="94"/>
      <c r="H2178" s="94"/>
      <c r="I2178" s="94"/>
      <c r="J2178" s="94"/>
      <c r="K2178" s="93"/>
      <c r="L2178" s="86"/>
      <c r="M2178" s="161"/>
      <c r="N2178" s="86"/>
      <c r="O2178" s="86"/>
      <c r="P2178" s="86"/>
      <c r="Q2178" s="85"/>
      <c r="S2178" s="85"/>
      <c r="T2178" s="85"/>
      <c r="U2178" s="85"/>
      <c r="V2178" s="85"/>
      <c r="W2178" s="85"/>
      <c r="X2178" s="85"/>
    </row>
    <row r="2179" spans="2:24" s="58" customFormat="1" ht="12" x14ac:dyDescent="0.2">
      <c r="B2179" s="91"/>
      <c r="E2179" s="92"/>
      <c r="F2179" s="93"/>
      <c r="G2179" s="94"/>
      <c r="H2179" s="94"/>
      <c r="I2179" s="94"/>
      <c r="J2179" s="94"/>
      <c r="K2179" s="93"/>
      <c r="L2179" s="86"/>
      <c r="M2179" s="161"/>
      <c r="N2179" s="86"/>
      <c r="O2179" s="86"/>
      <c r="P2179" s="86"/>
      <c r="Q2179" s="85"/>
      <c r="S2179" s="85"/>
      <c r="T2179" s="85"/>
      <c r="U2179" s="85"/>
      <c r="V2179" s="85"/>
      <c r="W2179" s="85"/>
      <c r="X2179" s="85"/>
    </row>
    <row r="2180" spans="2:24" s="58" customFormat="1" ht="12" x14ac:dyDescent="0.2">
      <c r="B2180" s="91"/>
      <c r="E2180" s="92"/>
      <c r="F2180" s="93"/>
      <c r="G2180" s="94"/>
      <c r="H2180" s="94"/>
      <c r="I2180" s="94"/>
      <c r="J2180" s="94"/>
      <c r="K2180" s="93"/>
      <c r="L2180" s="86"/>
      <c r="M2180" s="161"/>
      <c r="N2180" s="86"/>
      <c r="O2180" s="86"/>
      <c r="P2180" s="86"/>
      <c r="Q2180" s="85"/>
      <c r="S2180" s="85"/>
      <c r="T2180" s="85"/>
      <c r="U2180" s="85"/>
      <c r="V2180" s="85"/>
      <c r="W2180" s="85"/>
      <c r="X2180" s="85"/>
    </row>
    <row r="2181" spans="2:24" s="58" customFormat="1" ht="12" x14ac:dyDescent="0.2">
      <c r="B2181" s="91"/>
      <c r="E2181" s="92"/>
      <c r="F2181" s="93"/>
      <c r="G2181" s="94"/>
      <c r="H2181" s="94"/>
      <c r="I2181" s="94"/>
      <c r="J2181" s="94"/>
      <c r="K2181" s="93"/>
      <c r="L2181" s="86"/>
      <c r="M2181" s="161"/>
      <c r="N2181" s="86"/>
      <c r="O2181" s="86"/>
      <c r="P2181" s="86"/>
      <c r="Q2181" s="85"/>
      <c r="S2181" s="85"/>
      <c r="T2181" s="85"/>
      <c r="U2181" s="85"/>
      <c r="V2181" s="85"/>
      <c r="W2181" s="85"/>
      <c r="X2181" s="85"/>
    </row>
    <row r="2182" spans="2:24" s="58" customFormat="1" ht="12" x14ac:dyDescent="0.2">
      <c r="B2182" s="91"/>
      <c r="E2182" s="92"/>
      <c r="F2182" s="93"/>
      <c r="G2182" s="94"/>
      <c r="H2182" s="94"/>
      <c r="I2182" s="94"/>
      <c r="J2182" s="94"/>
      <c r="K2182" s="93"/>
      <c r="L2182" s="86"/>
      <c r="M2182" s="161"/>
      <c r="N2182" s="86"/>
      <c r="O2182" s="86"/>
      <c r="P2182" s="86"/>
      <c r="Q2182" s="85"/>
      <c r="S2182" s="85"/>
      <c r="T2182" s="85"/>
      <c r="U2182" s="85"/>
      <c r="V2182" s="85"/>
      <c r="W2182" s="85"/>
      <c r="X2182" s="85"/>
    </row>
    <row r="2183" spans="2:24" s="58" customFormat="1" ht="12" x14ac:dyDescent="0.2">
      <c r="B2183" s="91"/>
      <c r="E2183" s="92"/>
      <c r="F2183" s="93"/>
      <c r="G2183" s="94"/>
      <c r="H2183" s="94"/>
      <c r="I2183" s="94"/>
      <c r="J2183" s="94"/>
      <c r="K2183" s="93"/>
      <c r="L2183" s="86"/>
      <c r="M2183" s="161"/>
      <c r="N2183" s="86"/>
      <c r="O2183" s="86"/>
      <c r="P2183" s="86"/>
      <c r="Q2183" s="85"/>
      <c r="S2183" s="85"/>
      <c r="T2183" s="85"/>
      <c r="U2183" s="85"/>
      <c r="V2183" s="85"/>
      <c r="W2183" s="85"/>
      <c r="X2183" s="85"/>
    </row>
    <row r="2184" spans="2:24" s="58" customFormat="1" ht="12" x14ac:dyDescent="0.2">
      <c r="B2184" s="91"/>
      <c r="E2184" s="92"/>
      <c r="F2184" s="93"/>
      <c r="G2184" s="94"/>
      <c r="H2184" s="94"/>
      <c r="I2184" s="94"/>
      <c r="J2184" s="94"/>
      <c r="K2184" s="93"/>
      <c r="L2184" s="86"/>
      <c r="M2184" s="161"/>
      <c r="N2184" s="86"/>
      <c r="O2184" s="86"/>
      <c r="P2184" s="86"/>
      <c r="Q2184" s="85"/>
      <c r="S2184" s="85"/>
      <c r="T2184" s="85"/>
      <c r="U2184" s="85"/>
      <c r="V2184" s="85"/>
      <c r="W2184" s="85"/>
      <c r="X2184" s="85"/>
    </row>
    <row r="2185" spans="2:24" s="58" customFormat="1" ht="12" x14ac:dyDescent="0.2">
      <c r="B2185" s="91"/>
      <c r="E2185" s="92"/>
      <c r="F2185" s="93"/>
      <c r="G2185" s="94"/>
      <c r="H2185" s="94"/>
      <c r="I2185" s="94"/>
      <c r="J2185" s="94"/>
      <c r="K2185" s="93"/>
      <c r="L2185" s="86"/>
      <c r="M2185" s="161"/>
      <c r="N2185" s="86"/>
      <c r="O2185" s="86"/>
      <c r="P2185" s="86"/>
      <c r="Q2185" s="85"/>
      <c r="S2185" s="85"/>
      <c r="T2185" s="85"/>
      <c r="U2185" s="85"/>
      <c r="V2185" s="85"/>
      <c r="W2185" s="85"/>
      <c r="X2185" s="85"/>
    </row>
    <row r="2186" spans="2:24" s="58" customFormat="1" ht="12" x14ac:dyDescent="0.2">
      <c r="B2186" s="91"/>
      <c r="E2186" s="92"/>
      <c r="F2186" s="93"/>
      <c r="G2186" s="94"/>
      <c r="H2186" s="94"/>
      <c r="I2186" s="94"/>
      <c r="J2186" s="94"/>
      <c r="K2186" s="93"/>
      <c r="L2186" s="86"/>
      <c r="M2186" s="161"/>
      <c r="N2186" s="86"/>
      <c r="O2186" s="86"/>
      <c r="P2186" s="86"/>
      <c r="Q2186" s="85"/>
      <c r="S2186" s="85"/>
      <c r="T2186" s="85"/>
      <c r="U2186" s="85"/>
      <c r="V2186" s="85"/>
      <c r="W2186" s="85"/>
      <c r="X2186" s="85"/>
    </row>
    <row r="2187" spans="2:24" s="58" customFormat="1" ht="12" x14ac:dyDescent="0.2">
      <c r="B2187" s="91"/>
      <c r="E2187" s="92"/>
      <c r="F2187" s="93"/>
      <c r="G2187" s="94"/>
      <c r="H2187" s="94"/>
      <c r="I2187" s="94"/>
      <c r="J2187" s="94"/>
      <c r="K2187" s="93"/>
      <c r="L2187" s="86"/>
      <c r="M2187" s="161"/>
      <c r="N2187" s="86"/>
      <c r="O2187" s="86"/>
      <c r="P2187" s="86"/>
      <c r="Q2187" s="85"/>
      <c r="S2187" s="85"/>
      <c r="T2187" s="85"/>
      <c r="U2187" s="85"/>
      <c r="V2187" s="85"/>
      <c r="W2187" s="85"/>
      <c r="X2187" s="85"/>
    </row>
    <row r="2188" spans="2:24" s="58" customFormat="1" ht="12" x14ac:dyDescent="0.2">
      <c r="B2188" s="91"/>
      <c r="E2188" s="92"/>
      <c r="F2188" s="93"/>
      <c r="G2188" s="94"/>
      <c r="H2188" s="94"/>
      <c r="I2188" s="94"/>
      <c r="J2188" s="94"/>
      <c r="K2188" s="93"/>
      <c r="L2188" s="86"/>
      <c r="M2188" s="161"/>
      <c r="N2188" s="86"/>
      <c r="O2188" s="86"/>
      <c r="P2188" s="86"/>
      <c r="Q2188" s="85"/>
      <c r="S2188" s="85"/>
      <c r="T2188" s="85"/>
      <c r="U2188" s="85"/>
      <c r="V2188" s="85"/>
      <c r="W2188" s="85"/>
      <c r="X2188" s="85"/>
    </row>
    <row r="2189" spans="2:24" s="58" customFormat="1" ht="12" x14ac:dyDescent="0.2">
      <c r="B2189" s="91"/>
      <c r="E2189" s="92"/>
      <c r="F2189" s="93"/>
      <c r="G2189" s="94"/>
      <c r="H2189" s="94"/>
      <c r="I2189" s="94"/>
      <c r="J2189" s="94"/>
      <c r="K2189" s="93"/>
      <c r="L2189" s="86"/>
      <c r="M2189" s="161"/>
      <c r="N2189" s="86"/>
      <c r="O2189" s="86"/>
      <c r="P2189" s="86"/>
      <c r="Q2189" s="85"/>
      <c r="S2189" s="85"/>
      <c r="T2189" s="85"/>
      <c r="U2189" s="85"/>
      <c r="V2189" s="85"/>
      <c r="W2189" s="85"/>
      <c r="X2189" s="85"/>
    </row>
    <row r="2190" spans="2:24" s="58" customFormat="1" ht="12" x14ac:dyDescent="0.2">
      <c r="B2190" s="91"/>
      <c r="E2190" s="92"/>
      <c r="F2190" s="93"/>
      <c r="G2190" s="94"/>
      <c r="H2190" s="94"/>
      <c r="I2190" s="94"/>
      <c r="J2190" s="94"/>
      <c r="K2190" s="93"/>
      <c r="L2190" s="86"/>
      <c r="M2190" s="161"/>
      <c r="N2190" s="86"/>
      <c r="O2190" s="86"/>
      <c r="P2190" s="86"/>
      <c r="Q2190" s="85"/>
      <c r="S2190" s="85"/>
      <c r="T2190" s="85"/>
      <c r="U2190" s="85"/>
      <c r="V2190" s="85"/>
      <c r="W2190" s="85"/>
      <c r="X2190" s="85"/>
    </row>
    <row r="2191" spans="2:24" s="58" customFormat="1" ht="12" x14ac:dyDescent="0.2">
      <c r="B2191" s="91"/>
      <c r="E2191" s="92"/>
      <c r="F2191" s="93"/>
      <c r="G2191" s="94"/>
      <c r="H2191" s="94"/>
      <c r="I2191" s="94"/>
      <c r="J2191" s="94"/>
      <c r="K2191" s="93"/>
      <c r="L2191" s="86"/>
      <c r="M2191" s="161"/>
      <c r="N2191" s="86"/>
      <c r="O2191" s="86"/>
      <c r="P2191" s="86"/>
      <c r="Q2191" s="85"/>
      <c r="S2191" s="85"/>
      <c r="T2191" s="85"/>
      <c r="U2191" s="85"/>
      <c r="V2191" s="85"/>
      <c r="W2191" s="85"/>
      <c r="X2191" s="85"/>
    </row>
    <row r="2192" spans="2:24" s="58" customFormat="1" ht="12" x14ac:dyDescent="0.2">
      <c r="B2192" s="91"/>
      <c r="E2192" s="92"/>
      <c r="F2192" s="93"/>
      <c r="G2192" s="94"/>
      <c r="H2192" s="94"/>
      <c r="I2192" s="94"/>
      <c r="J2192" s="94"/>
      <c r="K2192" s="93"/>
      <c r="L2192" s="86"/>
      <c r="M2192" s="161"/>
      <c r="N2192" s="86"/>
      <c r="O2192" s="86"/>
      <c r="P2192" s="86"/>
      <c r="Q2192" s="85"/>
      <c r="S2192" s="85"/>
      <c r="T2192" s="85"/>
      <c r="U2192" s="85"/>
      <c r="V2192" s="85"/>
      <c r="W2192" s="85"/>
      <c r="X2192" s="85"/>
    </row>
    <row r="2193" spans="2:24" s="58" customFormat="1" ht="12" x14ac:dyDescent="0.2">
      <c r="B2193" s="91"/>
      <c r="E2193" s="92"/>
      <c r="F2193" s="93"/>
      <c r="G2193" s="94"/>
      <c r="H2193" s="94"/>
      <c r="I2193" s="94"/>
      <c r="J2193" s="94"/>
      <c r="K2193" s="93"/>
      <c r="L2193" s="86"/>
      <c r="M2193" s="161"/>
      <c r="N2193" s="86"/>
      <c r="O2193" s="86"/>
      <c r="P2193" s="86"/>
      <c r="Q2193" s="85"/>
      <c r="S2193" s="85"/>
      <c r="T2193" s="85"/>
      <c r="U2193" s="85"/>
      <c r="V2193" s="85"/>
      <c r="W2193" s="85"/>
      <c r="X2193" s="85"/>
    </row>
    <row r="2194" spans="2:24" s="58" customFormat="1" ht="12" x14ac:dyDescent="0.2">
      <c r="B2194" s="91"/>
      <c r="E2194" s="92"/>
      <c r="F2194" s="93"/>
      <c r="G2194" s="94"/>
      <c r="H2194" s="94"/>
      <c r="I2194" s="94"/>
      <c r="J2194" s="94"/>
      <c r="K2194" s="93"/>
      <c r="L2194" s="86"/>
      <c r="M2194" s="161"/>
      <c r="N2194" s="86"/>
      <c r="O2194" s="86"/>
      <c r="P2194" s="86"/>
      <c r="Q2194" s="85"/>
      <c r="S2194" s="85"/>
      <c r="T2194" s="85"/>
      <c r="U2194" s="85"/>
      <c r="V2194" s="85"/>
      <c r="W2194" s="85"/>
      <c r="X2194" s="85"/>
    </row>
    <row r="2195" spans="2:24" s="58" customFormat="1" ht="12" x14ac:dyDescent="0.2">
      <c r="B2195" s="91"/>
      <c r="E2195" s="92"/>
      <c r="F2195" s="93"/>
      <c r="G2195" s="94"/>
      <c r="H2195" s="94"/>
      <c r="I2195" s="94"/>
      <c r="J2195" s="94"/>
      <c r="K2195" s="93"/>
      <c r="L2195" s="86"/>
      <c r="M2195" s="161"/>
      <c r="N2195" s="86"/>
      <c r="O2195" s="86"/>
      <c r="P2195" s="86"/>
      <c r="Q2195" s="85"/>
      <c r="S2195" s="85"/>
      <c r="T2195" s="85"/>
      <c r="U2195" s="85"/>
      <c r="V2195" s="85"/>
      <c r="W2195" s="85"/>
      <c r="X2195" s="85"/>
    </row>
    <row r="2196" spans="2:24" s="58" customFormat="1" ht="12" x14ac:dyDescent="0.2">
      <c r="B2196" s="91"/>
      <c r="E2196" s="92"/>
      <c r="F2196" s="93"/>
      <c r="G2196" s="94"/>
      <c r="H2196" s="94"/>
      <c r="I2196" s="94"/>
      <c r="J2196" s="94"/>
      <c r="K2196" s="93"/>
      <c r="L2196" s="86"/>
      <c r="M2196" s="161"/>
      <c r="N2196" s="86"/>
      <c r="O2196" s="86"/>
      <c r="P2196" s="86"/>
      <c r="Q2196" s="85"/>
      <c r="S2196" s="85"/>
      <c r="T2196" s="85"/>
      <c r="U2196" s="85"/>
      <c r="V2196" s="85"/>
      <c r="W2196" s="85"/>
      <c r="X2196" s="85"/>
    </row>
    <row r="2197" spans="2:24" s="58" customFormat="1" ht="12" x14ac:dyDescent="0.2">
      <c r="B2197" s="91"/>
      <c r="E2197" s="92"/>
      <c r="F2197" s="93"/>
      <c r="G2197" s="94"/>
      <c r="H2197" s="94"/>
      <c r="I2197" s="94"/>
      <c r="J2197" s="94"/>
      <c r="K2197" s="93"/>
      <c r="L2197" s="86"/>
      <c r="M2197" s="161"/>
      <c r="N2197" s="86"/>
      <c r="O2197" s="86"/>
      <c r="P2197" s="86"/>
      <c r="Q2197" s="85"/>
      <c r="S2197" s="85"/>
      <c r="T2197" s="85"/>
      <c r="U2197" s="85"/>
      <c r="V2197" s="85"/>
      <c r="W2197" s="85"/>
      <c r="X2197" s="85"/>
    </row>
    <row r="2198" spans="2:24" s="58" customFormat="1" ht="12" x14ac:dyDescent="0.2">
      <c r="B2198" s="91"/>
      <c r="E2198" s="92"/>
      <c r="F2198" s="93"/>
      <c r="G2198" s="94"/>
      <c r="H2198" s="94"/>
      <c r="I2198" s="94"/>
      <c r="J2198" s="94"/>
      <c r="K2198" s="93"/>
      <c r="L2198" s="86"/>
      <c r="M2198" s="161"/>
      <c r="N2198" s="86"/>
      <c r="O2198" s="86"/>
      <c r="P2198" s="86"/>
      <c r="Q2198" s="85"/>
      <c r="S2198" s="85"/>
      <c r="T2198" s="85"/>
      <c r="U2198" s="85"/>
      <c r="V2198" s="85"/>
      <c r="W2198" s="85"/>
      <c r="X2198" s="85"/>
    </row>
    <row r="2199" spans="2:24" s="58" customFormat="1" ht="12" x14ac:dyDescent="0.2">
      <c r="B2199" s="91"/>
      <c r="E2199" s="92"/>
      <c r="F2199" s="93"/>
      <c r="G2199" s="94"/>
      <c r="H2199" s="94"/>
      <c r="I2199" s="94"/>
      <c r="J2199" s="94"/>
      <c r="K2199" s="93"/>
      <c r="L2199" s="86"/>
      <c r="M2199" s="161"/>
      <c r="N2199" s="86"/>
      <c r="O2199" s="86"/>
      <c r="P2199" s="86"/>
      <c r="Q2199" s="85"/>
      <c r="S2199" s="85"/>
      <c r="T2199" s="85"/>
      <c r="U2199" s="85"/>
      <c r="V2199" s="85"/>
      <c r="W2199" s="85"/>
      <c r="X2199" s="85"/>
    </row>
    <row r="2200" spans="2:24" s="58" customFormat="1" ht="12" x14ac:dyDescent="0.2">
      <c r="B2200" s="91"/>
      <c r="E2200" s="92"/>
      <c r="F2200" s="93"/>
      <c r="G2200" s="94"/>
      <c r="H2200" s="94"/>
      <c r="I2200" s="94"/>
      <c r="J2200" s="94"/>
      <c r="K2200" s="93"/>
      <c r="L2200" s="86"/>
      <c r="M2200" s="161"/>
      <c r="N2200" s="86"/>
      <c r="O2200" s="86"/>
      <c r="P2200" s="86"/>
      <c r="Q2200" s="85"/>
      <c r="S2200" s="85"/>
      <c r="T2200" s="85"/>
      <c r="U2200" s="85"/>
      <c r="V2200" s="85"/>
      <c r="W2200" s="85"/>
      <c r="X2200" s="85"/>
    </row>
    <row r="2201" spans="2:24" s="58" customFormat="1" ht="12" x14ac:dyDescent="0.2">
      <c r="B2201" s="91"/>
      <c r="E2201" s="92"/>
      <c r="F2201" s="93"/>
      <c r="G2201" s="94"/>
      <c r="H2201" s="94"/>
      <c r="I2201" s="94"/>
      <c r="J2201" s="94"/>
      <c r="K2201" s="93"/>
      <c r="L2201" s="86"/>
      <c r="M2201" s="161"/>
      <c r="N2201" s="86"/>
      <c r="O2201" s="86"/>
      <c r="P2201" s="86"/>
      <c r="Q2201" s="85"/>
      <c r="S2201" s="85"/>
      <c r="T2201" s="85"/>
      <c r="U2201" s="85"/>
      <c r="V2201" s="85"/>
      <c r="W2201" s="85"/>
      <c r="X2201" s="85"/>
    </row>
    <row r="2202" spans="2:24" s="58" customFormat="1" ht="12" x14ac:dyDescent="0.2">
      <c r="B2202" s="91"/>
      <c r="E2202" s="92"/>
      <c r="F2202" s="93"/>
      <c r="G2202" s="94"/>
      <c r="H2202" s="94"/>
      <c r="I2202" s="94"/>
      <c r="J2202" s="94"/>
      <c r="K2202" s="93"/>
      <c r="L2202" s="86"/>
      <c r="M2202" s="161"/>
      <c r="N2202" s="86"/>
      <c r="O2202" s="86"/>
      <c r="P2202" s="86"/>
      <c r="Q2202" s="85"/>
      <c r="S2202" s="85"/>
      <c r="T2202" s="85"/>
      <c r="U2202" s="85"/>
      <c r="V2202" s="85"/>
      <c r="W2202" s="85"/>
      <c r="X2202" s="85"/>
    </row>
    <row r="2203" spans="2:24" s="58" customFormat="1" ht="12" x14ac:dyDescent="0.2">
      <c r="B2203" s="91"/>
      <c r="E2203" s="92"/>
      <c r="F2203" s="93"/>
      <c r="G2203" s="94"/>
      <c r="H2203" s="94"/>
      <c r="I2203" s="94"/>
      <c r="J2203" s="94"/>
      <c r="K2203" s="93"/>
      <c r="L2203" s="86"/>
      <c r="M2203" s="161"/>
      <c r="N2203" s="86"/>
      <c r="O2203" s="86"/>
      <c r="P2203" s="86"/>
      <c r="Q2203" s="85"/>
      <c r="S2203" s="85"/>
      <c r="T2203" s="85"/>
      <c r="U2203" s="85"/>
      <c r="V2203" s="85"/>
      <c r="W2203" s="85"/>
      <c r="X2203" s="85"/>
    </row>
    <row r="2204" spans="2:24" s="58" customFormat="1" ht="12" x14ac:dyDescent="0.2">
      <c r="B2204" s="91"/>
      <c r="E2204" s="92"/>
      <c r="F2204" s="93"/>
      <c r="G2204" s="94"/>
      <c r="H2204" s="94"/>
      <c r="I2204" s="94"/>
      <c r="J2204" s="94"/>
      <c r="K2204" s="93"/>
      <c r="L2204" s="86"/>
      <c r="M2204" s="161"/>
      <c r="N2204" s="86"/>
      <c r="O2204" s="86"/>
      <c r="P2204" s="86"/>
      <c r="Q2204" s="85"/>
      <c r="S2204" s="85"/>
      <c r="T2204" s="85"/>
      <c r="U2204" s="85"/>
      <c r="V2204" s="85"/>
      <c r="W2204" s="85"/>
      <c r="X2204" s="85"/>
    </row>
    <row r="2205" spans="2:24" s="58" customFormat="1" ht="12" x14ac:dyDescent="0.2">
      <c r="B2205" s="91"/>
      <c r="E2205" s="92"/>
      <c r="F2205" s="93"/>
      <c r="G2205" s="94"/>
      <c r="H2205" s="94"/>
      <c r="I2205" s="94"/>
      <c r="J2205" s="94"/>
      <c r="K2205" s="93"/>
      <c r="L2205" s="86"/>
      <c r="M2205" s="161"/>
      <c r="N2205" s="86"/>
      <c r="O2205" s="86"/>
      <c r="P2205" s="86"/>
      <c r="Q2205" s="85"/>
      <c r="S2205" s="85"/>
      <c r="T2205" s="85"/>
      <c r="U2205" s="85"/>
      <c r="V2205" s="85"/>
      <c r="W2205" s="85"/>
      <c r="X2205" s="85"/>
    </row>
    <row r="2206" spans="2:24" s="58" customFormat="1" ht="12" x14ac:dyDescent="0.2">
      <c r="B2206" s="91"/>
      <c r="E2206" s="92"/>
      <c r="F2206" s="93"/>
      <c r="G2206" s="94"/>
      <c r="H2206" s="94"/>
      <c r="I2206" s="94"/>
      <c r="J2206" s="94"/>
      <c r="K2206" s="93"/>
      <c r="L2206" s="86"/>
      <c r="M2206" s="161"/>
      <c r="N2206" s="86"/>
      <c r="O2206" s="86"/>
      <c r="P2206" s="86"/>
      <c r="Q2206" s="85"/>
      <c r="S2206" s="85"/>
      <c r="T2206" s="85"/>
      <c r="U2206" s="85"/>
      <c r="V2206" s="85"/>
      <c r="W2206" s="85"/>
      <c r="X2206" s="85"/>
    </row>
    <row r="2207" spans="2:24" s="58" customFormat="1" ht="12" x14ac:dyDescent="0.2">
      <c r="B2207" s="91"/>
      <c r="E2207" s="92"/>
      <c r="F2207" s="93"/>
      <c r="G2207" s="94"/>
      <c r="H2207" s="94"/>
      <c r="I2207" s="94"/>
      <c r="J2207" s="94"/>
      <c r="K2207" s="93"/>
      <c r="L2207" s="86"/>
      <c r="M2207" s="161"/>
      <c r="N2207" s="86"/>
      <c r="O2207" s="86"/>
      <c r="P2207" s="86"/>
      <c r="Q2207" s="85"/>
      <c r="S2207" s="85"/>
      <c r="T2207" s="85"/>
      <c r="U2207" s="85"/>
      <c r="V2207" s="85"/>
      <c r="W2207" s="85"/>
      <c r="X2207" s="85"/>
    </row>
    <row r="2208" spans="2:24" s="58" customFormat="1" ht="12" x14ac:dyDescent="0.2">
      <c r="B2208" s="91"/>
      <c r="E2208" s="92"/>
      <c r="F2208" s="93"/>
      <c r="G2208" s="94"/>
      <c r="H2208" s="94"/>
      <c r="I2208" s="94"/>
      <c r="J2208" s="94"/>
      <c r="K2208" s="93"/>
      <c r="L2208" s="86"/>
      <c r="M2208" s="161"/>
      <c r="N2208" s="86"/>
      <c r="O2208" s="86"/>
      <c r="P2208" s="86"/>
      <c r="Q2208" s="85"/>
      <c r="S2208" s="85"/>
      <c r="T2208" s="85"/>
      <c r="U2208" s="85"/>
      <c r="V2208" s="85"/>
      <c r="W2208" s="85"/>
      <c r="X2208" s="85"/>
    </row>
    <row r="2209" spans="2:24" s="58" customFormat="1" ht="12" x14ac:dyDescent="0.2">
      <c r="B2209" s="91"/>
      <c r="E2209" s="92"/>
      <c r="F2209" s="93"/>
      <c r="G2209" s="94"/>
      <c r="H2209" s="94"/>
      <c r="I2209" s="94"/>
      <c r="J2209" s="94"/>
      <c r="K2209" s="93"/>
      <c r="L2209" s="86"/>
      <c r="M2209" s="161"/>
      <c r="N2209" s="86"/>
      <c r="O2209" s="86"/>
      <c r="P2209" s="86"/>
      <c r="Q2209" s="85"/>
      <c r="S2209" s="85"/>
      <c r="T2209" s="85"/>
      <c r="U2209" s="85"/>
      <c r="V2209" s="85"/>
      <c r="W2209" s="85"/>
      <c r="X2209" s="85"/>
    </row>
    <row r="2210" spans="2:24" s="58" customFormat="1" ht="12" x14ac:dyDescent="0.2">
      <c r="B2210" s="91"/>
      <c r="E2210" s="92"/>
      <c r="F2210" s="93"/>
      <c r="G2210" s="94"/>
      <c r="H2210" s="94"/>
      <c r="I2210" s="94"/>
      <c r="J2210" s="94"/>
      <c r="K2210" s="93"/>
      <c r="L2210" s="86"/>
      <c r="M2210" s="161"/>
      <c r="N2210" s="86"/>
      <c r="O2210" s="86"/>
      <c r="P2210" s="86"/>
      <c r="Q2210" s="85"/>
      <c r="S2210" s="85"/>
      <c r="T2210" s="85"/>
      <c r="U2210" s="85"/>
      <c r="V2210" s="85"/>
      <c r="W2210" s="85"/>
      <c r="X2210" s="85"/>
    </row>
    <row r="2211" spans="2:24" s="58" customFormat="1" ht="12" x14ac:dyDescent="0.2">
      <c r="B2211" s="91"/>
      <c r="E2211" s="92"/>
      <c r="F2211" s="93"/>
      <c r="G2211" s="94"/>
      <c r="H2211" s="94"/>
      <c r="I2211" s="94"/>
      <c r="J2211" s="94"/>
      <c r="K2211" s="93"/>
      <c r="L2211" s="86"/>
      <c r="M2211" s="161"/>
      <c r="N2211" s="86"/>
      <c r="O2211" s="86"/>
      <c r="P2211" s="86"/>
      <c r="Q2211" s="85"/>
      <c r="S2211" s="85"/>
      <c r="T2211" s="85"/>
      <c r="U2211" s="85"/>
      <c r="V2211" s="85"/>
      <c r="W2211" s="85"/>
      <c r="X2211" s="85"/>
    </row>
    <row r="2212" spans="2:24" s="58" customFormat="1" ht="12" x14ac:dyDescent="0.2">
      <c r="B2212" s="91"/>
      <c r="E2212" s="92"/>
      <c r="F2212" s="93"/>
      <c r="G2212" s="94"/>
      <c r="H2212" s="94"/>
      <c r="I2212" s="94"/>
      <c r="J2212" s="94"/>
      <c r="K2212" s="93"/>
      <c r="L2212" s="86"/>
      <c r="M2212" s="161"/>
      <c r="N2212" s="86"/>
      <c r="O2212" s="86"/>
      <c r="P2212" s="86"/>
      <c r="Q2212" s="85"/>
      <c r="S2212" s="85"/>
      <c r="T2212" s="85"/>
      <c r="U2212" s="85"/>
      <c r="V2212" s="85"/>
      <c r="W2212" s="85"/>
      <c r="X2212" s="85"/>
    </row>
    <row r="2213" spans="2:24" s="58" customFormat="1" ht="12" x14ac:dyDescent="0.2">
      <c r="B2213" s="91"/>
      <c r="E2213" s="92"/>
      <c r="F2213" s="93"/>
      <c r="G2213" s="94"/>
      <c r="H2213" s="94"/>
      <c r="I2213" s="94"/>
      <c r="J2213" s="94"/>
      <c r="K2213" s="93"/>
      <c r="L2213" s="86"/>
      <c r="M2213" s="161"/>
      <c r="N2213" s="86"/>
      <c r="O2213" s="86"/>
      <c r="P2213" s="86"/>
      <c r="Q2213" s="85"/>
      <c r="S2213" s="85"/>
      <c r="T2213" s="85"/>
      <c r="U2213" s="85"/>
      <c r="V2213" s="85"/>
      <c r="W2213" s="85"/>
      <c r="X2213" s="85"/>
    </row>
    <row r="2214" spans="2:24" s="58" customFormat="1" ht="12" x14ac:dyDescent="0.2">
      <c r="B2214" s="91"/>
      <c r="E2214" s="92"/>
      <c r="F2214" s="93"/>
      <c r="G2214" s="94"/>
      <c r="H2214" s="94"/>
      <c r="I2214" s="94"/>
      <c r="J2214" s="94"/>
      <c r="K2214" s="93"/>
      <c r="L2214" s="86"/>
      <c r="M2214" s="161"/>
      <c r="N2214" s="86"/>
      <c r="O2214" s="86"/>
      <c r="P2214" s="86"/>
      <c r="Q2214" s="85"/>
      <c r="S2214" s="85"/>
      <c r="T2214" s="85"/>
      <c r="U2214" s="85"/>
      <c r="V2214" s="85"/>
      <c r="W2214" s="85"/>
      <c r="X2214" s="85"/>
    </row>
    <row r="2215" spans="2:24" s="58" customFormat="1" ht="12" x14ac:dyDescent="0.2">
      <c r="B2215" s="91"/>
      <c r="E2215" s="92"/>
      <c r="F2215" s="93"/>
      <c r="G2215" s="94"/>
      <c r="H2215" s="94"/>
      <c r="I2215" s="94"/>
      <c r="J2215" s="94"/>
      <c r="K2215" s="93"/>
      <c r="L2215" s="86"/>
      <c r="M2215" s="161"/>
      <c r="N2215" s="86"/>
      <c r="O2215" s="86"/>
      <c r="P2215" s="86"/>
      <c r="Q2215" s="85"/>
      <c r="S2215" s="85"/>
      <c r="T2215" s="85"/>
      <c r="U2215" s="85"/>
      <c r="V2215" s="85"/>
      <c r="W2215" s="85"/>
      <c r="X2215" s="85"/>
    </row>
    <row r="2216" spans="2:24" s="58" customFormat="1" ht="12" x14ac:dyDescent="0.2">
      <c r="B2216" s="91"/>
      <c r="E2216" s="92"/>
      <c r="F2216" s="93"/>
      <c r="G2216" s="94"/>
      <c r="H2216" s="94"/>
      <c r="I2216" s="94"/>
      <c r="J2216" s="94"/>
      <c r="K2216" s="93"/>
      <c r="L2216" s="86"/>
      <c r="M2216" s="161"/>
      <c r="N2216" s="86"/>
      <c r="O2216" s="86"/>
      <c r="P2216" s="86"/>
      <c r="Q2216" s="85"/>
      <c r="S2216" s="85"/>
      <c r="T2216" s="85"/>
      <c r="U2216" s="85"/>
      <c r="V2216" s="85"/>
      <c r="W2216" s="85"/>
      <c r="X2216" s="85"/>
    </row>
    <row r="2217" spans="2:24" s="58" customFormat="1" ht="12" x14ac:dyDescent="0.2">
      <c r="B2217" s="91"/>
      <c r="E2217" s="92"/>
      <c r="F2217" s="93"/>
      <c r="G2217" s="94"/>
      <c r="H2217" s="94"/>
      <c r="I2217" s="94"/>
      <c r="J2217" s="94"/>
      <c r="K2217" s="93"/>
      <c r="L2217" s="86"/>
      <c r="M2217" s="161"/>
      <c r="N2217" s="86"/>
      <c r="O2217" s="86"/>
      <c r="P2217" s="86"/>
      <c r="Q2217" s="85"/>
      <c r="S2217" s="85"/>
      <c r="T2217" s="85"/>
      <c r="U2217" s="85"/>
      <c r="V2217" s="85"/>
      <c r="W2217" s="85"/>
      <c r="X2217" s="85"/>
    </row>
    <row r="2218" spans="2:24" s="58" customFormat="1" ht="12" x14ac:dyDescent="0.2">
      <c r="B2218" s="91"/>
      <c r="E2218" s="92"/>
      <c r="F2218" s="93"/>
      <c r="G2218" s="94"/>
      <c r="H2218" s="94"/>
      <c r="I2218" s="94"/>
      <c r="J2218" s="94"/>
      <c r="K2218" s="93"/>
      <c r="L2218" s="86"/>
      <c r="M2218" s="161"/>
      <c r="N2218" s="86"/>
      <c r="O2218" s="86"/>
      <c r="P2218" s="86"/>
      <c r="Q2218" s="85"/>
      <c r="S2218" s="85"/>
      <c r="T2218" s="85"/>
      <c r="U2218" s="85"/>
      <c r="V2218" s="85"/>
      <c r="W2218" s="85"/>
      <c r="X2218" s="85"/>
    </row>
    <row r="2219" spans="2:24" s="58" customFormat="1" ht="12" x14ac:dyDescent="0.2">
      <c r="B2219" s="91"/>
      <c r="E2219" s="92"/>
      <c r="F2219" s="93"/>
      <c r="G2219" s="94"/>
      <c r="H2219" s="94"/>
      <c r="I2219" s="94"/>
      <c r="J2219" s="94"/>
      <c r="K2219" s="93"/>
      <c r="L2219" s="86"/>
      <c r="M2219" s="161"/>
      <c r="N2219" s="86"/>
      <c r="O2219" s="86"/>
      <c r="P2219" s="86"/>
      <c r="Q2219" s="85"/>
      <c r="S2219" s="85"/>
      <c r="T2219" s="85"/>
      <c r="U2219" s="85"/>
      <c r="V2219" s="85"/>
      <c r="W2219" s="85"/>
      <c r="X2219" s="85"/>
    </row>
    <row r="2220" spans="2:24" s="58" customFormat="1" ht="12" x14ac:dyDescent="0.2">
      <c r="B2220" s="91"/>
      <c r="E2220" s="92"/>
      <c r="F2220" s="93"/>
      <c r="G2220" s="94"/>
      <c r="H2220" s="94"/>
      <c r="I2220" s="94"/>
      <c r="J2220" s="94"/>
      <c r="K2220" s="93"/>
      <c r="L2220" s="86"/>
      <c r="M2220" s="161"/>
      <c r="N2220" s="86"/>
      <c r="O2220" s="86"/>
      <c r="P2220" s="86"/>
      <c r="Q2220" s="85"/>
      <c r="S2220" s="85"/>
      <c r="T2220" s="85"/>
      <c r="U2220" s="85"/>
      <c r="V2220" s="85"/>
      <c r="W2220" s="85"/>
      <c r="X2220" s="85"/>
    </row>
    <row r="2221" spans="2:24" s="58" customFormat="1" ht="12" x14ac:dyDescent="0.2">
      <c r="B2221" s="91"/>
      <c r="E2221" s="92"/>
      <c r="F2221" s="93"/>
      <c r="G2221" s="94"/>
      <c r="H2221" s="94"/>
      <c r="I2221" s="94"/>
      <c r="J2221" s="94"/>
      <c r="K2221" s="93"/>
      <c r="L2221" s="86"/>
      <c r="M2221" s="161"/>
      <c r="N2221" s="86"/>
      <c r="O2221" s="86"/>
      <c r="P2221" s="86"/>
      <c r="Q2221" s="85"/>
      <c r="S2221" s="85"/>
      <c r="T2221" s="85"/>
      <c r="U2221" s="85"/>
      <c r="V2221" s="85"/>
      <c r="W2221" s="85"/>
      <c r="X2221" s="85"/>
    </row>
    <row r="2222" spans="2:24" s="58" customFormat="1" ht="12" x14ac:dyDescent="0.2">
      <c r="B2222" s="91"/>
      <c r="E2222" s="92"/>
      <c r="F2222" s="93"/>
      <c r="G2222" s="94"/>
      <c r="H2222" s="94"/>
      <c r="I2222" s="94"/>
      <c r="J2222" s="94"/>
      <c r="K2222" s="93"/>
      <c r="L2222" s="86"/>
      <c r="M2222" s="161"/>
      <c r="N2222" s="86"/>
      <c r="O2222" s="86"/>
      <c r="P2222" s="86"/>
      <c r="Q2222" s="85"/>
      <c r="S2222" s="85"/>
      <c r="T2222" s="85"/>
      <c r="U2222" s="85"/>
      <c r="V2222" s="85"/>
      <c r="W2222" s="85"/>
      <c r="X2222" s="85"/>
    </row>
    <row r="2223" spans="2:24" s="58" customFormat="1" ht="12" x14ac:dyDescent="0.2">
      <c r="B2223" s="91"/>
      <c r="E2223" s="92"/>
      <c r="F2223" s="93"/>
      <c r="G2223" s="94"/>
      <c r="H2223" s="94"/>
      <c r="I2223" s="94"/>
      <c r="J2223" s="94"/>
      <c r="K2223" s="93"/>
      <c r="L2223" s="86"/>
      <c r="M2223" s="161"/>
      <c r="N2223" s="86"/>
      <c r="O2223" s="86"/>
      <c r="P2223" s="86"/>
      <c r="Q2223" s="85"/>
      <c r="S2223" s="85"/>
      <c r="T2223" s="85"/>
      <c r="U2223" s="85"/>
      <c r="V2223" s="85"/>
      <c r="W2223" s="85"/>
      <c r="X2223" s="85"/>
    </row>
    <row r="2224" spans="2:24" s="58" customFormat="1" ht="12" x14ac:dyDescent="0.2">
      <c r="B2224" s="91"/>
      <c r="E2224" s="92"/>
      <c r="F2224" s="93"/>
      <c r="G2224" s="94"/>
      <c r="H2224" s="94"/>
      <c r="I2224" s="94"/>
      <c r="J2224" s="94"/>
      <c r="K2224" s="93"/>
      <c r="L2224" s="86"/>
      <c r="M2224" s="161"/>
      <c r="N2224" s="86"/>
      <c r="O2224" s="86"/>
      <c r="P2224" s="86"/>
      <c r="Q2224" s="85"/>
      <c r="S2224" s="85"/>
      <c r="T2224" s="85"/>
      <c r="U2224" s="85"/>
      <c r="V2224" s="85"/>
      <c r="W2224" s="85"/>
      <c r="X2224" s="85"/>
    </row>
    <row r="2225" spans="2:24" s="58" customFormat="1" ht="12" x14ac:dyDescent="0.2">
      <c r="B2225" s="91"/>
      <c r="E2225" s="92"/>
      <c r="F2225" s="93"/>
      <c r="G2225" s="94"/>
      <c r="H2225" s="94"/>
      <c r="I2225" s="94"/>
      <c r="J2225" s="94"/>
      <c r="K2225" s="93"/>
      <c r="L2225" s="86"/>
      <c r="M2225" s="161"/>
      <c r="N2225" s="86"/>
      <c r="O2225" s="86"/>
      <c r="P2225" s="86"/>
      <c r="Q2225" s="85"/>
      <c r="S2225" s="85"/>
      <c r="T2225" s="85"/>
      <c r="U2225" s="85"/>
      <c r="V2225" s="85"/>
      <c r="W2225" s="85"/>
      <c r="X2225" s="85"/>
    </row>
    <row r="2226" spans="2:24" s="58" customFormat="1" ht="12" x14ac:dyDescent="0.2">
      <c r="B2226" s="91"/>
      <c r="E2226" s="92"/>
      <c r="F2226" s="93"/>
      <c r="G2226" s="94"/>
      <c r="H2226" s="94"/>
      <c r="I2226" s="94"/>
      <c r="J2226" s="94"/>
      <c r="K2226" s="93"/>
      <c r="L2226" s="86"/>
      <c r="M2226" s="161"/>
      <c r="N2226" s="86"/>
      <c r="O2226" s="86"/>
      <c r="P2226" s="86"/>
      <c r="Q2226" s="85"/>
      <c r="S2226" s="85"/>
      <c r="T2226" s="85"/>
      <c r="U2226" s="85"/>
      <c r="V2226" s="85"/>
      <c r="W2226" s="85"/>
      <c r="X2226" s="85"/>
    </row>
    <row r="2227" spans="2:24" s="58" customFormat="1" ht="12" x14ac:dyDescent="0.2">
      <c r="B2227" s="91"/>
      <c r="E2227" s="92"/>
      <c r="F2227" s="93"/>
      <c r="G2227" s="94"/>
      <c r="H2227" s="94"/>
      <c r="I2227" s="94"/>
      <c r="J2227" s="94"/>
      <c r="K2227" s="93"/>
      <c r="L2227" s="86"/>
      <c r="M2227" s="161"/>
      <c r="N2227" s="86"/>
      <c r="O2227" s="86"/>
      <c r="P2227" s="86"/>
      <c r="Q2227" s="85"/>
      <c r="S2227" s="85"/>
      <c r="T2227" s="85"/>
      <c r="U2227" s="85"/>
      <c r="V2227" s="85"/>
      <c r="W2227" s="85"/>
      <c r="X2227" s="85"/>
    </row>
    <row r="2228" spans="2:24" s="58" customFormat="1" ht="12" x14ac:dyDescent="0.2">
      <c r="B2228" s="91"/>
      <c r="E2228" s="92"/>
      <c r="F2228" s="93"/>
      <c r="G2228" s="94"/>
      <c r="H2228" s="94"/>
      <c r="I2228" s="94"/>
      <c r="J2228" s="94"/>
      <c r="K2228" s="93"/>
      <c r="L2228" s="86"/>
      <c r="M2228" s="161"/>
      <c r="N2228" s="86"/>
      <c r="O2228" s="86"/>
      <c r="P2228" s="86"/>
      <c r="Q2228" s="85"/>
      <c r="S2228" s="85"/>
      <c r="T2228" s="85"/>
      <c r="U2228" s="85"/>
      <c r="V2228" s="85"/>
      <c r="W2228" s="85"/>
      <c r="X2228" s="85"/>
    </row>
    <row r="2229" spans="2:24" s="58" customFormat="1" ht="12" x14ac:dyDescent="0.2">
      <c r="B2229" s="91"/>
      <c r="E2229" s="92"/>
      <c r="F2229" s="93"/>
      <c r="G2229" s="94"/>
      <c r="H2229" s="94"/>
      <c r="I2229" s="94"/>
      <c r="J2229" s="94"/>
      <c r="K2229" s="93"/>
      <c r="L2229" s="86"/>
      <c r="M2229" s="161"/>
      <c r="N2229" s="86"/>
      <c r="O2229" s="86"/>
      <c r="P2229" s="86"/>
      <c r="Q2229" s="85"/>
      <c r="S2229" s="85"/>
      <c r="T2229" s="85"/>
      <c r="U2229" s="85"/>
      <c r="V2229" s="85"/>
      <c r="W2229" s="85"/>
      <c r="X2229" s="85"/>
    </row>
    <row r="2230" spans="2:24" s="58" customFormat="1" ht="12" x14ac:dyDescent="0.2">
      <c r="B2230" s="91"/>
      <c r="E2230" s="92"/>
      <c r="F2230" s="93"/>
      <c r="G2230" s="94"/>
      <c r="H2230" s="94"/>
      <c r="I2230" s="94"/>
      <c r="J2230" s="94"/>
      <c r="K2230" s="93"/>
      <c r="L2230" s="86"/>
      <c r="M2230" s="161"/>
      <c r="N2230" s="86"/>
      <c r="O2230" s="86"/>
      <c r="P2230" s="86"/>
      <c r="Q2230" s="85"/>
      <c r="S2230" s="85"/>
      <c r="T2230" s="85"/>
      <c r="U2230" s="85"/>
      <c r="V2230" s="85"/>
      <c r="W2230" s="85"/>
      <c r="X2230" s="85"/>
    </row>
    <row r="2231" spans="2:24" s="58" customFormat="1" ht="12" x14ac:dyDescent="0.2">
      <c r="B2231" s="91"/>
      <c r="E2231" s="92"/>
      <c r="F2231" s="93"/>
      <c r="G2231" s="94"/>
      <c r="H2231" s="94"/>
      <c r="I2231" s="94"/>
      <c r="J2231" s="94"/>
      <c r="K2231" s="93"/>
      <c r="L2231" s="86"/>
      <c r="M2231" s="161"/>
      <c r="N2231" s="86"/>
      <c r="O2231" s="86"/>
      <c r="P2231" s="86"/>
      <c r="Q2231" s="85"/>
      <c r="S2231" s="85"/>
      <c r="T2231" s="85"/>
      <c r="U2231" s="85"/>
      <c r="V2231" s="85"/>
      <c r="W2231" s="85"/>
      <c r="X2231" s="85"/>
    </row>
    <row r="2232" spans="2:24" s="58" customFormat="1" ht="12" x14ac:dyDescent="0.2">
      <c r="B2232" s="91"/>
      <c r="E2232" s="92"/>
      <c r="F2232" s="93"/>
      <c r="G2232" s="94"/>
      <c r="H2232" s="94"/>
      <c r="I2232" s="94"/>
      <c r="J2232" s="94"/>
      <c r="K2232" s="93"/>
      <c r="L2232" s="86"/>
      <c r="M2232" s="161"/>
      <c r="N2232" s="86"/>
      <c r="O2232" s="86"/>
      <c r="P2232" s="86"/>
      <c r="Q2232" s="85"/>
      <c r="S2232" s="85"/>
      <c r="T2232" s="85"/>
      <c r="U2232" s="85"/>
      <c r="V2232" s="85"/>
      <c r="W2232" s="85"/>
      <c r="X2232" s="85"/>
    </row>
    <row r="2233" spans="2:24" s="58" customFormat="1" ht="12" x14ac:dyDescent="0.2">
      <c r="B2233" s="91"/>
      <c r="E2233" s="92"/>
      <c r="F2233" s="93"/>
      <c r="G2233" s="94"/>
      <c r="H2233" s="94"/>
      <c r="I2233" s="94"/>
      <c r="J2233" s="94"/>
      <c r="K2233" s="93"/>
      <c r="L2233" s="86"/>
      <c r="M2233" s="161"/>
      <c r="N2233" s="86"/>
      <c r="O2233" s="86"/>
      <c r="P2233" s="86"/>
      <c r="Q2233" s="85"/>
      <c r="S2233" s="85"/>
      <c r="T2233" s="85"/>
      <c r="U2233" s="85"/>
      <c r="V2233" s="85"/>
      <c r="W2233" s="85"/>
      <c r="X2233" s="85"/>
    </row>
    <row r="2234" spans="2:24" s="58" customFormat="1" ht="12" x14ac:dyDescent="0.2">
      <c r="B2234" s="91"/>
      <c r="E2234" s="92"/>
      <c r="F2234" s="93"/>
      <c r="G2234" s="94"/>
      <c r="H2234" s="94"/>
      <c r="I2234" s="94"/>
      <c r="J2234" s="94"/>
      <c r="K2234" s="93"/>
      <c r="L2234" s="86"/>
      <c r="M2234" s="161"/>
      <c r="N2234" s="86"/>
      <c r="O2234" s="86"/>
      <c r="P2234" s="86"/>
      <c r="Q2234" s="85"/>
      <c r="S2234" s="85"/>
      <c r="T2234" s="85"/>
      <c r="U2234" s="85"/>
      <c r="V2234" s="85"/>
      <c r="W2234" s="85"/>
      <c r="X2234" s="85"/>
    </row>
    <row r="2235" spans="2:24" s="58" customFormat="1" ht="12" x14ac:dyDescent="0.2">
      <c r="B2235" s="91"/>
      <c r="E2235" s="92"/>
      <c r="F2235" s="93"/>
      <c r="G2235" s="94"/>
      <c r="H2235" s="94"/>
      <c r="I2235" s="94"/>
      <c r="J2235" s="94"/>
      <c r="K2235" s="93"/>
      <c r="L2235" s="86"/>
      <c r="M2235" s="161"/>
      <c r="N2235" s="86"/>
      <c r="O2235" s="86"/>
      <c r="P2235" s="86"/>
      <c r="Q2235" s="85"/>
      <c r="S2235" s="85"/>
      <c r="T2235" s="85"/>
      <c r="U2235" s="85"/>
      <c r="V2235" s="85"/>
      <c r="W2235" s="85"/>
      <c r="X2235" s="85"/>
    </row>
    <row r="2236" spans="2:24" s="58" customFormat="1" ht="12" x14ac:dyDescent="0.2">
      <c r="B2236" s="91"/>
      <c r="E2236" s="92"/>
      <c r="F2236" s="93"/>
      <c r="G2236" s="94"/>
      <c r="H2236" s="94"/>
      <c r="I2236" s="94"/>
      <c r="J2236" s="94"/>
      <c r="K2236" s="93"/>
      <c r="L2236" s="86"/>
      <c r="M2236" s="161"/>
      <c r="N2236" s="86"/>
      <c r="O2236" s="86"/>
      <c r="P2236" s="86"/>
      <c r="Q2236" s="85"/>
      <c r="S2236" s="85"/>
      <c r="T2236" s="85"/>
      <c r="U2236" s="85"/>
      <c r="V2236" s="85"/>
      <c r="W2236" s="85"/>
      <c r="X2236" s="85"/>
    </row>
    <row r="2237" spans="2:24" s="58" customFormat="1" ht="12" x14ac:dyDescent="0.2">
      <c r="B2237" s="91"/>
      <c r="E2237" s="92"/>
      <c r="F2237" s="93"/>
      <c r="G2237" s="94"/>
      <c r="H2237" s="94"/>
      <c r="I2237" s="94"/>
      <c r="J2237" s="94"/>
      <c r="K2237" s="93"/>
      <c r="L2237" s="86"/>
      <c r="M2237" s="161"/>
      <c r="N2237" s="86"/>
      <c r="O2237" s="86"/>
      <c r="P2237" s="86"/>
      <c r="Q2237" s="85"/>
      <c r="S2237" s="85"/>
      <c r="T2237" s="85"/>
      <c r="U2237" s="85"/>
      <c r="V2237" s="85"/>
      <c r="W2237" s="85"/>
      <c r="X2237" s="85"/>
    </row>
    <row r="2238" spans="2:24" s="58" customFormat="1" ht="12" x14ac:dyDescent="0.2">
      <c r="B2238" s="91"/>
      <c r="E2238" s="92"/>
      <c r="F2238" s="93"/>
      <c r="G2238" s="94"/>
      <c r="H2238" s="94"/>
      <c r="I2238" s="94"/>
      <c r="J2238" s="94"/>
      <c r="K2238" s="93"/>
      <c r="L2238" s="86"/>
      <c r="M2238" s="161"/>
      <c r="N2238" s="86"/>
      <c r="O2238" s="86"/>
      <c r="P2238" s="86"/>
      <c r="Q2238" s="85"/>
      <c r="S2238" s="85"/>
      <c r="T2238" s="85"/>
      <c r="U2238" s="85"/>
      <c r="V2238" s="85"/>
      <c r="W2238" s="85"/>
      <c r="X2238" s="85"/>
    </row>
    <row r="2239" spans="2:24" s="58" customFormat="1" ht="12" x14ac:dyDescent="0.2">
      <c r="B2239" s="91"/>
      <c r="E2239" s="92"/>
      <c r="F2239" s="93"/>
      <c r="G2239" s="94"/>
      <c r="H2239" s="94"/>
      <c r="I2239" s="94"/>
      <c r="J2239" s="94"/>
      <c r="K2239" s="93"/>
      <c r="L2239" s="86"/>
      <c r="M2239" s="161"/>
      <c r="N2239" s="86"/>
      <c r="O2239" s="86"/>
      <c r="P2239" s="86"/>
      <c r="Q2239" s="85"/>
      <c r="S2239" s="85"/>
      <c r="T2239" s="85"/>
      <c r="U2239" s="85"/>
      <c r="V2239" s="85"/>
      <c r="W2239" s="85"/>
      <c r="X2239" s="85"/>
    </row>
    <row r="2240" spans="2:24" s="58" customFormat="1" ht="12" x14ac:dyDescent="0.2">
      <c r="B2240" s="91"/>
      <c r="E2240" s="92"/>
      <c r="F2240" s="93"/>
      <c r="G2240" s="94"/>
      <c r="H2240" s="94"/>
      <c r="I2240" s="94"/>
      <c r="J2240" s="94"/>
      <c r="K2240" s="93"/>
      <c r="L2240" s="86"/>
      <c r="M2240" s="161"/>
      <c r="N2240" s="86"/>
      <c r="O2240" s="86"/>
      <c r="P2240" s="86"/>
      <c r="Q2240" s="85"/>
      <c r="S2240" s="85"/>
      <c r="T2240" s="85"/>
      <c r="U2240" s="85"/>
      <c r="V2240" s="85"/>
      <c r="W2240" s="85"/>
      <c r="X2240" s="85"/>
    </row>
    <row r="2241" spans="2:24" s="58" customFormat="1" ht="12" x14ac:dyDescent="0.2">
      <c r="B2241" s="91"/>
      <c r="E2241" s="92"/>
      <c r="F2241" s="93"/>
      <c r="G2241" s="94"/>
      <c r="H2241" s="94"/>
      <c r="I2241" s="94"/>
      <c r="J2241" s="94"/>
      <c r="K2241" s="93"/>
      <c r="L2241" s="86"/>
      <c r="M2241" s="161"/>
      <c r="N2241" s="86"/>
      <c r="O2241" s="86"/>
      <c r="P2241" s="86"/>
      <c r="Q2241" s="85"/>
      <c r="S2241" s="85"/>
      <c r="T2241" s="85"/>
      <c r="U2241" s="85"/>
      <c r="V2241" s="85"/>
      <c r="W2241" s="85"/>
      <c r="X2241" s="85"/>
    </row>
    <row r="2242" spans="2:24" s="58" customFormat="1" ht="12" x14ac:dyDescent="0.2">
      <c r="B2242" s="91"/>
      <c r="E2242" s="92"/>
      <c r="F2242" s="93"/>
      <c r="G2242" s="94"/>
      <c r="H2242" s="94"/>
      <c r="I2242" s="94"/>
      <c r="J2242" s="94"/>
      <c r="K2242" s="93"/>
      <c r="L2242" s="86"/>
      <c r="M2242" s="161"/>
      <c r="N2242" s="86"/>
      <c r="O2242" s="86"/>
      <c r="P2242" s="86"/>
      <c r="Q2242" s="85"/>
      <c r="S2242" s="85"/>
      <c r="T2242" s="85"/>
      <c r="U2242" s="85"/>
      <c r="V2242" s="85"/>
      <c r="W2242" s="85"/>
      <c r="X2242" s="85"/>
    </row>
    <row r="2243" spans="2:24" s="58" customFormat="1" ht="12" x14ac:dyDescent="0.2">
      <c r="B2243" s="91"/>
      <c r="E2243" s="92"/>
      <c r="F2243" s="93"/>
      <c r="G2243" s="94"/>
      <c r="H2243" s="94"/>
      <c r="I2243" s="94"/>
      <c r="J2243" s="94"/>
      <c r="K2243" s="93"/>
      <c r="L2243" s="86"/>
      <c r="M2243" s="161"/>
      <c r="N2243" s="86"/>
      <c r="O2243" s="86"/>
      <c r="P2243" s="86"/>
      <c r="Q2243" s="85"/>
      <c r="S2243" s="85"/>
      <c r="T2243" s="85"/>
      <c r="U2243" s="85"/>
      <c r="V2243" s="85"/>
      <c r="W2243" s="85"/>
      <c r="X2243" s="85"/>
    </row>
    <row r="2244" spans="2:24" s="58" customFormat="1" ht="12" x14ac:dyDescent="0.2">
      <c r="B2244" s="91"/>
      <c r="E2244" s="92"/>
      <c r="F2244" s="93"/>
      <c r="G2244" s="94"/>
      <c r="H2244" s="94"/>
      <c r="I2244" s="94"/>
      <c r="J2244" s="94"/>
      <c r="K2244" s="93"/>
      <c r="L2244" s="86"/>
      <c r="M2244" s="161"/>
      <c r="N2244" s="86"/>
      <c r="O2244" s="86"/>
      <c r="P2244" s="86"/>
      <c r="Q2244" s="85"/>
      <c r="S2244" s="85"/>
      <c r="T2244" s="85"/>
      <c r="U2244" s="85"/>
      <c r="V2244" s="85"/>
      <c r="W2244" s="85"/>
      <c r="X2244" s="85"/>
    </row>
    <row r="2245" spans="2:24" s="58" customFormat="1" ht="12" x14ac:dyDescent="0.2">
      <c r="B2245" s="91"/>
      <c r="E2245" s="92"/>
      <c r="F2245" s="93"/>
      <c r="G2245" s="94"/>
      <c r="H2245" s="94"/>
      <c r="I2245" s="94"/>
      <c r="J2245" s="94"/>
      <c r="K2245" s="93"/>
      <c r="L2245" s="86"/>
      <c r="M2245" s="161"/>
      <c r="N2245" s="86"/>
      <c r="O2245" s="86"/>
      <c r="P2245" s="86"/>
      <c r="Q2245" s="85"/>
      <c r="S2245" s="85"/>
      <c r="T2245" s="85"/>
      <c r="U2245" s="85"/>
      <c r="V2245" s="85"/>
      <c r="W2245" s="85"/>
      <c r="X2245" s="85"/>
    </row>
    <row r="2246" spans="2:24" s="58" customFormat="1" ht="12" x14ac:dyDescent="0.2">
      <c r="B2246" s="91"/>
      <c r="E2246" s="92"/>
      <c r="F2246" s="93"/>
      <c r="G2246" s="94"/>
      <c r="H2246" s="94"/>
      <c r="I2246" s="94"/>
      <c r="J2246" s="94"/>
      <c r="K2246" s="93"/>
      <c r="L2246" s="86"/>
      <c r="M2246" s="161"/>
      <c r="N2246" s="86"/>
      <c r="O2246" s="86"/>
      <c r="P2246" s="86"/>
      <c r="Q2246" s="85"/>
      <c r="S2246" s="85"/>
      <c r="T2246" s="85"/>
      <c r="U2246" s="85"/>
      <c r="V2246" s="85"/>
      <c r="W2246" s="85"/>
      <c r="X2246" s="85"/>
    </row>
    <row r="2247" spans="2:24" s="58" customFormat="1" ht="12" x14ac:dyDescent="0.2">
      <c r="B2247" s="91"/>
      <c r="E2247" s="92"/>
      <c r="F2247" s="93"/>
      <c r="G2247" s="94"/>
      <c r="H2247" s="94"/>
      <c r="I2247" s="94"/>
      <c r="J2247" s="94"/>
      <c r="K2247" s="93"/>
      <c r="L2247" s="86"/>
      <c r="M2247" s="161"/>
      <c r="N2247" s="86"/>
      <c r="O2247" s="86"/>
      <c r="P2247" s="86"/>
      <c r="Q2247" s="85"/>
      <c r="S2247" s="85"/>
      <c r="T2247" s="85"/>
      <c r="U2247" s="85"/>
      <c r="V2247" s="85"/>
      <c r="W2247" s="85"/>
      <c r="X2247" s="85"/>
    </row>
    <row r="2248" spans="2:24" s="58" customFormat="1" ht="12" x14ac:dyDescent="0.2">
      <c r="B2248" s="91"/>
      <c r="E2248" s="92"/>
      <c r="F2248" s="93"/>
      <c r="G2248" s="94"/>
      <c r="H2248" s="94"/>
      <c r="I2248" s="94"/>
      <c r="J2248" s="94"/>
      <c r="K2248" s="93"/>
      <c r="L2248" s="86"/>
      <c r="M2248" s="161"/>
      <c r="N2248" s="86"/>
      <c r="O2248" s="86"/>
      <c r="P2248" s="86"/>
      <c r="Q2248" s="85"/>
      <c r="S2248" s="85"/>
      <c r="T2248" s="85"/>
      <c r="U2248" s="85"/>
      <c r="V2248" s="85"/>
      <c r="W2248" s="85"/>
      <c r="X2248" s="85"/>
    </row>
    <row r="2249" spans="2:24" s="58" customFormat="1" ht="12" x14ac:dyDescent="0.2">
      <c r="B2249" s="91"/>
      <c r="E2249" s="92"/>
      <c r="F2249" s="93"/>
      <c r="G2249" s="94"/>
      <c r="H2249" s="94"/>
      <c r="I2249" s="94"/>
      <c r="J2249" s="94"/>
      <c r="K2249" s="93"/>
      <c r="L2249" s="86"/>
      <c r="M2249" s="161"/>
      <c r="N2249" s="86"/>
      <c r="O2249" s="86"/>
      <c r="P2249" s="86"/>
      <c r="Q2249" s="85"/>
      <c r="S2249" s="85"/>
      <c r="T2249" s="85"/>
      <c r="U2249" s="85"/>
      <c r="V2249" s="85"/>
      <c r="W2249" s="85"/>
      <c r="X2249" s="85"/>
    </row>
    <row r="2250" spans="2:24" s="58" customFormat="1" ht="12" x14ac:dyDescent="0.2">
      <c r="B2250" s="91"/>
      <c r="E2250" s="92"/>
      <c r="F2250" s="93"/>
      <c r="G2250" s="94"/>
      <c r="H2250" s="94"/>
      <c r="I2250" s="94"/>
      <c r="J2250" s="94"/>
      <c r="K2250" s="93"/>
      <c r="L2250" s="86"/>
      <c r="M2250" s="161"/>
      <c r="N2250" s="86"/>
      <c r="O2250" s="86"/>
      <c r="P2250" s="86"/>
      <c r="Q2250" s="85"/>
      <c r="S2250" s="85"/>
      <c r="T2250" s="85"/>
      <c r="U2250" s="85"/>
      <c r="V2250" s="85"/>
      <c r="W2250" s="85"/>
      <c r="X2250" s="85"/>
    </row>
    <row r="2251" spans="2:24" s="58" customFormat="1" ht="12" x14ac:dyDescent="0.2">
      <c r="B2251" s="91"/>
      <c r="E2251" s="92"/>
      <c r="F2251" s="93"/>
      <c r="G2251" s="94"/>
      <c r="H2251" s="94"/>
      <c r="I2251" s="94"/>
      <c r="J2251" s="94"/>
      <c r="K2251" s="93"/>
      <c r="L2251" s="86"/>
      <c r="M2251" s="161"/>
      <c r="N2251" s="86"/>
      <c r="O2251" s="86"/>
      <c r="P2251" s="86"/>
      <c r="Q2251" s="85"/>
      <c r="S2251" s="85"/>
      <c r="T2251" s="85"/>
      <c r="U2251" s="85"/>
      <c r="V2251" s="85"/>
      <c r="W2251" s="85"/>
      <c r="X2251" s="85"/>
    </row>
    <row r="2252" spans="2:24" s="58" customFormat="1" ht="12" x14ac:dyDescent="0.2">
      <c r="B2252" s="91"/>
      <c r="E2252" s="92"/>
      <c r="F2252" s="93"/>
      <c r="G2252" s="94"/>
      <c r="H2252" s="94"/>
      <c r="I2252" s="94"/>
      <c r="J2252" s="94"/>
      <c r="K2252" s="93"/>
      <c r="L2252" s="86"/>
      <c r="M2252" s="161"/>
      <c r="N2252" s="86"/>
      <c r="O2252" s="86"/>
      <c r="P2252" s="86"/>
      <c r="Q2252" s="85"/>
      <c r="S2252" s="85"/>
      <c r="T2252" s="85"/>
      <c r="U2252" s="85"/>
      <c r="V2252" s="85"/>
      <c r="W2252" s="85"/>
      <c r="X2252" s="85"/>
    </row>
    <row r="2253" spans="2:24" s="58" customFormat="1" ht="12" x14ac:dyDescent="0.2">
      <c r="B2253" s="91"/>
      <c r="E2253" s="92"/>
      <c r="F2253" s="93"/>
      <c r="G2253" s="94"/>
      <c r="H2253" s="94"/>
      <c r="I2253" s="94"/>
      <c r="J2253" s="94"/>
      <c r="K2253" s="93"/>
      <c r="L2253" s="86"/>
      <c r="M2253" s="161"/>
      <c r="N2253" s="86"/>
      <c r="O2253" s="86"/>
      <c r="P2253" s="86"/>
      <c r="Q2253" s="85"/>
      <c r="S2253" s="85"/>
      <c r="T2253" s="85"/>
      <c r="U2253" s="85"/>
      <c r="V2253" s="85"/>
      <c r="W2253" s="85"/>
      <c r="X2253" s="85"/>
    </row>
    <row r="2254" spans="2:24" s="58" customFormat="1" ht="12" x14ac:dyDescent="0.2">
      <c r="B2254" s="91"/>
      <c r="E2254" s="92"/>
      <c r="F2254" s="93"/>
      <c r="G2254" s="94"/>
      <c r="H2254" s="94"/>
      <c r="I2254" s="94"/>
      <c r="J2254" s="94"/>
      <c r="K2254" s="93"/>
      <c r="L2254" s="86"/>
      <c r="M2254" s="161"/>
      <c r="N2254" s="86"/>
      <c r="O2254" s="86"/>
      <c r="P2254" s="86"/>
      <c r="Q2254" s="85"/>
      <c r="S2254" s="85"/>
      <c r="T2254" s="85"/>
      <c r="U2254" s="85"/>
      <c r="V2254" s="85"/>
      <c r="W2254" s="85"/>
      <c r="X2254" s="85"/>
    </row>
    <row r="2255" spans="2:24" s="58" customFormat="1" ht="12" x14ac:dyDescent="0.2">
      <c r="B2255" s="91"/>
      <c r="E2255" s="92"/>
      <c r="F2255" s="93"/>
      <c r="G2255" s="94"/>
      <c r="H2255" s="94"/>
      <c r="I2255" s="94"/>
      <c r="J2255" s="94"/>
      <c r="K2255" s="93"/>
      <c r="L2255" s="86"/>
      <c r="M2255" s="161"/>
      <c r="N2255" s="86"/>
      <c r="O2255" s="86"/>
      <c r="P2255" s="86"/>
      <c r="Q2255" s="85"/>
      <c r="S2255" s="85"/>
      <c r="T2255" s="85"/>
      <c r="U2255" s="85"/>
      <c r="V2255" s="85"/>
      <c r="W2255" s="85"/>
      <c r="X2255" s="85"/>
    </row>
    <row r="2256" spans="2:24" s="58" customFormat="1" ht="12" x14ac:dyDescent="0.2">
      <c r="B2256" s="91"/>
      <c r="E2256" s="92"/>
      <c r="F2256" s="93"/>
      <c r="G2256" s="94"/>
      <c r="H2256" s="94"/>
      <c r="I2256" s="94"/>
      <c r="J2256" s="94"/>
      <c r="K2256" s="93"/>
      <c r="L2256" s="86"/>
      <c r="M2256" s="161"/>
      <c r="N2256" s="86"/>
      <c r="O2256" s="86"/>
      <c r="P2256" s="86"/>
      <c r="Q2256" s="85"/>
      <c r="S2256" s="85"/>
      <c r="T2256" s="85"/>
      <c r="U2256" s="85"/>
      <c r="V2256" s="85"/>
      <c r="W2256" s="85"/>
      <c r="X2256" s="85"/>
    </row>
    <row r="2257" spans="2:24" s="58" customFormat="1" ht="12" x14ac:dyDescent="0.2">
      <c r="B2257" s="91"/>
      <c r="E2257" s="92"/>
      <c r="F2257" s="93"/>
      <c r="G2257" s="94"/>
      <c r="H2257" s="94"/>
      <c r="I2257" s="94"/>
      <c r="J2257" s="94"/>
      <c r="K2257" s="93"/>
      <c r="L2257" s="86"/>
      <c r="M2257" s="161"/>
      <c r="N2257" s="86"/>
      <c r="O2257" s="86"/>
      <c r="P2257" s="86"/>
      <c r="Q2257" s="85"/>
      <c r="S2257" s="85"/>
      <c r="T2257" s="85"/>
      <c r="U2257" s="85"/>
      <c r="V2257" s="85"/>
      <c r="W2257" s="85"/>
      <c r="X2257" s="85"/>
    </row>
    <row r="2258" spans="2:24" s="58" customFormat="1" ht="12" x14ac:dyDescent="0.2">
      <c r="B2258" s="91"/>
      <c r="E2258" s="92"/>
      <c r="F2258" s="93"/>
      <c r="G2258" s="94"/>
      <c r="H2258" s="94"/>
      <c r="I2258" s="94"/>
      <c r="J2258" s="94"/>
      <c r="K2258" s="93"/>
      <c r="L2258" s="86"/>
      <c r="M2258" s="161"/>
      <c r="N2258" s="86"/>
      <c r="O2258" s="86"/>
      <c r="P2258" s="86"/>
      <c r="Q2258" s="85"/>
      <c r="S2258" s="85"/>
      <c r="T2258" s="85"/>
      <c r="U2258" s="85"/>
      <c r="V2258" s="85"/>
      <c r="W2258" s="85"/>
      <c r="X2258" s="85"/>
    </row>
    <row r="2259" spans="2:24" s="58" customFormat="1" ht="12" x14ac:dyDescent="0.2">
      <c r="B2259" s="91"/>
      <c r="E2259" s="92"/>
      <c r="F2259" s="93"/>
      <c r="G2259" s="94"/>
      <c r="H2259" s="94"/>
      <c r="I2259" s="94"/>
      <c r="J2259" s="94"/>
      <c r="K2259" s="93"/>
      <c r="L2259" s="86"/>
      <c r="M2259" s="161"/>
      <c r="N2259" s="86"/>
      <c r="O2259" s="86"/>
      <c r="P2259" s="86"/>
      <c r="Q2259" s="85"/>
      <c r="S2259" s="85"/>
      <c r="T2259" s="85"/>
      <c r="U2259" s="85"/>
      <c r="V2259" s="85"/>
      <c r="W2259" s="85"/>
      <c r="X2259" s="85"/>
    </row>
    <row r="2260" spans="2:24" s="58" customFormat="1" ht="12" x14ac:dyDescent="0.2">
      <c r="B2260" s="91"/>
      <c r="E2260" s="92"/>
      <c r="F2260" s="93"/>
      <c r="G2260" s="94"/>
      <c r="H2260" s="94"/>
      <c r="I2260" s="94"/>
      <c r="J2260" s="94"/>
      <c r="K2260" s="93"/>
      <c r="L2260" s="86"/>
      <c r="M2260" s="161"/>
      <c r="N2260" s="86"/>
      <c r="O2260" s="86"/>
      <c r="P2260" s="86"/>
      <c r="Q2260" s="85"/>
      <c r="S2260" s="85"/>
      <c r="T2260" s="85"/>
      <c r="U2260" s="85"/>
      <c r="V2260" s="85"/>
      <c r="W2260" s="85"/>
      <c r="X2260" s="85"/>
    </row>
    <row r="2261" spans="2:24" s="58" customFormat="1" ht="12" x14ac:dyDescent="0.2">
      <c r="B2261" s="91"/>
      <c r="E2261" s="92"/>
      <c r="F2261" s="93"/>
      <c r="G2261" s="94"/>
      <c r="H2261" s="94"/>
      <c r="I2261" s="94"/>
      <c r="J2261" s="94"/>
      <c r="K2261" s="93"/>
      <c r="L2261" s="86"/>
      <c r="M2261" s="161"/>
      <c r="N2261" s="86"/>
      <c r="O2261" s="86"/>
      <c r="P2261" s="86"/>
      <c r="Q2261" s="85"/>
      <c r="S2261" s="85"/>
      <c r="T2261" s="85"/>
      <c r="U2261" s="85"/>
      <c r="V2261" s="85"/>
      <c r="W2261" s="85"/>
      <c r="X2261" s="85"/>
    </row>
    <row r="2262" spans="2:24" s="58" customFormat="1" ht="12" x14ac:dyDescent="0.2">
      <c r="B2262" s="91"/>
      <c r="E2262" s="92"/>
      <c r="F2262" s="93"/>
      <c r="G2262" s="94"/>
      <c r="H2262" s="94"/>
      <c r="I2262" s="94"/>
      <c r="J2262" s="94"/>
      <c r="K2262" s="93"/>
      <c r="L2262" s="86"/>
      <c r="M2262" s="161"/>
      <c r="N2262" s="86"/>
      <c r="O2262" s="86"/>
      <c r="P2262" s="86"/>
      <c r="Q2262" s="85"/>
      <c r="S2262" s="85"/>
      <c r="T2262" s="85"/>
      <c r="U2262" s="85"/>
      <c r="V2262" s="85"/>
      <c r="W2262" s="85"/>
      <c r="X2262" s="85"/>
    </row>
    <row r="2263" spans="2:24" s="58" customFormat="1" ht="12" x14ac:dyDescent="0.2">
      <c r="B2263" s="91"/>
      <c r="E2263" s="92"/>
      <c r="F2263" s="93"/>
      <c r="G2263" s="94"/>
      <c r="H2263" s="94"/>
      <c r="I2263" s="94"/>
      <c r="J2263" s="94"/>
      <c r="K2263" s="93"/>
      <c r="L2263" s="86"/>
      <c r="M2263" s="161"/>
      <c r="N2263" s="86"/>
      <c r="O2263" s="86"/>
      <c r="P2263" s="86"/>
      <c r="Q2263" s="85"/>
      <c r="S2263" s="85"/>
      <c r="T2263" s="85"/>
      <c r="U2263" s="85"/>
      <c r="V2263" s="85"/>
      <c r="W2263" s="85"/>
      <c r="X2263" s="85"/>
    </row>
    <row r="2264" spans="2:24" s="58" customFormat="1" ht="12" x14ac:dyDescent="0.2">
      <c r="B2264" s="91"/>
      <c r="E2264" s="92"/>
      <c r="F2264" s="93"/>
      <c r="G2264" s="94"/>
      <c r="H2264" s="94"/>
      <c r="I2264" s="94"/>
      <c r="J2264" s="94"/>
      <c r="K2264" s="93"/>
      <c r="L2264" s="86"/>
      <c r="M2264" s="161"/>
      <c r="N2264" s="86"/>
      <c r="O2264" s="86"/>
      <c r="P2264" s="86"/>
      <c r="Q2264" s="85"/>
      <c r="S2264" s="85"/>
      <c r="T2264" s="85"/>
      <c r="U2264" s="85"/>
      <c r="V2264" s="85"/>
      <c r="W2264" s="85"/>
      <c r="X2264" s="85"/>
    </row>
    <row r="2265" spans="2:24" s="58" customFormat="1" ht="12" x14ac:dyDescent="0.2">
      <c r="B2265" s="91"/>
      <c r="E2265" s="92"/>
      <c r="F2265" s="93"/>
      <c r="G2265" s="94"/>
      <c r="H2265" s="94"/>
      <c r="I2265" s="94"/>
      <c r="J2265" s="94"/>
      <c r="K2265" s="93"/>
      <c r="L2265" s="86"/>
      <c r="M2265" s="161"/>
      <c r="N2265" s="86"/>
      <c r="O2265" s="86"/>
      <c r="P2265" s="86"/>
      <c r="Q2265" s="85"/>
      <c r="S2265" s="85"/>
      <c r="T2265" s="85"/>
      <c r="U2265" s="85"/>
      <c r="V2265" s="85"/>
      <c r="W2265" s="85"/>
      <c r="X2265" s="85"/>
    </row>
    <row r="2266" spans="2:24" s="58" customFormat="1" ht="12" x14ac:dyDescent="0.2">
      <c r="B2266" s="91"/>
      <c r="E2266" s="92"/>
      <c r="F2266" s="93"/>
      <c r="G2266" s="94"/>
      <c r="H2266" s="94"/>
      <c r="I2266" s="94"/>
      <c r="J2266" s="94"/>
      <c r="K2266" s="93"/>
      <c r="L2266" s="86"/>
      <c r="M2266" s="161"/>
      <c r="N2266" s="86"/>
      <c r="O2266" s="86"/>
      <c r="P2266" s="86"/>
      <c r="Q2266" s="85"/>
      <c r="S2266" s="85"/>
      <c r="T2266" s="85"/>
      <c r="U2266" s="85"/>
      <c r="V2266" s="85"/>
      <c r="W2266" s="85"/>
      <c r="X2266" s="85"/>
    </row>
    <row r="2267" spans="2:24" s="58" customFormat="1" ht="12" x14ac:dyDescent="0.2">
      <c r="B2267" s="91"/>
      <c r="E2267" s="92"/>
      <c r="F2267" s="93"/>
      <c r="G2267" s="94"/>
      <c r="H2267" s="94"/>
      <c r="I2267" s="94"/>
      <c r="J2267" s="94"/>
      <c r="K2267" s="93"/>
      <c r="L2267" s="86"/>
      <c r="M2267" s="161"/>
      <c r="N2267" s="86"/>
      <c r="O2267" s="86"/>
      <c r="P2267" s="86"/>
      <c r="Q2267" s="85"/>
      <c r="S2267" s="85"/>
      <c r="T2267" s="85"/>
      <c r="U2267" s="85"/>
      <c r="V2267" s="85"/>
      <c r="W2267" s="85"/>
      <c r="X2267" s="85"/>
    </row>
    <row r="2268" spans="2:24" s="58" customFormat="1" ht="12" x14ac:dyDescent="0.2">
      <c r="B2268" s="91"/>
      <c r="E2268" s="92"/>
      <c r="F2268" s="93"/>
      <c r="G2268" s="94"/>
      <c r="H2268" s="94"/>
      <c r="I2268" s="94"/>
      <c r="J2268" s="94"/>
      <c r="K2268" s="93"/>
      <c r="L2268" s="86"/>
      <c r="M2268" s="161"/>
      <c r="N2268" s="86"/>
      <c r="O2268" s="86"/>
      <c r="P2268" s="86"/>
      <c r="Q2268" s="85"/>
      <c r="S2268" s="85"/>
      <c r="T2268" s="85"/>
      <c r="U2268" s="85"/>
      <c r="V2268" s="85"/>
      <c r="W2268" s="85"/>
      <c r="X2268" s="85"/>
    </row>
    <row r="2269" spans="2:24" s="58" customFormat="1" ht="12" x14ac:dyDescent="0.2">
      <c r="B2269" s="91"/>
      <c r="E2269" s="92"/>
      <c r="F2269" s="93"/>
      <c r="G2269" s="94"/>
      <c r="H2269" s="94"/>
      <c r="I2269" s="94"/>
      <c r="J2269" s="94"/>
      <c r="K2269" s="93"/>
      <c r="L2269" s="86"/>
      <c r="M2269" s="161"/>
      <c r="N2269" s="86"/>
      <c r="O2269" s="86"/>
      <c r="P2269" s="86"/>
      <c r="Q2269" s="85"/>
      <c r="S2269" s="85"/>
      <c r="T2269" s="85"/>
      <c r="U2269" s="85"/>
      <c r="V2269" s="85"/>
      <c r="W2269" s="85"/>
      <c r="X2269" s="85"/>
    </row>
    <row r="2270" spans="2:24" s="58" customFormat="1" ht="12" x14ac:dyDescent="0.2">
      <c r="B2270" s="91"/>
      <c r="E2270" s="92"/>
      <c r="F2270" s="93"/>
      <c r="G2270" s="94"/>
      <c r="H2270" s="94"/>
      <c r="I2270" s="94"/>
      <c r="J2270" s="94"/>
      <c r="K2270" s="93"/>
      <c r="L2270" s="86"/>
      <c r="M2270" s="161"/>
      <c r="N2270" s="86"/>
      <c r="O2270" s="86"/>
      <c r="P2270" s="86"/>
      <c r="Q2270" s="85"/>
      <c r="S2270" s="85"/>
      <c r="T2270" s="85"/>
      <c r="U2270" s="85"/>
      <c r="V2270" s="85"/>
      <c r="W2270" s="85"/>
      <c r="X2270" s="85"/>
    </row>
    <row r="2271" spans="2:24" s="58" customFormat="1" ht="12" x14ac:dyDescent="0.2">
      <c r="B2271" s="91"/>
      <c r="E2271" s="92"/>
      <c r="F2271" s="93"/>
      <c r="G2271" s="94"/>
      <c r="H2271" s="94"/>
      <c r="I2271" s="94"/>
      <c r="J2271" s="94"/>
      <c r="K2271" s="93"/>
      <c r="L2271" s="86"/>
      <c r="M2271" s="161"/>
      <c r="N2271" s="86"/>
      <c r="O2271" s="86"/>
      <c r="P2271" s="86"/>
      <c r="Q2271" s="85"/>
      <c r="S2271" s="85"/>
      <c r="T2271" s="85"/>
      <c r="U2271" s="85"/>
      <c r="V2271" s="85"/>
      <c r="W2271" s="85"/>
      <c r="X2271" s="85"/>
    </row>
    <row r="2272" spans="2:24" s="58" customFormat="1" ht="12" x14ac:dyDescent="0.2">
      <c r="B2272" s="91"/>
      <c r="E2272" s="92"/>
      <c r="F2272" s="93"/>
      <c r="G2272" s="94"/>
      <c r="H2272" s="94"/>
      <c r="I2272" s="94"/>
      <c r="J2272" s="94"/>
      <c r="K2272" s="93"/>
      <c r="L2272" s="86"/>
      <c r="M2272" s="161"/>
      <c r="N2272" s="86"/>
      <c r="O2272" s="86"/>
      <c r="P2272" s="86"/>
      <c r="Q2272" s="85"/>
      <c r="S2272" s="85"/>
      <c r="T2272" s="85"/>
      <c r="U2272" s="85"/>
      <c r="V2272" s="85"/>
      <c r="W2272" s="85"/>
      <c r="X2272" s="85"/>
    </row>
    <row r="2273" spans="2:24" s="58" customFormat="1" ht="12" x14ac:dyDescent="0.2">
      <c r="B2273" s="91"/>
      <c r="E2273" s="92"/>
      <c r="F2273" s="93"/>
      <c r="G2273" s="94"/>
      <c r="H2273" s="94"/>
      <c r="I2273" s="94"/>
      <c r="J2273" s="94"/>
      <c r="K2273" s="93"/>
      <c r="L2273" s="86"/>
      <c r="M2273" s="161"/>
      <c r="N2273" s="86"/>
      <c r="O2273" s="86"/>
      <c r="P2273" s="86"/>
      <c r="Q2273" s="85"/>
      <c r="S2273" s="85"/>
      <c r="T2273" s="85"/>
      <c r="U2273" s="85"/>
      <c r="V2273" s="85"/>
      <c r="W2273" s="85"/>
      <c r="X2273" s="85"/>
    </row>
    <row r="2274" spans="2:24" s="58" customFormat="1" ht="12" x14ac:dyDescent="0.2">
      <c r="B2274" s="91"/>
      <c r="E2274" s="92"/>
      <c r="F2274" s="93"/>
      <c r="G2274" s="94"/>
      <c r="H2274" s="94"/>
      <c r="I2274" s="94"/>
      <c r="J2274" s="94"/>
      <c r="K2274" s="93"/>
      <c r="L2274" s="86"/>
      <c r="M2274" s="161"/>
      <c r="N2274" s="86"/>
      <c r="O2274" s="86"/>
      <c r="P2274" s="86"/>
      <c r="Q2274" s="85"/>
      <c r="S2274" s="85"/>
      <c r="T2274" s="85"/>
      <c r="U2274" s="85"/>
      <c r="V2274" s="85"/>
      <c r="W2274" s="85"/>
      <c r="X2274" s="85"/>
    </row>
    <row r="2275" spans="2:24" s="58" customFormat="1" ht="12" x14ac:dyDescent="0.2">
      <c r="B2275" s="91"/>
      <c r="E2275" s="92"/>
      <c r="F2275" s="93"/>
      <c r="G2275" s="94"/>
      <c r="H2275" s="94"/>
      <c r="I2275" s="94"/>
      <c r="J2275" s="94"/>
      <c r="K2275" s="93"/>
      <c r="L2275" s="86"/>
      <c r="M2275" s="161"/>
      <c r="N2275" s="86"/>
      <c r="O2275" s="86"/>
      <c r="P2275" s="86"/>
      <c r="Q2275" s="85"/>
      <c r="S2275" s="85"/>
      <c r="T2275" s="85"/>
      <c r="U2275" s="85"/>
      <c r="V2275" s="85"/>
      <c r="W2275" s="85"/>
      <c r="X2275" s="85"/>
    </row>
    <row r="2276" spans="2:24" s="58" customFormat="1" ht="12" x14ac:dyDescent="0.2">
      <c r="B2276" s="91"/>
      <c r="E2276" s="92"/>
      <c r="F2276" s="93"/>
      <c r="G2276" s="94"/>
      <c r="H2276" s="94"/>
      <c r="I2276" s="94"/>
      <c r="J2276" s="94"/>
      <c r="K2276" s="93"/>
      <c r="L2276" s="86"/>
      <c r="M2276" s="161"/>
      <c r="N2276" s="86"/>
      <c r="O2276" s="86"/>
      <c r="P2276" s="86"/>
      <c r="Q2276" s="85"/>
      <c r="S2276" s="85"/>
      <c r="T2276" s="85"/>
      <c r="U2276" s="85"/>
      <c r="V2276" s="85"/>
      <c r="W2276" s="85"/>
      <c r="X2276" s="85"/>
    </row>
    <row r="2277" spans="2:24" s="58" customFormat="1" ht="12" x14ac:dyDescent="0.2">
      <c r="B2277" s="91"/>
      <c r="E2277" s="92"/>
      <c r="F2277" s="93"/>
      <c r="G2277" s="94"/>
      <c r="H2277" s="94"/>
      <c r="I2277" s="94"/>
      <c r="J2277" s="94"/>
      <c r="K2277" s="93"/>
      <c r="L2277" s="86"/>
      <c r="M2277" s="161"/>
      <c r="N2277" s="86"/>
      <c r="O2277" s="86"/>
      <c r="P2277" s="86"/>
      <c r="Q2277" s="85"/>
      <c r="S2277" s="85"/>
      <c r="T2277" s="85"/>
      <c r="U2277" s="85"/>
      <c r="V2277" s="85"/>
      <c r="W2277" s="85"/>
      <c r="X2277" s="85"/>
    </row>
    <row r="2278" spans="2:24" s="58" customFormat="1" ht="12" x14ac:dyDescent="0.2">
      <c r="B2278" s="91"/>
      <c r="E2278" s="92"/>
      <c r="F2278" s="93"/>
      <c r="G2278" s="94"/>
      <c r="H2278" s="94"/>
      <c r="I2278" s="94"/>
      <c r="J2278" s="94"/>
      <c r="K2278" s="93"/>
      <c r="L2278" s="86"/>
      <c r="M2278" s="161"/>
      <c r="N2278" s="86"/>
      <c r="O2278" s="86"/>
      <c r="P2278" s="86"/>
      <c r="Q2278" s="85"/>
      <c r="S2278" s="85"/>
      <c r="T2278" s="85"/>
      <c r="U2278" s="85"/>
      <c r="V2278" s="85"/>
      <c r="W2278" s="85"/>
      <c r="X2278" s="85"/>
    </row>
    <row r="2279" spans="2:24" s="58" customFormat="1" ht="12" x14ac:dyDescent="0.2">
      <c r="B2279" s="91"/>
      <c r="E2279" s="92"/>
      <c r="F2279" s="93"/>
      <c r="G2279" s="94"/>
      <c r="H2279" s="94"/>
      <c r="I2279" s="94"/>
      <c r="J2279" s="94"/>
      <c r="K2279" s="93"/>
      <c r="L2279" s="86"/>
      <c r="M2279" s="161"/>
      <c r="N2279" s="86"/>
      <c r="O2279" s="86"/>
      <c r="P2279" s="86"/>
      <c r="Q2279" s="85"/>
      <c r="S2279" s="85"/>
      <c r="T2279" s="85"/>
      <c r="U2279" s="85"/>
      <c r="V2279" s="85"/>
      <c r="W2279" s="85"/>
      <c r="X2279" s="85"/>
    </row>
    <row r="2280" spans="2:24" s="58" customFormat="1" ht="12" x14ac:dyDescent="0.2">
      <c r="B2280" s="91"/>
      <c r="E2280" s="92"/>
      <c r="F2280" s="93"/>
      <c r="G2280" s="94"/>
      <c r="H2280" s="94"/>
      <c r="I2280" s="94"/>
      <c r="J2280" s="94"/>
      <c r="K2280" s="93"/>
      <c r="L2280" s="86"/>
      <c r="M2280" s="161"/>
      <c r="N2280" s="86"/>
      <c r="O2280" s="86"/>
      <c r="P2280" s="86"/>
      <c r="Q2280" s="85"/>
      <c r="S2280" s="85"/>
      <c r="T2280" s="85"/>
      <c r="U2280" s="85"/>
      <c r="V2280" s="85"/>
      <c r="W2280" s="85"/>
      <c r="X2280" s="85"/>
    </row>
    <row r="2281" spans="2:24" s="58" customFormat="1" ht="12" x14ac:dyDescent="0.2">
      <c r="B2281" s="91"/>
      <c r="E2281" s="92"/>
      <c r="F2281" s="93"/>
      <c r="G2281" s="94"/>
      <c r="H2281" s="94"/>
      <c r="I2281" s="94"/>
      <c r="J2281" s="94"/>
      <c r="K2281" s="93"/>
      <c r="L2281" s="86"/>
      <c r="M2281" s="161"/>
      <c r="N2281" s="86"/>
      <c r="O2281" s="86"/>
      <c r="P2281" s="86"/>
      <c r="Q2281" s="85"/>
      <c r="S2281" s="85"/>
      <c r="T2281" s="85"/>
      <c r="U2281" s="85"/>
      <c r="V2281" s="85"/>
      <c r="W2281" s="85"/>
      <c r="X2281" s="85"/>
    </row>
    <row r="2282" spans="2:24" s="58" customFormat="1" ht="12" x14ac:dyDescent="0.2">
      <c r="B2282" s="91"/>
      <c r="E2282" s="92"/>
      <c r="F2282" s="93"/>
      <c r="G2282" s="94"/>
      <c r="H2282" s="94"/>
      <c r="I2282" s="94"/>
      <c r="J2282" s="94"/>
      <c r="K2282" s="93"/>
      <c r="L2282" s="86"/>
      <c r="M2282" s="161"/>
      <c r="N2282" s="86"/>
      <c r="O2282" s="86"/>
      <c r="P2282" s="86"/>
      <c r="Q2282" s="85"/>
      <c r="S2282" s="85"/>
      <c r="T2282" s="85"/>
      <c r="U2282" s="85"/>
      <c r="V2282" s="85"/>
      <c r="W2282" s="85"/>
      <c r="X2282" s="85"/>
    </row>
    <row r="2283" spans="2:24" s="58" customFormat="1" ht="12" x14ac:dyDescent="0.2">
      <c r="B2283" s="91"/>
      <c r="E2283" s="92"/>
      <c r="F2283" s="93"/>
      <c r="G2283" s="94"/>
      <c r="H2283" s="94"/>
      <c r="I2283" s="94"/>
      <c r="J2283" s="94"/>
      <c r="K2283" s="93"/>
      <c r="L2283" s="86"/>
      <c r="M2283" s="161"/>
      <c r="N2283" s="86"/>
      <c r="O2283" s="86"/>
      <c r="P2283" s="86"/>
      <c r="Q2283" s="85"/>
      <c r="S2283" s="85"/>
      <c r="T2283" s="85"/>
      <c r="U2283" s="85"/>
      <c r="V2283" s="85"/>
      <c r="W2283" s="85"/>
      <c r="X2283" s="85"/>
    </row>
    <row r="2284" spans="2:24" s="58" customFormat="1" ht="12" x14ac:dyDescent="0.2">
      <c r="B2284" s="91"/>
      <c r="E2284" s="92"/>
      <c r="F2284" s="93"/>
      <c r="G2284" s="94"/>
      <c r="H2284" s="94"/>
      <c r="I2284" s="94"/>
      <c r="J2284" s="94"/>
      <c r="K2284" s="93"/>
      <c r="L2284" s="86"/>
      <c r="M2284" s="161"/>
      <c r="N2284" s="86"/>
      <c r="O2284" s="86"/>
      <c r="P2284" s="86"/>
      <c r="Q2284" s="85"/>
      <c r="S2284" s="85"/>
      <c r="T2284" s="85"/>
      <c r="U2284" s="85"/>
      <c r="V2284" s="85"/>
      <c r="W2284" s="85"/>
      <c r="X2284" s="85"/>
    </row>
    <row r="2285" spans="2:24" s="58" customFormat="1" ht="12" x14ac:dyDescent="0.2">
      <c r="B2285" s="91"/>
      <c r="E2285" s="92"/>
      <c r="F2285" s="93"/>
      <c r="G2285" s="94"/>
      <c r="H2285" s="94"/>
      <c r="I2285" s="94"/>
      <c r="J2285" s="94"/>
      <c r="K2285" s="93"/>
      <c r="L2285" s="86"/>
      <c r="M2285" s="161"/>
      <c r="N2285" s="86"/>
      <c r="O2285" s="86"/>
      <c r="P2285" s="86"/>
      <c r="Q2285" s="85"/>
      <c r="S2285" s="85"/>
      <c r="T2285" s="85"/>
      <c r="U2285" s="85"/>
      <c r="V2285" s="85"/>
      <c r="W2285" s="85"/>
      <c r="X2285" s="85"/>
    </row>
    <row r="2286" spans="2:24" s="58" customFormat="1" ht="12" x14ac:dyDescent="0.2">
      <c r="B2286" s="91"/>
      <c r="E2286" s="92"/>
      <c r="F2286" s="93"/>
      <c r="G2286" s="94"/>
      <c r="H2286" s="94"/>
      <c r="I2286" s="94"/>
      <c r="J2286" s="94"/>
      <c r="K2286" s="93"/>
      <c r="L2286" s="86"/>
      <c r="M2286" s="161"/>
      <c r="N2286" s="86"/>
      <c r="O2286" s="86"/>
      <c r="P2286" s="86"/>
      <c r="Q2286" s="85"/>
      <c r="S2286" s="85"/>
      <c r="T2286" s="85"/>
      <c r="U2286" s="85"/>
      <c r="V2286" s="85"/>
      <c r="W2286" s="85"/>
      <c r="X2286" s="85"/>
    </row>
    <row r="2287" spans="2:24" s="58" customFormat="1" ht="12" x14ac:dyDescent="0.2">
      <c r="B2287" s="91"/>
      <c r="E2287" s="92"/>
      <c r="F2287" s="93"/>
      <c r="G2287" s="94"/>
      <c r="H2287" s="94"/>
      <c r="I2287" s="94"/>
      <c r="J2287" s="94"/>
      <c r="K2287" s="93"/>
      <c r="L2287" s="86"/>
      <c r="M2287" s="161"/>
      <c r="N2287" s="86"/>
      <c r="O2287" s="86"/>
      <c r="P2287" s="86"/>
      <c r="Q2287" s="85"/>
      <c r="S2287" s="85"/>
      <c r="T2287" s="85"/>
      <c r="U2287" s="85"/>
      <c r="V2287" s="85"/>
      <c r="W2287" s="85"/>
      <c r="X2287" s="85"/>
    </row>
    <row r="2288" spans="2:24" s="58" customFormat="1" ht="12" x14ac:dyDescent="0.2">
      <c r="B2288" s="91"/>
      <c r="E2288" s="92"/>
      <c r="F2288" s="93"/>
      <c r="G2288" s="94"/>
      <c r="H2288" s="94"/>
      <c r="I2288" s="94"/>
      <c r="J2288" s="94"/>
      <c r="K2288" s="93"/>
      <c r="L2288" s="86"/>
      <c r="M2288" s="161"/>
      <c r="N2288" s="86"/>
      <c r="O2288" s="86"/>
      <c r="P2288" s="86"/>
      <c r="Q2288" s="85"/>
      <c r="S2288" s="85"/>
      <c r="T2288" s="85"/>
      <c r="U2288" s="85"/>
      <c r="V2288" s="85"/>
      <c r="W2288" s="85"/>
      <c r="X2288" s="85"/>
    </row>
    <row r="2289" spans="2:24" s="58" customFormat="1" ht="12" x14ac:dyDescent="0.2">
      <c r="B2289" s="91"/>
      <c r="E2289" s="92"/>
      <c r="F2289" s="93"/>
      <c r="G2289" s="94"/>
      <c r="H2289" s="94"/>
      <c r="I2289" s="94"/>
      <c r="J2289" s="94"/>
      <c r="K2289" s="93"/>
      <c r="L2289" s="86"/>
      <c r="M2289" s="161"/>
      <c r="N2289" s="86"/>
      <c r="O2289" s="86"/>
      <c r="P2289" s="86"/>
      <c r="Q2289" s="85"/>
      <c r="S2289" s="85"/>
      <c r="T2289" s="85"/>
      <c r="U2289" s="85"/>
      <c r="V2289" s="85"/>
      <c r="W2289" s="85"/>
      <c r="X2289" s="85"/>
    </row>
    <row r="2290" spans="2:24" s="58" customFormat="1" ht="12" x14ac:dyDescent="0.2">
      <c r="B2290" s="91"/>
      <c r="E2290" s="92"/>
      <c r="F2290" s="93"/>
      <c r="G2290" s="94"/>
      <c r="H2290" s="94"/>
      <c r="I2290" s="94"/>
      <c r="J2290" s="94"/>
      <c r="K2290" s="93"/>
      <c r="L2290" s="86"/>
      <c r="M2290" s="161"/>
      <c r="N2290" s="86"/>
      <c r="O2290" s="86"/>
      <c r="P2290" s="86"/>
      <c r="Q2290" s="85"/>
      <c r="S2290" s="85"/>
      <c r="T2290" s="85"/>
      <c r="U2290" s="85"/>
      <c r="V2290" s="85"/>
      <c r="W2290" s="85"/>
      <c r="X2290" s="85"/>
    </row>
    <row r="2291" spans="2:24" s="58" customFormat="1" ht="12" x14ac:dyDescent="0.2">
      <c r="B2291" s="91"/>
      <c r="E2291" s="92"/>
      <c r="F2291" s="93"/>
      <c r="G2291" s="94"/>
      <c r="H2291" s="94"/>
      <c r="I2291" s="94"/>
      <c r="J2291" s="94"/>
      <c r="K2291" s="93"/>
      <c r="L2291" s="86"/>
      <c r="M2291" s="161"/>
      <c r="N2291" s="86"/>
      <c r="O2291" s="86"/>
      <c r="P2291" s="86"/>
      <c r="Q2291" s="85"/>
      <c r="S2291" s="85"/>
      <c r="T2291" s="85"/>
      <c r="U2291" s="85"/>
      <c r="V2291" s="85"/>
      <c r="W2291" s="85"/>
      <c r="X2291" s="85"/>
    </row>
    <row r="2292" spans="2:24" s="58" customFormat="1" ht="12" x14ac:dyDescent="0.2">
      <c r="B2292" s="91"/>
      <c r="E2292" s="92"/>
      <c r="F2292" s="93"/>
      <c r="G2292" s="94"/>
      <c r="H2292" s="94"/>
      <c r="I2292" s="94"/>
      <c r="J2292" s="94"/>
      <c r="K2292" s="93"/>
      <c r="L2292" s="86"/>
      <c r="M2292" s="161"/>
      <c r="N2292" s="86"/>
      <c r="O2292" s="86"/>
      <c r="P2292" s="86"/>
      <c r="Q2292" s="85"/>
      <c r="S2292" s="85"/>
      <c r="T2292" s="85"/>
      <c r="U2292" s="85"/>
      <c r="V2292" s="85"/>
      <c r="W2292" s="85"/>
      <c r="X2292" s="85"/>
    </row>
    <row r="2293" spans="2:24" s="58" customFormat="1" ht="12" x14ac:dyDescent="0.2">
      <c r="B2293" s="91"/>
      <c r="E2293" s="92"/>
      <c r="F2293" s="93"/>
      <c r="G2293" s="94"/>
      <c r="H2293" s="94"/>
      <c r="I2293" s="94"/>
      <c r="J2293" s="94"/>
      <c r="K2293" s="93"/>
      <c r="L2293" s="86"/>
      <c r="M2293" s="161"/>
      <c r="N2293" s="86"/>
      <c r="O2293" s="86"/>
      <c r="P2293" s="86"/>
      <c r="Q2293" s="85"/>
      <c r="S2293" s="85"/>
      <c r="T2293" s="85"/>
      <c r="U2293" s="85"/>
      <c r="V2293" s="85"/>
      <c r="W2293" s="85"/>
      <c r="X2293" s="85"/>
    </row>
    <row r="2294" spans="2:24" s="58" customFormat="1" ht="12" x14ac:dyDescent="0.2">
      <c r="B2294" s="91"/>
      <c r="E2294" s="92"/>
      <c r="F2294" s="93"/>
      <c r="G2294" s="94"/>
      <c r="H2294" s="94"/>
      <c r="I2294" s="94"/>
      <c r="J2294" s="94"/>
      <c r="K2294" s="93"/>
      <c r="L2294" s="86"/>
      <c r="M2294" s="161"/>
      <c r="N2294" s="86"/>
      <c r="O2294" s="86"/>
      <c r="P2294" s="86"/>
      <c r="Q2294" s="85"/>
      <c r="S2294" s="85"/>
      <c r="T2294" s="85"/>
      <c r="U2294" s="85"/>
      <c r="V2294" s="85"/>
      <c r="W2294" s="85"/>
      <c r="X2294" s="85"/>
    </row>
    <row r="2295" spans="2:24" s="58" customFormat="1" ht="12" x14ac:dyDescent="0.2">
      <c r="B2295" s="91"/>
      <c r="E2295" s="92"/>
      <c r="F2295" s="93"/>
      <c r="G2295" s="94"/>
      <c r="H2295" s="94"/>
      <c r="I2295" s="94"/>
      <c r="J2295" s="94"/>
      <c r="K2295" s="93"/>
      <c r="L2295" s="86"/>
      <c r="M2295" s="161"/>
      <c r="N2295" s="86"/>
      <c r="O2295" s="86"/>
      <c r="P2295" s="86"/>
      <c r="Q2295" s="85"/>
      <c r="S2295" s="85"/>
      <c r="T2295" s="85"/>
      <c r="U2295" s="85"/>
      <c r="V2295" s="85"/>
      <c r="W2295" s="85"/>
      <c r="X2295" s="85"/>
    </row>
    <row r="2296" spans="2:24" s="58" customFormat="1" ht="12" x14ac:dyDescent="0.2">
      <c r="B2296" s="91"/>
      <c r="E2296" s="92"/>
      <c r="F2296" s="93"/>
      <c r="G2296" s="94"/>
      <c r="H2296" s="94"/>
      <c r="I2296" s="94"/>
      <c r="J2296" s="94"/>
      <c r="K2296" s="93"/>
      <c r="L2296" s="86"/>
      <c r="M2296" s="161"/>
      <c r="N2296" s="86"/>
      <c r="O2296" s="86"/>
      <c r="P2296" s="86"/>
      <c r="Q2296" s="85"/>
      <c r="S2296" s="85"/>
      <c r="T2296" s="85"/>
      <c r="U2296" s="85"/>
      <c r="V2296" s="85"/>
      <c r="W2296" s="85"/>
      <c r="X2296" s="85"/>
    </row>
    <row r="2297" spans="2:24" s="58" customFormat="1" ht="12" x14ac:dyDescent="0.2">
      <c r="B2297" s="91"/>
      <c r="E2297" s="92"/>
      <c r="F2297" s="93"/>
      <c r="G2297" s="94"/>
      <c r="H2297" s="94"/>
      <c r="I2297" s="94"/>
      <c r="J2297" s="94"/>
      <c r="K2297" s="93"/>
      <c r="L2297" s="86"/>
      <c r="M2297" s="161"/>
      <c r="N2297" s="86"/>
      <c r="O2297" s="86"/>
      <c r="P2297" s="86"/>
      <c r="Q2297" s="85"/>
      <c r="S2297" s="85"/>
      <c r="T2297" s="85"/>
      <c r="U2297" s="85"/>
      <c r="V2297" s="85"/>
      <c r="W2297" s="85"/>
      <c r="X2297" s="85"/>
    </row>
    <row r="2298" spans="2:24" s="58" customFormat="1" ht="12" x14ac:dyDescent="0.2">
      <c r="B2298" s="91"/>
      <c r="E2298" s="92"/>
      <c r="F2298" s="93"/>
      <c r="G2298" s="94"/>
      <c r="H2298" s="94"/>
      <c r="I2298" s="94"/>
      <c r="J2298" s="94"/>
      <c r="K2298" s="93"/>
      <c r="L2298" s="86"/>
      <c r="M2298" s="161"/>
      <c r="N2298" s="86"/>
      <c r="O2298" s="86"/>
      <c r="P2298" s="86"/>
      <c r="Q2298" s="85"/>
      <c r="S2298" s="85"/>
      <c r="T2298" s="85"/>
      <c r="U2298" s="85"/>
      <c r="V2298" s="85"/>
      <c r="W2298" s="85"/>
      <c r="X2298" s="85"/>
    </row>
    <row r="2299" spans="2:24" s="58" customFormat="1" ht="12" x14ac:dyDescent="0.2">
      <c r="B2299" s="91"/>
      <c r="E2299" s="92"/>
      <c r="F2299" s="93"/>
      <c r="G2299" s="94"/>
      <c r="H2299" s="94"/>
      <c r="I2299" s="94"/>
      <c r="J2299" s="94"/>
      <c r="K2299" s="93"/>
      <c r="L2299" s="86"/>
      <c r="M2299" s="161"/>
      <c r="N2299" s="86"/>
      <c r="O2299" s="86"/>
      <c r="P2299" s="86"/>
      <c r="Q2299" s="85"/>
      <c r="S2299" s="85"/>
      <c r="T2299" s="85"/>
      <c r="U2299" s="85"/>
      <c r="V2299" s="85"/>
      <c r="W2299" s="85"/>
      <c r="X2299" s="85"/>
    </row>
    <row r="2300" spans="2:24" s="58" customFormat="1" ht="12" x14ac:dyDescent="0.2">
      <c r="B2300" s="91"/>
      <c r="E2300" s="92"/>
      <c r="F2300" s="93"/>
      <c r="G2300" s="94"/>
      <c r="H2300" s="94"/>
      <c r="I2300" s="94"/>
      <c r="J2300" s="94"/>
      <c r="K2300" s="93"/>
      <c r="L2300" s="86"/>
      <c r="M2300" s="161"/>
      <c r="N2300" s="86"/>
      <c r="O2300" s="86"/>
      <c r="P2300" s="86"/>
      <c r="Q2300" s="85"/>
      <c r="S2300" s="85"/>
      <c r="T2300" s="85"/>
      <c r="U2300" s="85"/>
      <c r="V2300" s="85"/>
      <c r="W2300" s="85"/>
      <c r="X2300" s="85"/>
    </row>
    <row r="2301" spans="2:24" s="58" customFormat="1" ht="12" x14ac:dyDescent="0.2">
      <c r="B2301" s="91"/>
      <c r="E2301" s="92"/>
      <c r="F2301" s="93"/>
      <c r="G2301" s="94"/>
      <c r="H2301" s="94"/>
      <c r="I2301" s="94"/>
      <c r="J2301" s="94"/>
      <c r="K2301" s="93"/>
      <c r="L2301" s="86"/>
      <c r="M2301" s="161"/>
      <c r="N2301" s="86"/>
      <c r="O2301" s="86"/>
      <c r="P2301" s="86"/>
      <c r="Q2301" s="85"/>
      <c r="S2301" s="85"/>
      <c r="T2301" s="85"/>
      <c r="U2301" s="85"/>
      <c r="V2301" s="85"/>
      <c r="W2301" s="85"/>
      <c r="X2301" s="85"/>
    </row>
    <row r="2302" spans="2:24" s="58" customFormat="1" ht="12" x14ac:dyDescent="0.2">
      <c r="B2302" s="91"/>
      <c r="E2302" s="92"/>
      <c r="F2302" s="93"/>
      <c r="G2302" s="94"/>
      <c r="H2302" s="94"/>
      <c r="I2302" s="94"/>
      <c r="J2302" s="94"/>
      <c r="K2302" s="93"/>
      <c r="L2302" s="86"/>
      <c r="M2302" s="161"/>
      <c r="N2302" s="86"/>
      <c r="O2302" s="86"/>
      <c r="P2302" s="86"/>
      <c r="Q2302" s="85"/>
      <c r="S2302" s="85"/>
      <c r="T2302" s="85"/>
      <c r="U2302" s="85"/>
      <c r="V2302" s="85"/>
      <c r="W2302" s="85"/>
      <c r="X2302" s="85"/>
    </row>
    <row r="2303" spans="2:24" s="58" customFormat="1" ht="12" x14ac:dyDescent="0.2">
      <c r="B2303" s="91"/>
      <c r="E2303" s="92"/>
      <c r="F2303" s="93"/>
      <c r="G2303" s="94"/>
      <c r="H2303" s="94"/>
      <c r="I2303" s="94"/>
      <c r="J2303" s="94"/>
      <c r="K2303" s="93"/>
      <c r="L2303" s="86"/>
      <c r="M2303" s="161"/>
      <c r="N2303" s="86"/>
      <c r="O2303" s="86"/>
      <c r="P2303" s="86"/>
      <c r="Q2303" s="85"/>
      <c r="S2303" s="85"/>
      <c r="T2303" s="85"/>
      <c r="U2303" s="85"/>
      <c r="V2303" s="85"/>
      <c r="W2303" s="85"/>
      <c r="X2303" s="85"/>
    </row>
    <row r="2304" spans="2:24" s="58" customFormat="1" ht="12" x14ac:dyDescent="0.2">
      <c r="B2304" s="91"/>
      <c r="E2304" s="92"/>
      <c r="F2304" s="93"/>
      <c r="G2304" s="94"/>
      <c r="H2304" s="94"/>
      <c r="I2304" s="94"/>
      <c r="J2304" s="94"/>
      <c r="K2304" s="93"/>
      <c r="L2304" s="86"/>
      <c r="M2304" s="161"/>
      <c r="N2304" s="86"/>
      <c r="O2304" s="86"/>
      <c r="P2304" s="86"/>
      <c r="Q2304" s="85"/>
      <c r="S2304" s="85"/>
      <c r="T2304" s="85"/>
      <c r="U2304" s="85"/>
      <c r="V2304" s="85"/>
      <c r="W2304" s="85"/>
      <c r="X2304" s="85"/>
    </row>
    <row r="2305" spans="2:24" s="58" customFormat="1" ht="12" x14ac:dyDescent="0.2">
      <c r="B2305" s="91"/>
      <c r="E2305" s="92"/>
      <c r="F2305" s="93"/>
      <c r="G2305" s="94"/>
      <c r="H2305" s="94"/>
      <c r="I2305" s="94"/>
      <c r="J2305" s="94"/>
      <c r="K2305" s="93"/>
      <c r="L2305" s="86"/>
      <c r="M2305" s="161"/>
      <c r="N2305" s="86"/>
      <c r="O2305" s="86"/>
      <c r="P2305" s="86"/>
      <c r="Q2305" s="85"/>
      <c r="S2305" s="85"/>
      <c r="T2305" s="85"/>
      <c r="U2305" s="85"/>
      <c r="V2305" s="85"/>
      <c r="W2305" s="85"/>
      <c r="X2305" s="85"/>
    </row>
    <row r="2306" spans="2:24" s="58" customFormat="1" ht="12" x14ac:dyDescent="0.2">
      <c r="B2306" s="91"/>
      <c r="E2306" s="92"/>
      <c r="F2306" s="93"/>
      <c r="G2306" s="94"/>
      <c r="H2306" s="94"/>
      <c r="I2306" s="94"/>
      <c r="J2306" s="94"/>
      <c r="K2306" s="93"/>
      <c r="L2306" s="86"/>
      <c r="M2306" s="161"/>
      <c r="N2306" s="86"/>
      <c r="O2306" s="86"/>
      <c r="P2306" s="86"/>
      <c r="Q2306" s="85"/>
      <c r="S2306" s="85"/>
      <c r="T2306" s="85"/>
      <c r="U2306" s="85"/>
      <c r="V2306" s="85"/>
      <c r="W2306" s="85"/>
      <c r="X2306" s="85"/>
    </row>
    <row r="2307" spans="2:24" s="58" customFormat="1" ht="12" x14ac:dyDescent="0.2">
      <c r="B2307" s="91"/>
      <c r="E2307" s="92"/>
      <c r="F2307" s="93"/>
      <c r="G2307" s="94"/>
      <c r="H2307" s="94"/>
      <c r="I2307" s="94"/>
      <c r="J2307" s="94"/>
      <c r="K2307" s="93"/>
      <c r="L2307" s="86"/>
      <c r="M2307" s="161"/>
      <c r="N2307" s="86"/>
      <c r="O2307" s="86"/>
      <c r="P2307" s="86"/>
      <c r="Q2307" s="85"/>
      <c r="S2307" s="85"/>
      <c r="T2307" s="85"/>
      <c r="U2307" s="85"/>
      <c r="V2307" s="85"/>
      <c r="W2307" s="85"/>
      <c r="X2307" s="85"/>
    </row>
    <row r="2308" spans="2:24" s="58" customFormat="1" ht="12" x14ac:dyDescent="0.2">
      <c r="B2308" s="91"/>
      <c r="E2308" s="92"/>
      <c r="F2308" s="93"/>
      <c r="G2308" s="94"/>
      <c r="H2308" s="94"/>
      <c r="I2308" s="94"/>
      <c r="J2308" s="94"/>
      <c r="K2308" s="93"/>
      <c r="L2308" s="86"/>
      <c r="M2308" s="161"/>
      <c r="N2308" s="86"/>
      <c r="O2308" s="86"/>
      <c r="P2308" s="86"/>
      <c r="Q2308" s="85"/>
      <c r="S2308" s="85"/>
      <c r="T2308" s="85"/>
      <c r="U2308" s="85"/>
      <c r="V2308" s="85"/>
      <c r="W2308" s="85"/>
      <c r="X2308" s="85"/>
    </row>
    <row r="2309" spans="2:24" s="58" customFormat="1" ht="12" x14ac:dyDescent="0.2">
      <c r="B2309" s="91"/>
      <c r="E2309" s="92"/>
      <c r="F2309" s="93"/>
      <c r="G2309" s="94"/>
      <c r="H2309" s="94"/>
      <c r="I2309" s="94"/>
      <c r="J2309" s="94"/>
      <c r="K2309" s="93"/>
      <c r="L2309" s="86"/>
      <c r="M2309" s="161"/>
      <c r="N2309" s="86"/>
      <c r="O2309" s="86"/>
      <c r="P2309" s="86"/>
      <c r="Q2309" s="85"/>
      <c r="S2309" s="85"/>
      <c r="T2309" s="85"/>
      <c r="U2309" s="85"/>
      <c r="V2309" s="85"/>
      <c r="W2309" s="85"/>
      <c r="X2309" s="85"/>
    </row>
    <row r="2310" spans="2:24" s="58" customFormat="1" ht="12" x14ac:dyDescent="0.2">
      <c r="B2310" s="91"/>
      <c r="E2310" s="92"/>
      <c r="F2310" s="93"/>
      <c r="G2310" s="94"/>
      <c r="H2310" s="94"/>
      <c r="I2310" s="94"/>
      <c r="J2310" s="94"/>
      <c r="K2310" s="93"/>
      <c r="L2310" s="86"/>
      <c r="M2310" s="161"/>
      <c r="N2310" s="86"/>
      <c r="O2310" s="86"/>
      <c r="P2310" s="86"/>
      <c r="Q2310" s="85"/>
      <c r="S2310" s="85"/>
      <c r="T2310" s="85"/>
      <c r="U2310" s="85"/>
      <c r="V2310" s="85"/>
      <c r="W2310" s="85"/>
      <c r="X2310" s="85"/>
    </row>
    <row r="2311" spans="2:24" s="58" customFormat="1" ht="12" x14ac:dyDescent="0.2">
      <c r="B2311" s="91"/>
      <c r="E2311" s="92"/>
      <c r="F2311" s="93"/>
      <c r="G2311" s="94"/>
      <c r="H2311" s="94"/>
      <c r="I2311" s="94"/>
      <c r="J2311" s="94"/>
      <c r="K2311" s="93"/>
      <c r="L2311" s="86"/>
      <c r="M2311" s="161"/>
      <c r="N2311" s="86"/>
      <c r="O2311" s="86"/>
      <c r="P2311" s="86"/>
      <c r="Q2311" s="85"/>
      <c r="S2311" s="85"/>
      <c r="T2311" s="85"/>
      <c r="U2311" s="85"/>
      <c r="V2311" s="85"/>
      <c r="W2311" s="85"/>
      <c r="X2311" s="85"/>
    </row>
    <row r="2312" spans="2:24" s="58" customFormat="1" ht="12" x14ac:dyDescent="0.2">
      <c r="B2312" s="91"/>
      <c r="E2312" s="92"/>
      <c r="F2312" s="93"/>
      <c r="G2312" s="94"/>
      <c r="H2312" s="94"/>
      <c r="I2312" s="94"/>
      <c r="J2312" s="94"/>
      <c r="K2312" s="93"/>
      <c r="L2312" s="86"/>
      <c r="M2312" s="161"/>
      <c r="N2312" s="86"/>
      <c r="O2312" s="86"/>
      <c r="P2312" s="86"/>
      <c r="Q2312" s="85"/>
      <c r="S2312" s="85"/>
      <c r="T2312" s="85"/>
      <c r="U2312" s="85"/>
      <c r="V2312" s="85"/>
      <c r="W2312" s="85"/>
      <c r="X2312" s="85"/>
    </row>
    <row r="2313" spans="2:24" s="58" customFormat="1" ht="12" x14ac:dyDescent="0.2">
      <c r="B2313" s="91"/>
      <c r="E2313" s="92"/>
      <c r="F2313" s="93"/>
      <c r="G2313" s="94"/>
      <c r="H2313" s="94"/>
      <c r="I2313" s="94"/>
      <c r="J2313" s="94"/>
      <c r="K2313" s="93"/>
      <c r="L2313" s="86"/>
      <c r="M2313" s="161"/>
      <c r="N2313" s="86"/>
      <c r="O2313" s="86"/>
      <c r="P2313" s="86"/>
      <c r="Q2313" s="85"/>
      <c r="S2313" s="85"/>
      <c r="T2313" s="85"/>
      <c r="U2313" s="85"/>
      <c r="V2313" s="85"/>
      <c r="W2313" s="85"/>
      <c r="X2313" s="85"/>
    </row>
    <row r="2314" spans="2:24" s="58" customFormat="1" ht="12" x14ac:dyDescent="0.2">
      <c r="B2314" s="91"/>
      <c r="E2314" s="92"/>
      <c r="F2314" s="93"/>
      <c r="G2314" s="94"/>
      <c r="H2314" s="94"/>
      <c r="I2314" s="94"/>
      <c r="J2314" s="94"/>
      <c r="K2314" s="93"/>
      <c r="L2314" s="86"/>
      <c r="M2314" s="161"/>
      <c r="N2314" s="86"/>
      <c r="O2314" s="86"/>
      <c r="P2314" s="86"/>
      <c r="Q2314" s="85"/>
      <c r="S2314" s="85"/>
      <c r="T2314" s="85"/>
      <c r="U2314" s="85"/>
      <c r="V2314" s="85"/>
      <c r="W2314" s="85"/>
      <c r="X2314" s="85"/>
    </row>
    <row r="2315" spans="2:24" s="58" customFormat="1" ht="12" x14ac:dyDescent="0.2">
      <c r="B2315" s="91"/>
      <c r="E2315" s="92"/>
      <c r="F2315" s="93"/>
      <c r="G2315" s="94"/>
      <c r="H2315" s="94"/>
      <c r="I2315" s="94"/>
      <c r="J2315" s="94"/>
      <c r="K2315" s="93"/>
      <c r="L2315" s="86"/>
      <c r="M2315" s="161"/>
      <c r="N2315" s="86"/>
      <c r="O2315" s="86"/>
      <c r="P2315" s="86"/>
      <c r="Q2315" s="85"/>
      <c r="S2315" s="85"/>
      <c r="T2315" s="85"/>
      <c r="U2315" s="85"/>
      <c r="V2315" s="85"/>
      <c r="W2315" s="85"/>
      <c r="X2315" s="85"/>
    </row>
    <row r="2316" spans="2:24" s="58" customFormat="1" ht="12" x14ac:dyDescent="0.2">
      <c r="B2316" s="91"/>
      <c r="E2316" s="92"/>
      <c r="F2316" s="93"/>
      <c r="G2316" s="94"/>
      <c r="H2316" s="94"/>
      <c r="I2316" s="94"/>
      <c r="J2316" s="94"/>
      <c r="K2316" s="93"/>
      <c r="L2316" s="86"/>
      <c r="M2316" s="161"/>
      <c r="N2316" s="86"/>
      <c r="O2316" s="86"/>
      <c r="P2316" s="86"/>
      <c r="Q2316" s="85"/>
      <c r="S2316" s="85"/>
      <c r="T2316" s="85"/>
      <c r="U2316" s="85"/>
      <c r="V2316" s="85"/>
      <c r="W2316" s="85"/>
      <c r="X2316" s="85"/>
    </row>
    <row r="2317" spans="2:24" s="58" customFormat="1" ht="12" x14ac:dyDescent="0.2">
      <c r="B2317" s="91"/>
      <c r="E2317" s="92"/>
      <c r="F2317" s="93"/>
      <c r="G2317" s="94"/>
      <c r="H2317" s="94"/>
      <c r="I2317" s="94"/>
      <c r="J2317" s="94"/>
      <c r="K2317" s="93"/>
      <c r="L2317" s="86"/>
      <c r="M2317" s="161"/>
      <c r="N2317" s="86"/>
      <c r="O2317" s="86"/>
      <c r="P2317" s="86"/>
      <c r="Q2317" s="85"/>
      <c r="S2317" s="85"/>
      <c r="T2317" s="85"/>
      <c r="U2317" s="85"/>
      <c r="V2317" s="85"/>
      <c r="W2317" s="85"/>
      <c r="X2317" s="85"/>
    </row>
    <row r="2318" spans="2:24" s="58" customFormat="1" ht="12" x14ac:dyDescent="0.2">
      <c r="B2318" s="91"/>
      <c r="E2318" s="92"/>
      <c r="F2318" s="93"/>
      <c r="G2318" s="94"/>
      <c r="H2318" s="94"/>
      <c r="I2318" s="94"/>
      <c r="J2318" s="94"/>
      <c r="K2318" s="93"/>
      <c r="L2318" s="86"/>
      <c r="M2318" s="161"/>
      <c r="N2318" s="86"/>
      <c r="O2318" s="86"/>
      <c r="P2318" s="86"/>
      <c r="Q2318" s="85"/>
      <c r="S2318" s="85"/>
      <c r="T2318" s="85"/>
      <c r="U2318" s="85"/>
      <c r="V2318" s="85"/>
      <c r="W2318" s="85"/>
      <c r="X2318" s="85"/>
    </row>
    <row r="2319" spans="2:24" s="58" customFormat="1" ht="12" x14ac:dyDescent="0.2">
      <c r="B2319" s="91"/>
      <c r="E2319" s="92"/>
      <c r="F2319" s="93"/>
      <c r="G2319" s="94"/>
      <c r="H2319" s="94"/>
      <c r="I2319" s="94"/>
      <c r="J2319" s="94"/>
      <c r="K2319" s="93"/>
      <c r="L2319" s="86"/>
      <c r="M2319" s="161"/>
      <c r="N2319" s="86"/>
      <c r="O2319" s="86"/>
      <c r="P2319" s="86"/>
      <c r="Q2319" s="85"/>
      <c r="S2319" s="85"/>
      <c r="T2319" s="85"/>
      <c r="U2319" s="85"/>
      <c r="V2319" s="85"/>
      <c r="W2319" s="85"/>
      <c r="X2319" s="85"/>
    </row>
    <row r="2320" spans="2:24" s="58" customFormat="1" ht="12" x14ac:dyDescent="0.2">
      <c r="B2320" s="91"/>
      <c r="E2320" s="92"/>
      <c r="F2320" s="93"/>
      <c r="G2320" s="94"/>
      <c r="H2320" s="94"/>
      <c r="I2320" s="94"/>
      <c r="J2320" s="94"/>
      <c r="K2320" s="93"/>
      <c r="L2320" s="86"/>
      <c r="M2320" s="161"/>
      <c r="N2320" s="86"/>
      <c r="O2320" s="86"/>
      <c r="P2320" s="86"/>
      <c r="Q2320" s="85"/>
      <c r="S2320" s="85"/>
      <c r="T2320" s="85"/>
      <c r="U2320" s="85"/>
      <c r="V2320" s="85"/>
      <c r="W2320" s="85"/>
      <c r="X2320" s="85"/>
    </row>
    <row r="2321" spans="2:24" s="58" customFormat="1" ht="12" x14ac:dyDescent="0.2">
      <c r="B2321" s="91"/>
      <c r="E2321" s="92"/>
      <c r="F2321" s="93"/>
      <c r="G2321" s="94"/>
      <c r="H2321" s="94"/>
      <c r="I2321" s="94"/>
      <c r="J2321" s="94"/>
      <c r="K2321" s="93"/>
      <c r="L2321" s="86"/>
      <c r="M2321" s="161"/>
      <c r="N2321" s="86"/>
      <c r="O2321" s="86"/>
      <c r="P2321" s="86"/>
      <c r="Q2321" s="85"/>
      <c r="S2321" s="85"/>
      <c r="T2321" s="85"/>
      <c r="U2321" s="85"/>
      <c r="V2321" s="85"/>
      <c r="W2321" s="85"/>
      <c r="X2321" s="85"/>
    </row>
    <row r="2322" spans="2:24" s="58" customFormat="1" ht="12" x14ac:dyDescent="0.2">
      <c r="B2322" s="91"/>
      <c r="E2322" s="92"/>
      <c r="F2322" s="93"/>
      <c r="G2322" s="94"/>
      <c r="H2322" s="94"/>
      <c r="I2322" s="94"/>
      <c r="J2322" s="94"/>
      <c r="K2322" s="93"/>
      <c r="L2322" s="86"/>
      <c r="M2322" s="161"/>
      <c r="N2322" s="86"/>
      <c r="O2322" s="86"/>
      <c r="P2322" s="86"/>
      <c r="Q2322" s="85"/>
      <c r="S2322" s="85"/>
      <c r="T2322" s="85"/>
      <c r="U2322" s="85"/>
      <c r="V2322" s="85"/>
      <c r="W2322" s="85"/>
      <c r="X2322" s="85"/>
    </row>
    <row r="2323" spans="2:24" s="58" customFormat="1" ht="12" x14ac:dyDescent="0.2">
      <c r="B2323" s="91"/>
      <c r="E2323" s="92"/>
      <c r="F2323" s="93"/>
      <c r="G2323" s="94"/>
      <c r="H2323" s="94"/>
      <c r="I2323" s="94"/>
      <c r="J2323" s="94"/>
      <c r="K2323" s="93"/>
      <c r="L2323" s="86"/>
      <c r="M2323" s="161"/>
      <c r="N2323" s="86"/>
      <c r="O2323" s="86"/>
      <c r="P2323" s="86"/>
      <c r="Q2323" s="85"/>
      <c r="S2323" s="85"/>
      <c r="T2323" s="85"/>
      <c r="U2323" s="85"/>
      <c r="V2323" s="85"/>
      <c r="W2323" s="85"/>
      <c r="X2323" s="85"/>
    </row>
    <row r="2324" spans="2:24" s="58" customFormat="1" ht="12" x14ac:dyDescent="0.2">
      <c r="B2324" s="91"/>
      <c r="E2324" s="92"/>
      <c r="F2324" s="93"/>
      <c r="G2324" s="94"/>
      <c r="H2324" s="94"/>
      <c r="I2324" s="94"/>
      <c r="J2324" s="94"/>
      <c r="K2324" s="93"/>
      <c r="L2324" s="86"/>
      <c r="M2324" s="161"/>
      <c r="N2324" s="86"/>
      <c r="O2324" s="86"/>
      <c r="P2324" s="86"/>
      <c r="Q2324" s="85"/>
      <c r="S2324" s="85"/>
      <c r="T2324" s="85"/>
      <c r="U2324" s="85"/>
      <c r="V2324" s="85"/>
      <c r="W2324" s="85"/>
      <c r="X2324" s="85"/>
    </row>
    <row r="2325" spans="2:24" s="58" customFormat="1" ht="12" x14ac:dyDescent="0.2">
      <c r="B2325" s="91"/>
      <c r="E2325" s="92"/>
      <c r="F2325" s="93"/>
      <c r="G2325" s="94"/>
      <c r="H2325" s="94"/>
      <c r="I2325" s="94"/>
      <c r="J2325" s="94"/>
      <c r="K2325" s="93"/>
      <c r="L2325" s="86"/>
      <c r="M2325" s="161"/>
      <c r="N2325" s="86"/>
      <c r="O2325" s="86"/>
      <c r="P2325" s="86"/>
      <c r="Q2325" s="85"/>
      <c r="S2325" s="85"/>
      <c r="T2325" s="85"/>
      <c r="U2325" s="85"/>
      <c r="V2325" s="85"/>
      <c r="W2325" s="85"/>
      <c r="X2325" s="85"/>
    </row>
    <row r="2326" spans="2:24" s="58" customFormat="1" ht="12" x14ac:dyDescent="0.2">
      <c r="B2326" s="91"/>
      <c r="E2326" s="92"/>
      <c r="F2326" s="93"/>
      <c r="G2326" s="94"/>
      <c r="H2326" s="94"/>
      <c r="I2326" s="94"/>
      <c r="J2326" s="94"/>
      <c r="K2326" s="93"/>
      <c r="L2326" s="86"/>
      <c r="M2326" s="161"/>
      <c r="N2326" s="86"/>
      <c r="O2326" s="86"/>
      <c r="P2326" s="86"/>
      <c r="Q2326" s="85"/>
      <c r="S2326" s="85"/>
      <c r="T2326" s="85"/>
      <c r="U2326" s="85"/>
      <c r="V2326" s="85"/>
      <c r="W2326" s="85"/>
      <c r="X2326" s="85"/>
    </row>
    <row r="2327" spans="2:24" s="58" customFormat="1" ht="12" x14ac:dyDescent="0.2">
      <c r="B2327" s="91"/>
      <c r="E2327" s="92"/>
      <c r="F2327" s="93"/>
      <c r="G2327" s="94"/>
      <c r="H2327" s="94"/>
      <c r="I2327" s="94"/>
      <c r="J2327" s="94"/>
      <c r="K2327" s="93"/>
      <c r="L2327" s="86"/>
      <c r="M2327" s="161"/>
      <c r="N2327" s="86"/>
      <c r="O2327" s="86"/>
      <c r="P2327" s="86"/>
      <c r="Q2327" s="85"/>
      <c r="S2327" s="85"/>
      <c r="T2327" s="85"/>
      <c r="U2327" s="85"/>
      <c r="V2327" s="85"/>
      <c r="W2327" s="85"/>
      <c r="X2327" s="85"/>
    </row>
    <row r="2328" spans="2:24" s="58" customFormat="1" ht="12" x14ac:dyDescent="0.2">
      <c r="B2328" s="91"/>
      <c r="E2328" s="92"/>
      <c r="F2328" s="93"/>
      <c r="G2328" s="94"/>
      <c r="H2328" s="94"/>
      <c r="I2328" s="94"/>
      <c r="J2328" s="94"/>
      <c r="K2328" s="93"/>
      <c r="L2328" s="86"/>
      <c r="M2328" s="161"/>
      <c r="N2328" s="86"/>
      <c r="O2328" s="86"/>
      <c r="P2328" s="86"/>
      <c r="Q2328" s="85"/>
      <c r="S2328" s="85"/>
      <c r="T2328" s="85"/>
      <c r="U2328" s="85"/>
      <c r="V2328" s="85"/>
      <c r="W2328" s="85"/>
      <c r="X2328" s="85"/>
    </row>
    <row r="2329" spans="2:24" s="58" customFormat="1" ht="12" x14ac:dyDescent="0.2">
      <c r="B2329" s="91"/>
      <c r="E2329" s="92"/>
      <c r="F2329" s="93"/>
      <c r="G2329" s="94"/>
      <c r="H2329" s="94"/>
      <c r="I2329" s="94"/>
      <c r="J2329" s="94"/>
      <c r="K2329" s="93"/>
      <c r="L2329" s="86"/>
      <c r="M2329" s="161"/>
      <c r="N2329" s="86"/>
      <c r="O2329" s="86"/>
      <c r="P2329" s="86"/>
      <c r="Q2329" s="85"/>
      <c r="S2329" s="85"/>
      <c r="T2329" s="85"/>
      <c r="U2329" s="85"/>
      <c r="V2329" s="85"/>
      <c r="W2329" s="85"/>
      <c r="X2329" s="85"/>
    </row>
    <row r="2330" spans="2:24" s="58" customFormat="1" ht="12" x14ac:dyDescent="0.2">
      <c r="B2330" s="91"/>
      <c r="E2330" s="92"/>
      <c r="F2330" s="93"/>
      <c r="G2330" s="94"/>
      <c r="H2330" s="94"/>
      <c r="I2330" s="94"/>
      <c r="J2330" s="94"/>
      <c r="K2330" s="93"/>
      <c r="L2330" s="86"/>
      <c r="M2330" s="161"/>
      <c r="N2330" s="86"/>
      <c r="O2330" s="86"/>
      <c r="P2330" s="86"/>
      <c r="Q2330" s="85"/>
      <c r="S2330" s="85"/>
      <c r="T2330" s="85"/>
      <c r="U2330" s="85"/>
      <c r="V2330" s="85"/>
      <c r="W2330" s="85"/>
      <c r="X2330" s="85"/>
    </row>
    <row r="2331" spans="2:24" s="58" customFormat="1" ht="12" x14ac:dyDescent="0.2">
      <c r="B2331" s="91"/>
      <c r="E2331" s="92"/>
      <c r="F2331" s="93"/>
      <c r="G2331" s="94"/>
      <c r="H2331" s="94"/>
      <c r="I2331" s="94"/>
      <c r="J2331" s="94"/>
      <c r="K2331" s="93"/>
      <c r="L2331" s="86"/>
      <c r="M2331" s="161"/>
      <c r="N2331" s="86"/>
      <c r="O2331" s="86"/>
      <c r="P2331" s="86"/>
      <c r="Q2331" s="85"/>
      <c r="S2331" s="85"/>
      <c r="T2331" s="85"/>
      <c r="U2331" s="85"/>
      <c r="V2331" s="85"/>
      <c r="W2331" s="85"/>
      <c r="X2331" s="85"/>
    </row>
    <row r="2332" spans="2:24" s="58" customFormat="1" ht="12" x14ac:dyDescent="0.2">
      <c r="B2332" s="91"/>
      <c r="E2332" s="92"/>
      <c r="F2332" s="93"/>
      <c r="G2332" s="94"/>
      <c r="H2332" s="94"/>
      <c r="I2332" s="94"/>
      <c r="J2332" s="94"/>
      <c r="K2332" s="93"/>
      <c r="L2332" s="86"/>
      <c r="M2332" s="161"/>
      <c r="N2332" s="86"/>
      <c r="O2332" s="86"/>
      <c r="P2332" s="86"/>
      <c r="Q2332" s="85"/>
      <c r="S2332" s="85"/>
      <c r="T2332" s="85"/>
      <c r="U2332" s="85"/>
      <c r="V2332" s="85"/>
      <c r="W2332" s="85"/>
      <c r="X2332" s="85"/>
    </row>
    <row r="2333" spans="2:24" s="58" customFormat="1" ht="12" x14ac:dyDescent="0.2">
      <c r="B2333" s="91"/>
      <c r="E2333" s="92"/>
      <c r="F2333" s="93"/>
      <c r="G2333" s="94"/>
      <c r="H2333" s="94"/>
      <c r="I2333" s="94"/>
      <c r="J2333" s="94"/>
      <c r="K2333" s="93"/>
      <c r="L2333" s="86"/>
      <c r="M2333" s="161"/>
      <c r="N2333" s="86"/>
      <c r="O2333" s="86"/>
      <c r="P2333" s="86"/>
      <c r="Q2333" s="85"/>
      <c r="S2333" s="85"/>
      <c r="T2333" s="85"/>
      <c r="U2333" s="85"/>
      <c r="V2333" s="85"/>
      <c r="W2333" s="85"/>
      <c r="X2333" s="85"/>
    </row>
    <row r="2334" spans="2:24" s="58" customFormat="1" ht="12" x14ac:dyDescent="0.2">
      <c r="B2334" s="91"/>
      <c r="E2334" s="92"/>
      <c r="F2334" s="93"/>
      <c r="G2334" s="94"/>
      <c r="H2334" s="94"/>
      <c r="I2334" s="94"/>
      <c r="J2334" s="94"/>
      <c r="K2334" s="93"/>
      <c r="L2334" s="86"/>
      <c r="M2334" s="161"/>
      <c r="N2334" s="86"/>
      <c r="O2334" s="86"/>
      <c r="P2334" s="86"/>
      <c r="Q2334" s="85"/>
      <c r="S2334" s="85"/>
      <c r="T2334" s="85"/>
      <c r="U2334" s="85"/>
      <c r="V2334" s="85"/>
      <c r="W2334" s="85"/>
      <c r="X2334" s="85"/>
    </row>
    <row r="2335" spans="2:24" s="58" customFormat="1" ht="12" x14ac:dyDescent="0.2">
      <c r="B2335" s="91"/>
      <c r="E2335" s="92"/>
      <c r="F2335" s="93"/>
      <c r="G2335" s="94"/>
      <c r="H2335" s="94"/>
      <c r="I2335" s="94"/>
      <c r="J2335" s="94"/>
      <c r="K2335" s="93"/>
      <c r="L2335" s="86"/>
      <c r="M2335" s="161"/>
      <c r="N2335" s="86"/>
      <c r="O2335" s="86"/>
      <c r="P2335" s="86"/>
      <c r="Q2335" s="85"/>
      <c r="S2335" s="85"/>
      <c r="T2335" s="85"/>
      <c r="U2335" s="85"/>
      <c r="V2335" s="85"/>
      <c r="W2335" s="85"/>
      <c r="X2335" s="85"/>
    </row>
    <row r="2336" spans="2:24" s="58" customFormat="1" ht="12" x14ac:dyDescent="0.2">
      <c r="B2336" s="91"/>
      <c r="E2336" s="92"/>
      <c r="F2336" s="93"/>
      <c r="G2336" s="94"/>
      <c r="H2336" s="94"/>
      <c r="I2336" s="94"/>
      <c r="J2336" s="94"/>
      <c r="K2336" s="93"/>
      <c r="L2336" s="86"/>
      <c r="M2336" s="161"/>
      <c r="N2336" s="86"/>
      <c r="O2336" s="86"/>
      <c r="P2336" s="86"/>
      <c r="Q2336" s="85"/>
      <c r="S2336" s="85"/>
      <c r="T2336" s="85"/>
      <c r="U2336" s="85"/>
      <c r="V2336" s="85"/>
      <c r="W2336" s="85"/>
      <c r="X2336" s="85"/>
    </row>
    <row r="2337" spans="2:24" s="58" customFormat="1" ht="12" x14ac:dyDescent="0.2">
      <c r="B2337" s="91"/>
      <c r="E2337" s="92"/>
      <c r="F2337" s="93"/>
      <c r="G2337" s="94"/>
      <c r="H2337" s="94"/>
      <c r="I2337" s="94"/>
      <c r="J2337" s="94"/>
      <c r="K2337" s="93"/>
      <c r="L2337" s="86"/>
      <c r="M2337" s="161"/>
      <c r="N2337" s="86"/>
      <c r="O2337" s="86"/>
      <c r="P2337" s="86"/>
      <c r="Q2337" s="85"/>
      <c r="S2337" s="85"/>
      <c r="T2337" s="85"/>
      <c r="U2337" s="85"/>
      <c r="V2337" s="85"/>
      <c r="W2337" s="85"/>
      <c r="X2337" s="85"/>
    </row>
    <row r="2338" spans="2:24" s="58" customFormat="1" ht="12" x14ac:dyDescent="0.2">
      <c r="B2338" s="91"/>
      <c r="E2338" s="92"/>
      <c r="F2338" s="93"/>
      <c r="G2338" s="94"/>
      <c r="H2338" s="94"/>
      <c r="I2338" s="94"/>
      <c r="J2338" s="94"/>
      <c r="K2338" s="93"/>
      <c r="L2338" s="86"/>
      <c r="M2338" s="161"/>
      <c r="N2338" s="86"/>
      <c r="O2338" s="86"/>
      <c r="P2338" s="86"/>
      <c r="Q2338" s="85"/>
      <c r="S2338" s="85"/>
      <c r="T2338" s="85"/>
      <c r="U2338" s="85"/>
      <c r="V2338" s="85"/>
      <c r="W2338" s="85"/>
      <c r="X2338" s="85"/>
    </row>
    <row r="2339" spans="2:24" s="58" customFormat="1" ht="12" x14ac:dyDescent="0.2">
      <c r="B2339" s="91"/>
      <c r="E2339" s="92"/>
      <c r="F2339" s="93"/>
      <c r="G2339" s="94"/>
      <c r="H2339" s="94"/>
      <c r="I2339" s="94"/>
      <c r="J2339" s="94"/>
      <c r="K2339" s="93"/>
      <c r="L2339" s="86"/>
      <c r="M2339" s="161"/>
      <c r="N2339" s="86"/>
      <c r="O2339" s="86"/>
      <c r="P2339" s="86"/>
      <c r="Q2339" s="85"/>
      <c r="S2339" s="85"/>
      <c r="T2339" s="85"/>
      <c r="U2339" s="85"/>
      <c r="V2339" s="85"/>
      <c r="W2339" s="85"/>
      <c r="X2339" s="85"/>
    </row>
    <row r="2340" spans="2:24" s="58" customFormat="1" ht="12" x14ac:dyDescent="0.2">
      <c r="B2340" s="91"/>
      <c r="E2340" s="92"/>
      <c r="F2340" s="93"/>
      <c r="G2340" s="94"/>
      <c r="H2340" s="94"/>
      <c r="I2340" s="94"/>
      <c r="J2340" s="94"/>
      <c r="K2340" s="93"/>
      <c r="L2340" s="86"/>
      <c r="M2340" s="161"/>
      <c r="N2340" s="86"/>
      <c r="O2340" s="86"/>
      <c r="P2340" s="86"/>
      <c r="Q2340" s="85"/>
      <c r="S2340" s="85"/>
      <c r="T2340" s="85"/>
      <c r="U2340" s="85"/>
      <c r="V2340" s="85"/>
      <c r="W2340" s="85"/>
      <c r="X2340" s="85"/>
    </row>
    <row r="2341" spans="2:24" s="58" customFormat="1" ht="12" x14ac:dyDescent="0.2">
      <c r="B2341" s="91"/>
      <c r="E2341" s="92"/>
      <c r="F2341" s="93"/>
      <c r="G2341" s="94"/>
      <c r="H2341" s="94"/>
      <c r="I2341" s="94"/>
      <c r="J2341" s="94"/>
      <c r="K2341" s="93"/>
      <c r="L2341" s="86"/>
      <c r="M2341" s="161"/>
      <c r="N2341" s="86"/>
      <c r="O2341" s="86"/>
      <c r="P2341" s="86"/>
      <c r="Q2341" s="85"/>
      <c r="S2341" s="85"/>
      <c r="T2341" s="85"/>
      <c r="U2341" s="85"/>
      <c r="V2341" s="85"/>
      <c r="W2341" s="85"/>
      <c r="X2341" s="85"/>
    </row>
    <row r="2342" spans="2:24" s="58" customFormat="1" ht="12" x14ac:dyDescent="0.2">
      <c r="B2342" s="91"/>
      <c r="E2342" s="92"/>
      <c r="F2342" s="93"/>
      <c r="G2342" s="94"/>
      <c r="H2342" s="94"/>
      <c r="I2342" s="94"/>
      <c r="J2342" s="94"/>
      <c r="K2342" s="93"/>
      <c r="L2342" s="86"/>
      <c r="M2342" s="161"/>
      <c r="N2342" s="86"/>
      <c r="O2342" s="86"/>
      <c r="P2342" s="86"/>
      <c r="Q2342" s="85"/>
      <c r="S2342" s="85"/>
      <c r="T2342" s="85"/>
      <c r="U2342" s="85"/>
      <c r="V2342" s="85"/>
      <c r="W2342" s="85"/>
      <c r="X2342" s="85"/>
    </row>
    <row r="2343" spans="2:24" s="58" customFormat="1" ht="12" x14ac:dyDescent="0.2">
      <c r="B2343" s="91"/>
      <c r="E2343" s="92"/>
      <c r="F2343" s="93"/>
      <c r="G2343" s="94"/>
      <c r="H2343" s="94"/>
      <c r="I2343" s="94"/>
      <c r="J2343" s="94"/>
      <c r="K2343" s="93"/>
      <c r="L2343" s="86"/>
      <c r="M2343" s="161"/>
      <c r="N2343" s="86"/>
      <c r="O2343" s="86"/>
      <c r="P2343" s="86"/>
      <c r="Q2343" s="85"/>
      <c r="S2343" s="85"/>
      <c r="T2343" s="85"/>
      <c r="U2343" s="85"/>
      <c r="V2343" s="85"/>
      <c r="W2343" s="85"/>
      <c r="X2343" s="85"/>
    </row>
    <row r="2344" spans="2:24" s="58" customFormat="1" ht="12" x14ac:dyDescent="0.2">
      <c r="B2344" s="91"/>
      <c r="E2344" s="92"/>
      <c r="F2344" s="93"/>
      <c r="G2344" s="94"/>
      <c r="H2344" s="94"/>
      <c r="I2344" s="94"/>
      <c r="J2344" s="94"/>
      <c r="K2344" s="93"/>
      <c r="L2344" s="86"/>
      <c r="M2344" s="161"/>
      <c r="N2344" s="86"/>
      <c r="O2344" s="86"/>
      <c r="P2344" s="86"/>
      <c r="Q2344" s="85"/>
      <c r="S2344" s="85"/>
      <c r="T2344" s="85"/>
      <c r="U2344" s="85"/>
      <c r="V2344" s="85"/>
      <c r="W2344" s="85"/>
      <c r="X2344" s="85"/>
    </row>
    <row r="2345" spans="2:24" s="58" customFormat="1" ht="12" x14ac:dyDescent="0.2">
      <c r="B2345" s="91"/>
      <c r="E2345" s="92"/>
      <c r="F2345" s="93"/>
      <c r="G2345" s="94"/>
      <c r="H2345" s="94"/>
      <c r="I2345" s="94"/>
      <c r="J2345" s="94"/>
      <c r="K2345" s="93"/>
      <c r="L2345" s="86"/>
      <c r="M2345" s="161"/>
      <c r="N2345" s="86"/>
      <c r="O2345" s="86"/>
      <c r="P2345" s="86"/>
      <c r="Q2345" s="85"/>
      <c r="S2345" s="85"/>
      <c r="T2345" s="85"/>
      <c r="U2345" s="85"/>
      <c r="V2345" s="85"/>
      <c r="W2345" s="85"/>
      <c r="X2345" s="85"/>
    </row>
    <row r="2346" spans="2:24" s="58" customFormat="1" ht="12" x14ac:dyDescent="0.2">
      <c r="B2346" s="91"/>
      <c r="E2346" s="92"/>
      <c r="F2346" s="93"/>
      <c r="G2346" s="94"/>
      <c r="H2346" s="94"/>
      <c r="I2346" s="94"/>
      <c r="J2346" s="94"/>
      <c r="K2346" s="93"/>
      <c r="L2346" s="86"/>
      <c r="M2346" s="161"/>
      <c r="N2346" s="86"/>
      <c r="O2346" s="86"/>
      <c r="P2346" s="86"/>
      <c r="Q2346" s="85"/>
      <c r="S2346" s="85"/>
      <c r="T2346" s="85"/>
      <c r="U2346" s="85"/>
      <c r="V2346" s="85"/>
      <c r="W2346" s="85"/>
      <c r="X2346" s="85"/>
    </row>
    <row r="2347" spans="2:24" s="58" customFormat="1" ht="12" x14ac:dyDescent="0.2">
      <c r="B2347" s="91"/>
      <c r="E2347" s="92"/>
      <c r="F2347" s="93"/>
      <c r="G2347" s="94"/>
      <c r="H2347" s="94"/>
      <c r="I2347" s="94"/>
      <c r="J2347" s="94"/>
      <c r="K2347" s="93"/>
      <c r="L2347" s="86"/>
      <c r="M2347" s="161"/>
      <c r="N2347" s="86"/>
      <c r="O2347" s="86"/>
      <c r="P2347" s="86"/>
      <c r="Q2347" s="85"/>
      <c r="S2347" s="85"/>
      <c r="T2347" s="85"/>
      <c r="U2347" s="85"/>
      <c r="V2347" s="85"/>
      <c r="W2347" s="85"/>
      <c r="X2347" s="85"/>
    </row>
    <row r="2348" spans="2:24" s="58" customFormat="1" ht="12" x14ac:dyDescent="0.2">
      <c r="B2348" s="91"/>
      <c r="E2348" s="92"/>
      <c r="F2348" s="93"/>
      <c r="G2348" s="94"/>
      <c r="H2348" s="94"/>
      <c r="I2348" s="94"/>
      <c r="J2348" s="94"/>
      <c r="K2348" s="93"/>
      <c r="L2348" s="86"/>
      <c r="M2348" s="161"/>
      <c r="N2348" s="86"/>
      <c r="O2348" s="86"/>
      <c r="P2348" s="86"/>
      <c r="Q2348" s="85"/>
      <c r="S2348" s="85"/>
      <c r="T2348" s="85"/>
      <c r="U2348" s="85"/>
      <c r="V2348" s="85"/>
      <c r="W2348" s="85"/>
      <c r="X2348" s="85"/>
    </row>
    <row r="2349" spans="2:24" s="58" customFormat="1" ht="12" x14ac:dyDescent="0.2">
      <c r="B2349" s="91"/>
      <c r="E2349" s="92"/>
      <c r="F2349" s="93"/>
      <c r="G2349" s="94"/>
      <c r="H2349" s="94"/>
      <c r="I2349" s="94"/>
      <c r="J2349" s="94"/>
      <c r="K2349" s="93"/>
      <c r="L2349" s="86"/>
      <c r="M2349" s="161"/>
      <c r="N2349" s="86"/>
      <c r="O2349" s="86"/>
      <c r="P2349" s="86"/>
      <c r="Q2349" s="85"/>
      <c r="S2349" s="85"/>
      <c r="T2349" s="85"/>
      <c r="U2349" s="85"/>
      <c r="V2349" s="85"/>
      <c r="W2349" s="85"/>
      <c r="X2349" s="85"/>
    </row>
    <row r="2350" spans="2:24" s="58" customFormat="1" ht="12" x14ac:dyDescent="0.2">
      <c r="B2350" s="91"/>
      <c r="E2350" s="92"/>
      <c r="F2350" s="93"/>
      <c r="G2350" s="94"/>
      <c r="H2350" s="94"/>
      <c r="I2350" s="94"/>
      <c r="J2350" s="94"/>
      <c r="K2350" s="93"/>
      <c r="L2350" s="86"/>
      <c r="M2350" s="161"/>
      <c r="N2350" s="86"/>
      <c r="O2350" s="86"/>
      <c r="P2350" s="86"/>
      <c r="Q2350" s="85"/>
      <c r="S2350" s="85"/>
      <c r="T2350" s="85"/>
      <c r="U2350" s="85"/>
      <c r="V2350" s="85"/>
      <c r="W2350" s="85"/>
      <c r="X2350" s="85"/>
    </row>
    <row r="2351" spans="2:24" s="58" customFormat="1" ht="12" x14ac:dyDescent="0.2">
      <c r="B2351" s="91"/>
      <c r="E2351" s="92"/>
      <c r="F2351" s="93"/>
      <c r="G2351" s="94"/>
      <c r="H2351" s="94"/>
      <c r="I2351" s="94"/>
      <c r="J2351" s="94"/>
      <c r="K2351" s="93"/>
      <c r="L2351" s="86"/>
      <c r="M2351" s="161"/>
      <c r="N2351" s="86"/>
      <c r="O2351" s="86"/>
      <c r="P2351" s="86"/>
      <c r="Q2351" s="85"/>
      <c r="S2351" s="85"/>
      <c r="T2351" s="85"/>
      <c r="U2351" s="85"/>
      <c r="V2351" s="85"/>
      <c r="W2351" s="85"/>
      <c r="X2351" s="85"/>
    </row>
    <row r="2352" spans="2:24" s="58" customFormat="1" ht="12" x14ac:dyDescent="0.2">
      <c r="B2352" s="91"/>
      <c r="E2352" s="92"/>
      <c r="F2352" s="93"/>
      <c r="G2352" s="94"/>
      <c r="H2352" s="94"/>
      <c r="I2352" s="94"/>
      <c r="J2352" s="94"/>
      <c r="K2352" s="93"/>
      <c r="L2352" s="86"/>
      <c r="M2352" s="161"/>
      <c r="N2352" s="86"/>
      <c r="O2352" s="86"/>
      <c r="P2352" s="86"/>
      <c r="Q2352" s="85"/>
      <c r="S2352" s="85"/>
      <c r="T2352" s="85"/>
      <c r="U2352" s="85"/>
      <c r="V2352" s="85"/>
      <c r="W2352" s="85"/>
      <c r="X2352" s="85"/>
    </row>
    <row r="2353" spans="2:24" s="58" customFormat="1" ht="12" x14ac:dyDescent="0.2">
      <c r="B2353" s="91"/>
      <c r="E2353" s="92"/>
      <c r="F2353" s="93"/>
      <c r="G2353" s="94"/>
      <c r="H2353" s="94"/>
      <c r="I2353" s="94"/>
      <c r="J2353" s="94"/>
      <c r="K2353" s="93"/>
      <c r="L2353" s="86"/>
      <c r="M2353" s="161"/>
      <c r="N2353" s="86"/>
      <c r="O2353" s="86"/>
      <c r="P2353" s="86"/>
      <c r="Q2353" s="85"/>
      <c r="S2353" s="85"/>
      <c r="T2353" s="85"/>
      <c r="U2353" s="85"/>
      <c r="V2353" s="85"/>
      <c r="W2353" s="85"/>
      <c r="X2353" s="85"/>
    </row>
    <row r="2354" spans="2:24" s="58" customFormat="1" ht="12" x14ac:dyDescent="0.2">
      <c r="B2354" s="91"/>
      <c r="E2354" s="92"/>
      <c r="F2354" s="93"/>
      <c r="G2354" s="94"/>
      <c r="H2354" s="94"/>
      <c r="I2354" s="94"/>
      <c r="J2354" s="94"/>
      <c r="K2354" s="93"/>
      <c r="L2354" s="86"/>
      <c r="M2354" s="161"/>
      <c r="N2354" s="86"/>
      <c r="O2354" s="86"/>
      <c r="P2354" s="86"/>
      <c r="Q2354" s="85"/>
      <c r="S2354" s="85"/>
      <c r="T2354" s="85"/>
      <c r="U2354" s="85"/>
      <c r="V2354" s="85"/>
      <c r="W2354" s="85"/>
      <c r="X2354" s="85"/>
    </row>
    <row r="2355" spans="2:24" s="58" customFormat="1" ht="12" x14ac:dyDescent="0.2">
      <c r="B2355" s="91"/>
      <c r="E2355" s="92"/>
      <c r="F2355" s="93"/>
      <c r="G2355" s="94"/>
      <c r="H2355" s="94"/>
      <c r="I2355" s="94"/>
      <c r="J2355" s="94"/>
      <c r="K2355" s="93"/>
      <c r="L2355" s="86"/>
      <c r="M2355" s="161"/>
      <c r="N2355" s="86"/>
      <c r="O2355" s="86"/>
      <c r="P2355" s="86"/>
      <c r="Q2355" s="85"/>
      <c r="S2355" s="85"/>
      <c r="T2355" s="85"/>
      <c r="U2355" s="85"/>
      <c r="V2355" s="85"/>
      <c r="W2355" s="85"/>
      <c r="X2355" s="85"/>
    </row>
    <row r="2356" spans="2:24" s="58" customFormat="1" ht="12" x14ac:dyDescent="0.2">
      <c r="B2356" s="91"/>
      <c r="E2356" s="92"/>
      <c r="F2356" s="93"/>
      <c r="G2356" s="94"/>
      <c r="H2356" s="94"/>
      <c r="I2356" s="94"/>
      <c r="J2356" s="94"/>
      <c r="K2356" s="93"/>
      <c r="L2356" s="86"/>
      <c r="M2356" s="161"/>
      <c r="N2356" s="86"/>
      <c r="O2356" s="86"/>
      <c r="P2356" s="86"/>
      <c r="Q2356" s="85"/>
      <c r="S2356" s="85"/>
      <c r="T2356" s="85"/>
      <c r="U2356" s="85"/>
      <c r="V2356" s="85"/>
      <c r="W2356" s="85"/>
      <c r="X2356" s="85"/>
    </row>
    <row r="2357" spans="2:24" s="58" customFormat="1" ht="12" x14ac:dyDescent="0.2">
      <c r="B2357" s="91"/>
      <c r="E2357" s="92"/>
      <c r="F2357" s="93"/>
      <c r="G2357" s="94"/>
      <c r="H2357" s="94"/>
      <c r="I2357" s="94"/>
      <c r="J2357" s="94"/>
      <c r="K2357" s="93"/>
      <c r="L2357" s="86"/>
      <c r="M2357" s="161"/>
      <c r="N2357" s="86"/>
      <c r="O2357" s="86"/>
      <c r="P2357" s="86"/>
      <c r="Q2357" s="85"/>
      <c r="S2357" s="85"/>
      <c r="T2357" s="85"/>
      <c r="U2357" s="85"/>
      <c r="V2357" s="85"/>
      <c r="W2357" s="85"/>
      <c r="X2357" s="85"/>
    </row>
    <row r="2358" spans="2:24" s="58" customFormat="1" ht="12" x14ac:dyDescent="0.2">
      <c r="B2358" s="91"/>
      <c r="E2358" s="92"/>
      <c r="F2358" s="93"/>
      <c r="G2358" s="94"/>
      <c r="H2358" s="94"/>
      <c r="I2358" s="94"/>
      <c r="J2358" s="94"/>
      <c r="K2358" s="93"/>
      <c r="L2358" s="86"/>
      <c r="M2358" s="161"/>
      <c r="N2358" s="86"/>
      <c r="O2358" s="86"/>
      <c r="P2358" s="86"/>
      <c r="Q2358" s="85"/>
      <c r="S2358" s="85"/>
      <c r="T2358" s="85"/>
      <c r="U2358" s="85"/>
      <c r="V2358" s="85"/>
      <c r="W2358" s="85"/>
      <c r="X2358" s="85"/>
    </row>
    <row r="2359" spans="2:24" s="58" customFormat="1" ht="12" x14ac:dyDescent="0.2">
      <c r="B2359" s="91"/>
      <c r="E2359" s="92"/>
      <c r="F2359" s="93"/>
      <c r="G2359" s="94"/>
      <c r="H2359" s="94"/>
      <c r="I2359" s="94"/>
      <c r="J2359" s="94"/>
      <c r="K2359" s="93"/>
      <c r="L2359" s="86"/>
      <c r="M2359" s="161"/>
      <c r="N2359" s="86"/>
      <c r="O2359" s="86"/>
      <c r="P2359" s="86"/>
      <c r="Q2359" s="85"/>
      <c r="S2359" s="85"/>
      <c r="T2359" s="85"/>
      <c r="U2359" s="85"/>
      <c r="V2359" s="85"/>
      <c r="W2359" s="85"/>
      <c r="X2359" s="85"/>
    </row>
    <row r="2360" spans="2:24" s="58" customFormat="1" ht="12" x14ac:dyDescent="0.2">
      <c r="B2360" s="91"/>
      <c r="E2360" s="92"/>
      <c r="F2360" s="93"/>
      <c r="G2360" s="94"/>
      <c r="H2360" s="94"/>
      <c r="I2360" s="94"/>
      <c r="J2360" s="94"/>
      <c r="K2360" s="93"/>
      <c r="L2360" s="86"/>
      <c r="M2360" s="161"/>
      <c r="N2360" s="86"/>
      <c r="O2360" s="86"/>
      <c r="P2360" s="86"/>
      <c r="Q2360" s="85"/>
      <c r="S2360" s="85"/>
      <c r="T2360" s="85"/>
      <c r="U2360" s="85"/>
      <c r="V2360" s="85"/>
      <c r="W2360" s="85"/>
      <c r="X2360" s="85"/>
    </row>
    <row r="2361" spans="2:24" s="58" customFormat="1" ht="12" x14ac:dyDescent="0.2">
      <c r="B2361" s="91"/>
      <c r="E2361" s="92"/>
      <c r="F2361" s="93"/>
      <c r="G2361" s="94"/>
      <c r="H2361" s="94"/>
      <c r="I2361" s="94"/>
      <c r="J2361" s="94"/>
      <c r="K2361" s="93"/>
      <c r="L2361" s="86"/>
      <c r="M2361" s="161"/>
      <c r="N2361" s="86"/>
      <c r="O2361" s="86"/>
      <c r="P2361" s="86"/>
      <c r="Q2361" s="85"/>
      <c r="S2361" s="85"/>
      <c r="T2361" s="85"/>
      <c r="U2361" s="85"/>
      <c r="V2361" s="85"/>
      <c r="W2361" s="85"/>
      <c r="X2361" s="85"/>
    </row>
    <row r="2362" spans="2:24" s="58" customFormat="1" ht="12" x14ac:dyDescent="0.2">
      <c r="B2362" s="91"/>
      <c r="E2362" s="92"/>
      <c r="F2362" s="93"/>
      <c r="G2362" s="94"/>
      <c r="H2362" s="94"/>
      <c r="I2362" s="94"/>
      <c r="J2362" s="94"/>
      <c r="K2362" s="93"/>
      <c r="L2362" s="86"/>
      <c r="M2362" s="161"/>
      <c r="N2362" s="86"/>
      <c r="O2362" s="86"/>
      <c r="P2362" s="86"/>
      <c r="Q2362" s="85"/>
      <c r="S2362" s="85"/>
      <c r="T2362" s="85"/>
      <c r="U2362" s="85"/>
      <c r="V2362" s="85"/>
      <c r="W2362" s="85"/>
      <c r="X2362" s="85"/>
    </row>
    <row r="2363" spans="2:24" s="58" customFormat="1" ht="12" x14ac:dyDescent="0.2">
      <c r="B2363" s="91"/>
      <c r="E2363" s="92"/>
      <c r="F2363" s="93"/>
      <c r="G2363" s="94"/>
      <c r="H2363" s="94"/>
      <c r="I2363" s="94"/>
      <c r="J2363" s="94"/>
      <c r="K2363" s="93"/>
      <c r="L2363" s="86"/>
      <c r="M2363" s="161"/>
      <c r="N2363" s="86"/>
      <c r="O2363" s="86"/>
      <c r="P2363" s="86"/>
      <c r="Q2363" s="85"/>
      <c r="S2363" s="85"/>
      <c r="T2363" s="85"/>
      <c r="U2363" s="85"/>
      <c r="V2363" s="85"/>
      <c r="W2363" s="85"/>
      <c r="X2363" s="85"/>
    </row>
    <row r="2364" spans="2:24" s="58" customFormat="1" ht="12" x14ac:dyDescent="0.2">
      <c r="B2364" s="91"/>
      <c r="E2364" s="92"/>
      <c r="F2364" s="93"/>
      <c r="G2364" s="94"/>
      <c r="H2364" s="94"/>
      <c r="I2364" s="94"/>
      <c r="J2364" s="94"/>
      <c r="K2364" s="93"/>
      <c r="L2364" s="86"/>
      <c r="M2364" s="161"/>
      <c r="N2364" s="86"/>
      <c r="O2364" s="86"/>
      <c r="P2364" s="86"/>
      <c r="Q2364" s="85"/>
      <c r="S2364" s="85"/>
      <c r="T2364" s="85"/>
      <c r="U2364" s="85"/>
      <c r="V2364" s="85"/>
      <c r="W2364" s="85"/>
      <c r="X2364" s="85"/>
    </row>
    <row r="2365" spans="2:24" s="58" customFormat="1" ht="12" x14ac:dyDescent="0.2">
      <c r="B2365" s="91"/>
      <c r="E2365" s="92"/>
      <c r="F2365" s="93"/>
      <c r="G2365" s="94"/>
      <c r="H2365" s="94"/>
      <c r="I2365" s="94"/>
      <c r="J2365" s="94"/>
      <c r="K2365" s="93"/>
      <c r="L2365" s="86"/>
      <c r="M2365" s="161"/>
      <c r="N2365" s="86"/>
      <c r="O2365" s="86"/>
      <c r="P2365" s="86"/>
      <c r="Q2365" s="85"/>
      <c r="S2365" s="85"/>
      <c r="T2365" s="85"/>
      <c r="U2365" s="85"/>
      <c r="V2365" s="85"/>
      <c r="W2365" s="85"/>
      <c r="X2365" s="85"/>
    </row>
    <row r="2366" spans="2:24" s="58" customFormat="1" ht="12" x14ac:dyDescent="0.2">
      <c r="B2366" s="91"/>
      <c r="E2366" s="92"/>
      <c r="F2366" s="93"/>
      <c r="G2366" s="94"/>
      <c r="H2366" s="94"/>
      <c r="I2366" s="94"/>
      <c r="J2366" s="94"/>
      <c r="K2366" s="93"/>
      <c r="L2366" s="86"/>
      <c r="M2366" s="161"/>
      <c r="N2366" s="86"/>
      <c r="O2366" s="86"/>
      <c r="P2366" s="86"/>
      <c r="Q2366" s="85"/>
      <c r="S2366" s="85"/>
      <c r="T2366" s="85"/>
      <c r="U2366" s="85"/>
      <c r="V2366" s="85"/>
      <c r="W2366" s="85"/>
      <c r="X2366" s="85"/>
    </row>
    <row r="2367" spans="2:24" s="58" customFormat="1" ht="12" x14ac:dyDescent="0.2">
      <c r="B2367" s="91"/>
      <c r="E2367" s="92"/>
      <c r="F2367" s="93"/>
      <c r="G2367" s="94"/>
      <c r="H2367" s="94"/>
      <c r="I2367" s="94"/>
      <c r="J2367" s="94"/>
      <c r="K2367" s="93"/>
      <c r="L2367" s="86"/>
      <c r="M2367" s="161"/>
      <c r="N2367" s="86"/>
      <c r="O2367" s="86"/>
      <c r="P2367" s="86"/>
      <c r="Q2367" s="85"/>
      <c r="S2367" s="85"/>
      <c r="T2367" s="85"/>
      <c r="U2367" s="85"/>
      <c r="V2367" s="85"/>
      <c r="W2367" s="85"/>
      <c r="X2367" s="85"/>
    </row>
    <row r="2368" spans="2:24" s="58" customFormat="1" ht="12" x14ac:dyDescent="0.2">
      <c r="B2368" s="91"/>
      <c r="E2368" s="92"/>
      <c r="F2368" s="93"/>
      <c r="G2368" s="94"/>
      <c r="H2368" s="94"/>
      <c r="I2368" s="94"/>
      <c r="J2368" s="94"/>
      <c r="K2368" s="93"/>
      <c r="L2368" s="86"/>
      <c r="M2368" s="161"/>
      <c r="N2368" s="86"/>
      <c r="O2368" s="86"/>
      <c r="P2368" s="86"/>
      <c r="Q2368" s="85"/>
      <c r="S2368" s="85"/>
      <c r="T2368" s="85"/>
      <c r="U2368" s="85"/>
      <c r="V2368" s="85"/>
      <c r="W2368" s="85"/>
      <c r="X2368" s="85"/>
    </row>
    <row r="2369" spans="2:24" s="58" customFormat="1" ht="12" x14ac:dyDescent="0.2">
      <c r="B2369" s="91"/>
      <c r="E2369" s="92"/>
      <c r="F2369" s="93"/>
      <c r="G2369" s="94"/>
      <c r="H2369" s="94"/>
      <c r="I2369" s="94"/>
      <c r="J2369" s="94"/>
      <c r="K2369" s="93"/>
      <c r="L2369" s="86"/>
      <c r="M2369" s="161"/>
      <c r="N2369" s="86"/>
      <c r="O2369" s="86"/>
      <c r="P2369" s="86"/>
      <c r="Q2369" s="85"/>
      <c r="S2369" s="85"/>
      <c r="T2369" s="85"/>
      <c r="U2369" s="85"/>
      <c r="V2369" s="85"/>
      <c r="W2369" s="85"/>
      <c r="X2369" s="85"/>
    </row>
    <row r="2370" spans="2:24" s="58" customFormat="1" ht="12" x14ac:dyDescent="0.2">
      <c r="B2370" s="91"/>
      <c r="E2370" s="92"/>
      <c r="F2370" s="93"/>
      <c r="G2370" s="94"/>
      <c r="H2370" s="94"/>
      <c r="I2370" s="94"/>
      <c r="J2370" s="94"/>
      <c r="K2370" s="93"/>
      <c r="L2370" s="86"/>
      <c r="M2370" s="161"/>
      <c r="N2370" s="86"/>
      <c r="O2370" s="86"/>
      <c r="P2370" s="86"/>
      <c r="Q2370" s="85"/>
      <c r="S2370" s="85"/>
      <c r="T2370" s="85"/>
      <c r="U2370" s="85"/>
      <c r="V2370" s="85"/>
      <c r="W2370" s="85"/>
      <c r="X2370" s="85"/>
    </row>
    <row r="2371" spans="2:24" s="58" customFormat="1" ht="12" x14ac:dyDescent="0.2">
      <c r="B2371" s="91"/>
      <c r="E2371" s="92"/>
      <c r="F2371" s="93"/>
      <c r="G2371" s="94"/>
      <c r="H2371" s="94"/>
      <c r="I2371" s="94"/>
      <c r="J2371" s="94"/>
      <c r="K2371" s="93"/>
      <c r="L2371" s="86"/>
      <c r="M2371" s="161"/>
      <c r="N2371" s="86"/>
      <c r="O2371" s="86"/>
      <c r="P2371" s="86"/>
      <c r="Q2371" s="85"/>
      <c r="S2371" s="85"/>
      <c r="T2371" s="85"/>
      <c r="U2371" s="85"/>
      <c r="V2371" s="85"/>
      <c r="W2371" s="85"/>
      <c r="X2371" s="85"/>
    </row>
    <row r="2372" spans="2:24" s="58" customFormat="1" ht="12" x14ac:dyDescent="0.2">
      <c r="B2372" s="91"/>
      <c r="E2372" s="92"/>
      <c r="F2372" s="93"/>
      <c r="G2372" s="94"/>
      <c r="H2372" s="94"/>
      <c r="I2372" s="94"/>
      <c r="J2372" s="94"/>
      <c r="K2372" s="93"/>
      <c r="L2372" s="86"/>
      <c r="M2372" s="161"/>
      <c r="N2372" s="86"/>
      <c r="O2372" s="86"/>
      <c r="P2372" s="86"/>
      <c r="Q2372" s="85"/>
      <c r="S2372" s="85"/>
      <c r="T2372" s="85"/>
      <c r="U2372" s="85"/>
      <c r="V2372" s="85"/>
      <c r="W2372" s="85"/>
      <c r="X2372" s="85"/>
    </row>
    <row r="2373" spans="2:24" s="58" customFormat="1" ht="12" x14ac:dyDescent="0.2">
      <c r="B2373" s="91"/>
      <c r="E2373" s="92"/>
      <c r="F2373" s="93"/>
      <c r="G2373" s="94"/>
      <c r="H2373" s="94"/>
      <c r="I2373" s="94"/>
      <c r="J2373" s="94"/>
      <c r="K2373" s="93"/>
      <c r="L2373" s="86"/>
      <c r="M2373" s="161"/>
      <c r="N2373" s="86"/>
      <c r="O2373" s="86"/>
      <c r="P2373" s="86"/>
      <c r="Q2373" s="85"/>
      <c r="S2373" s="85"/>
      <c r="T2373" s="85"/>
      <c r="U2373" s="85"/>
      <c r="V2373" s="85"/>
      <c r="W2373" s="85"/>
      <c r="X2373" s="85"/>
    </row>
    <row r="2374" spans="2:24" s="58" customFormat="1" ht="12" x14ac:dyDescent="0.2">
      <c r="B2374" s="91"/>
      <c r="E2374" s="92"/>
      <c r="F2374" s="93"/>
      <c r="G2374" s="94"/>
      <c r="H2374" s="94"/>
      <c r="I2374" s="94"/>
      <c r="J2374" s="94"/>
      <c r="K2374" s="93"/>
      <c r="L2374" s="86"/>
      <c r="M2374" s="161"/>
      <c r="N2374" s="86"/>
      <c r="O2374" s="86"/>
      <c r="P2374" s="86"/>
      <c r="Q2374" s="85"/>
      <c r="S2374" s="85"/>
      <c r="T2374" s="85"/>
      <c r="U2374" s="85"/>
      <c r="V2374" s="85"/>
      <c r="W2374" s="85"/>
      <c r="X2374" s="85"/>
    </row>
    <row r="2375" spans="2:24" s="58" customFormat="1" ht="12" x14ac:dyDescent="0.2">
      <c r="B2375" s="91"/>
      <c r="E2375" s="92"/>
      <c r="F2375" s="93"/>
      <c r="G2375" s="94"/>
      <c r="H2375" s="94"/>
      <c r="I2375" s="94"/>
      <c r="J2375" s="94"/>
      <c r="K2375" s="93"/>
      <c r="L2375" s="86"/>
      <c r="M2375" s="161"/>
      <c r="N2375" s="86"/>
      <c r="O2375" s="86"/>
      <c r="P2375" s="86"/>
      <c r="Q2375" s="85"/>
      <c r="S2375" s="85"/>
      <c r="T2375" s="85"/>
      <c r="U2375" s="85"/>
      <c r="V2375" s="85"/>
      <c r="W2375" s="85"/>
      <c r="X2375" s="85"/>
    </row>
    <row r="2376" spans="2:24" s="58" customFormat="1" ht="12" x14ac:dyDescent="0.2">
      <c r="B2376" s="91"/>
      <c r="E2376" s="92"/>
      <c r="F2376" s="93"/>
      <c r="G2376" s="94"/>
      <c r="H2376" s="94"/>
      <c r="I2376" s="94"/>
      <c r="J2376" s="94"/>
      <c r="K2376" s="93"/>
      <c r="L2376" s="86"/>
      <c r="M2376" s="161"/>
      <c r="N2376" s="86"/>
      <c r="O2376" s="86"/>
      <c r="P2376" s="86"/>
      <c r="Q2376" s="85"/>
      <c r="S2376" s="85"/>
      <c r="T2376" s="85"/>
      <c r="U2376" s="85"/>
      <c r="V2376" s="85"/>
      <c r="W2376" s="85"/>
      <c r="X2376" s="85"/>
    </row>
    <row r="2377" spans="2:24" s="58" customFormat="1" ht="12" x14ac:dyDescent="0.2">
      <c r="B2377" s="91"/>
      <c r="E2377" s="92"/>
      <c r="F2377" s="93"/>
      <c r="G2377" s="94"/>
      <c r="H2377" s="94"/>
      <c r="I2377" s="94"/>
      <c r="J2377" s="94"/>
      <c r="K2377" s="93"/>
      <c r="L2377" s="86"/>
      <c r="M2377" s="161"/>
      <c r="N2377" s="86"/>
      <c r="O2377" s="86"/>
      <c r="P2377" s="86"/>
      <c r="Q2377" s="85"/>
      <c r="S2377" s="85"/>
      <c r="T2377" s="85"/>
      <c r="U2377" s="85"/>
      <c r="V2377" s="85"/>
      <c r="W2377" s="85"/>
      <c r="X2377" s="85"/>
    </row>
    <row r="2378" spans="2:24" s="58" customFormat="1" ht="12" x14ac:dyDescent="0.2">
      <c r="B2378" s="91"/>
      <c r="E2378" s="92"/>
      <c r="F2378" s="93"/>
      <c r="G2378" s="94"/>
      <c r="H2378" s="94"/>
      <c r="I2378" s="94"/>
      <c r="J2378" s="94"/>
      <c r="K2378" s="93"/>
      <c r="L2378" s="86"/>
      <c r="M2378" s="161"/>
      <c r="N2378" s="86"/>
      <c r="O2378" s="86"/>
      <c r="P2378" s="86"/>
      <c r="Q2378" s="85"/>
      <c r="S2378" s="85"/>
      <c r="T2378" s="85"/>
      <c r="U2378" s="85"/>
      <c r="V2378" s="85"/>
      <c r="W2378" s="85"/>
      <c r="X2378" s="85"/>
    </row>
    <row r="2379" spans="2:24" s="58" customFormat="1" ht="12" x14ac:dyDescent="0.2">
      <c r="B2379" s="91"/>
      <c r="E2379" s="92"/>
      <c r="F2379" s="93"/>
      <c r="G2379" s="94"/>
      <c r="H2379" s="94"/>
      <c r="I2379" s="94"/>
      <c r="J2379" s="94"/>
      <c r="K2379" s="93"/>
      <c r="L2379" s="86"/>
      <c r="M2379" s="161"/>
      <c r="N2379" s="86"/>
      <c r="O2379" s="86"/>
      <c r="P2379" s="86"/>
      <c r="Q2379" s="85"/>
      <c r="S2379" s="85"/>
      <c r="T2379" s="85"/>
      <c r="U2379" s="85"/>
      <c r="V2379" s="85"/>
      <c r="W2379" s="85"/>
      <c r="X2379" s="85"/>
    </row>
    <row r="2380" spans="2:24" s="58" customFormat="1" ht="12" x14ac:dyDescent="0.2">
      <c r="B2380" s="91"/>
      <c r="E2380" s="92"/>
      <c r="F2380" s="93"/>
      <c r="G2380" s="94"/>
      <c r="H2380" s="94"/>
      <c r="I2380" s="94"/>
      <c r="J2380" s="94"/>
      <c r="K2380" s="93"/>
      <c r="L2380" s="86"/>
      <c r="M2380" s="161"/>
      <c r="N2380" s="86"/>
      <c r="O2380" s="86"/>
      <c r="P2380" s="86"/>
      <c r="Q2380" s="85"/>
      <c r="S2380" s="85"/>
      <c r="T2380" s="85"/>
      <c r="U2380" s="85"/>
      <c r="V2380" s="85"/>
      <c r="W2380" s="85"/>
      <c r="X2380" s="85"/>
    </row>
    <row r="2381" spans="2:24" s="58" customFormat="1" ht="12" x14ac:dyDescent="0.2">
      <c r="B2381" s="91"/>
      <c r="E2381" s="92"/>
      <c r="F2381" s="93"/>
      <c r="G2381" s="94"/>
      <c r="H2381" s="94"/>
      <c r="I2381" s="94"/>
      <c r="J2381" s="94"/>
      <c r="K2381" s="93"/>
      <c r="L2381" s="86"/>
      <c r="M2381" s="161"/>
      <c r="N2381" s="86"/>
      <c r="O2381" s="86"/>
      <c r="P2381" s="86"/>
      <c r="Q2381" s="85"/>
      <c r="S2381" s="85"/>
      <c r="T2381" s="85"/>
      <c r="U2381" s="85"/>
      <c r="V2381" s="85"/>
      <c r="W2381" s="85"/>
      <c r="X2381" s="85"/>
    </row>
    <row r="2382" spans="2:24" s="58" customFormat="1" ht="12" x14ac:dyDescent="0.2">
      <c r="B2382" s="91"/>
      <c r="E2382" s="92"/>
      <c r="F2382" s="93"/>
      <c r="G2382" s="94"/>
      <c r="H2382" s="94"/>
      <c r="I2382" s="94"/>
      <c r="J2382" s="94"/>
      <c r="K2382" s="93"/>
      <c r="L2382" s="86"/>
      <c r="M2382" s="161"/>
      <c r="N2382" s="86"/>
      <c r="O2382" s="86"/>
      <c r="P2382" s="86"/>
      <c r="Q2382" s="85"/>
      <c r="S2382" s="85"/>
      <c r="T2382" s="85"/>
      <c r="U2382" s="85"/>
      <c r="V2382" s="85"/>
      <c r="W2382" s="85"/>
      <c r="X2382" s="85"/>
    </row>
    <row r="2383" spans="2:24" s="58" customFormat="1" ht="12" x14ac:dyDescent="0.2">
      <c r="B2383" s="91"/>
      <c r="E2383" s="92"/>
      <c r="F2383" s="93"/>
      <c r="G2383" s="94"/>
      <c r="H2383" s="94"/>
      <c r="I2383" s="94"/>
      <c r="J2383" s="94"/>
      <c r="K2383" s="93"/>
      <c r="L2383" s="86"/>
      <c r="M2383" s="161"/>
      <c r="N2383" s="86"/>
      <c r="O2383" s="86"/>
      <c r="P2383" s="86"/>
      <c r="Q2383" s="85"/>
      <c r="S2383" s="85"/>
      <c r="T2383" s="85"/>
      <c r="U2383" s="85"/>
      <c r="V2383" s="85"/>
      <c r="W2383" s="85"/>
      <c r="X2383" s="85"/>
    </row>
    <row r="2384" spans="2:24" s="58" customFormat="1" ht="12" x14ac:dyDescent="0.2">
      <c r="B2384" s="91"/>
      <c r="E2384" s="92"/>
      <c r="F2384" s="93"/>
      <c r="G2384" s="94"/>
      <c r="H2384" s="94"/>
      <c r="I2384" s="94"/>
      <c r="J2384" s="94"/>
      <c r="K2384" s="93"/>
      <c r="L2384" s="86"/>
      <c r="M2384" s="161"/>
      <c r="N2384" s="86"/>
      <c r="O2384" s="86"/>
      <c r="P2384" s="86"/>
      <c r="Q2384" s="85"/>
      <c r="S2384" s="85"/>
      <c r="T2384" s="85"/>
      <c r="U2384" s="85"/>
      <c r="V2384" s="85"/>
      <c r="W2384" s="85"/>
      <c r="X2384" s="85"/>
    </row>
    <row r="2385" spans="2:24" s="58" customFormat="1" ht="12" x14ac:dyDescent="0.2">
      <c r="B2385" s="91"/>
      <c r="E2385" s="92"/>
      <c r="F2385" s="93"/>
      <c r="G2385" s="94"/>
      <c r="H2385" s="94"/>
      <c r="I2385" s="94"/>
      <c r="J2385" s="94"/>
      <c r="K2385" s="93"/>
      <c r="L2385" s="86"/>
      <c r="M2385" s="161"/>
      <c r="N2385" s="86"/>
      <c r="O2385" s="86"/>
      <c r="P2385" s="86"/>
      <c r="Q2385" s="85"/>
      <c r="S2385" s="85"/>
      <c r="T2385" s="85"/>
      <c r="U2385" s="85"/>
      <c r="V2385" s="85"/>
      <c r="W2385" s="85"/>
      <c r="X2385" s="85"/>
    </row>
    <row r="2386" spans="2:24" s="58" customFormat="1" ht="12" x14ac:dyDescent="0.2">
      <c r="B2386" s="91"/>
      <c r="E2386" s="92"/>
      <c r="F2386" s="93"/>
      <c r="G2386" s="94"/>
      <c r="H2386" s="94"/>
      <c r="I2386" s="94"/>
      <c r="J2386" s="94"/>
      <c r="K2386" s="93"/>
      <c r="L2386" s="86"/>
      <c r="M2386" s="161"/>
      <c r="N2386" s="86"/>
      <c r="O2386" s="86"/>
      <c r="P2386" s="86"/>
      <c r="Q2386" s="85"/>
      <c r="S2386" s="85"/>
      <c r="T2386" s="85"/>
      <c r="U2386" s="85"/>
      <c r="V2386" s="85"/>
      <c r="W2386" s="85"/>
      <c r="X2386" s="85"/>
    </row>
    <row r="2387" spans="2:24" s="58" customFormat="1" ht="12" x14ac:dyDescent="0.2">
      <c r="B2387" s="91"/>
      <c r="E2387" s="92"/>
      <c r="F2387" s="93"/>
      <c r="G2387" s="94"/>
      <c r="H2387" s="94"/>
      <c r="I2387" s="94"/>
      <c r="J2387" s="94"/>
      <c r="K2387" s="93"/>
      <c r="L2387" s="86"/>
      <c r="M2387" s="161"/>
      <c r="N2387" s="86"/>
      <c r="O2387" s="86"/>
      <c r="P2387" s="86"/>
      <c r="Q2387" s="85"/>
      <c r="S2387" s="85"/>
      <c r="T2387" s="85"/>
      <c r="U2387" s="85"/>
      <c r="V2387" s="85"/>
      <c r="W2387" s="85"/>
      <c r="X2387" s="85"/>
    </row>
    <row r="2388" spans="2:24" s="58" customFormat="1" ht="12" x14ac:dyDescent="0.2">
      <c r="B2388" s="91"/>
      <c r="E2388" s="92"/>
      <c r="F2388" s="93"/>
      <c r="G2388" s="94"/>
      <c r="H2388" s="94"/>
      <c r="I2388" s="94"/>
      <c r="J2388" s="94"/>
      <c r="K2388" s="93"/>
      <c r="L2388" s="86"/>
      <c r="M2388" s="161"/>
      <c r="N2388" s="86"/>
      <c r="O2388" s="86"/>
      <c r="P2388" s="86"/>
      <c r="Q2388" s="85"/>
      <c r="S2388" s="85"/>
      <c r="T2388" s="85"/>
      <c r="U2388" s="85"/>
      <c r="V2388" s="85"/>
      <c r="W2388" s="85"/>
      <c r="X2388" s="85"/>
    </row>
    <row r="2389" spans="2:24" s="58" customFormat="1" ht="12" x14ac:dyDescent="0.2">
      <c r="B2389" s="91"/>
      <c r="E2389" s="92"/>
      <c r="F2389" s="93"/>
      <c r="G2389" s="94"/>
      <c r="H2389" s="94"/>
      <c r="I2389" s="94"/>
      <c r="J2389" s="94"/>
      <c r="K2389" s="93"/>
      <c r="L2389" s="86"/>
      <c r="M2389" s="161"/>
      <c r="N2389" s="86"/>
      <c r="O2389" s="86"/>
      <c r="P2389" s="86"/>
      <c r="Q2389" s="85"/>
      <c r="S2389" s="85"/>
      <c r="T2389" s="85"/>
      <c r="U2389" s="85"/>
      <c r="V2389" s="85"/>
      <c r="W2389" s="85"/>
      <c r="X2389" s="85"/>
    </row>
    <row r="2390" spans="2:24" s="58" customFormat="1" ht="12" x14ac:dyDescent="0.2">
      <c r="B2390" s="91"/>
      <c r="E2390" s="92"/>
      <c r="F2390" s="93"/>
      <c r="G2390" s="94"/>
      <c r="H2390" s="94"/>
      <c r="I2390" s="94"/>
      <c r="J2390" s="94"/>
      <c r="K2390" s="93"/>
      <c r="L2390" s="86"/>
      <c r="M2390" s="161"/>
      <c r="N2390" s="86"/>
      <c r="O2390" s="86"/>
      <c r="P2390" s="86"/>
      <c r="Q2390" s="85"/>
      <c r="S2390" s="85"/>
      <c r="T2390" s="85"/>
      <c r="U2390" s="85"/>
      <c r="V2390" s="85"/>
      <c r="W2390" s="85"/>
      <c r="X2390" s="85"/>
    </row>
    <row r="2391" spans="2:24" s="58" customFormat="1" ht="12" x14ac:dyDescent="0.2">
      <c r="B2391" s="91"/>
      <c r="E2391" s="92"/>
      <c r="F2391" s="93"/>
      <c r="G2391" s="94"/>
      <c r="H2391" s="94"/>
      <c r="I2391" s="94"/>
      <c r="J2391" s="94"/>
      <c r="K2391" s="93"/>
      <c r="L2391" s="86"/>
      <c r="M2391" s="161"/>
      <c r="N2391" s="86"/>
      <c r="O2391" s="86"/>
      <c r="P2391" s="86"/>
      <c r="Q2391" s="85"/>
      <c r="S2391" s="85"/>
      <c r="T2391" s="85"/>
      <c r="U2391" s="85"/>
      <c r="V2391" s="85"/>
      <c r="W2391" s="85"/>
      <c r="X2391" s="85"/>
    </row>
    <row r="2392" spans="2:24" s="58" customFormat="1" ht="12" x14ac:dyDescent="0.2">
      <c r="B2392" s="91"/>
      <c r="E2392" s="92"/>
      <c r="F2392" s="93"/>
      <c r="G2392" s="94"/>
      <c r="H2392" s="94"/>
      <c r="I2392" s="94"/>
      <c r="J2392" s="94"/>
      <c r="K2392" s="93"/>
      <c r="L2392" s="86"/>
      <c r="M2392" s="161"/>
      <c r="N2392" s="86"/>
      <c r="O2392" s="86"/>
      <c r="P2392" s="86"/>
      <c r="Q2392" s="85"/>
      <c r="S2392" s="85"/>
      <c r="T2392" s="85"/>
      <c r="U2392" s="85"/>
      <c r="V2392" s="85"/>
      <c r="W2392" s="85"/>
      <c r="X2392" s="85"/>
    </row>
    <row r="2393" spans="2:24" s="58" customFormat="1" ht="12" x14ac:dyDescent="0.2">
      <c r="B2393" s="91"/>
      <c r="E2393" s="92"/>
      <c r="F2393" s="93"/>
      <c r="G2393" s="94"/>
      <c r="H2393" s="94"/>
      <c r="I2393" s="94"/>
      <c r="J2393" s="94"/>
      <c r="K2393" s="93"/>
      <c r="L2393" s="86"/>
      <c r="M2393" s="161"/>
      <c r="N2393" s="86"/>
      <c r="O2393" s="86"/>
      <c r="P2393" s="86"/>
      <c r="Q2393" s="85"/>
      <c r="S2393" s="85"/>
      <c r="T2393" s="85"/>
      <c r="U2393" s="85"/>
      <c r="V2393" s="85"/>
      <c r="W2393" s="85"/>
      <c r="X2393" s="85"/>
    </row>
    <row r="2394" spans="2:24" s="58" customFormat="1" ht="12" x14ac:dyDescent="0.2">
      <c r="B2394" s="91"/>
      <c r="E2394" s="92"/>
      <c r="F2394" s="93"/>
      <c r="G2394" s="94"/>
      <c r="H2394" s="94"/>
      <c r="I2394" s="94"/>
      <c r="J2394" s="94"/>
      <c r="K2394" s="93"/>
      <c r="L2394" s="86"/>
      <c r="M2394" s="161"/>
      <c r="N2394" s="86"/>
      <c r="O2394" s="86"/>
      <c r="P2394" s="86"/>
      <c r="Q2394" s="85"/>
      <c r="S2394" s="85"/>
      <c r="T2394" s="85"/>
      <c r="U2394" s="85"/>
      <c r="V2394" s="85"/>
      <c r="W2394" s="85"/>
      <c r="X2394" s="85"/>
    </row>
    <row r="2395" spans="2:24" s="58" customFormat="1" ht="12" x14ac:dyDescent="0.2">
      <c r="B2395" s="91"/>
      <c r="E2395" s="92"/>
      <c r="F2395" s="93"/>
      <c r="G2395" s="94"/>
      <c r="H2395" s="94"/>
      <c r="I2395" s="94"/>
      <c r="J2395" s="94"/>
      <c r="K2395" s="93"/>
      <c r="L2395" s="86"/>
      <c r="M2395" s="161"/>
      <c r="N2395" s="86"/>
      <c r="O2395" s="86"/>
      <c r="P2395" s="86"/>
      <c r="Q2395" s="85"/>
      <c r="S2395" s="85"/>
      <c r="T2395" s="85"/>
      <c r="U2395" s="85"/>
      <c r="V2395" s="85"/>
      <c r="W2395" s="85"/>
      <c r="X2395" s="85"/>
    </row>
    <row r="2396" spans="2:24" s="58" customFormat="1" ht="12" x14ac:dyDescent="0.2">
      <c r="B2396" s="91"/>
      <c r="E2396" s="92"/>
      <c r="F2396" s="93"/>
      <c r="G2396" s="94"/>
      <c r="H2396" s="94"/>
      <c r="I2396" s="94"/>
      <c r="J2396" s="94"/>
      <c r="K2396" s="93"/>
      <c r="L2396" s="86"/>
      <c r="M2396" s="161"/>
      <c r="N2396" s="86"/>
      <c r="O2396" s="86"/>
      <c r="P2396" s="86"/>
      <c r="Q2396" s="85"/>
      <c r="S2396" s="85"/>
      <c r="T2396" s="85"/>
      <c r="U2396" s="85"/>
      <c r="V2396" s="85"/>
      <c r="W2396" s="85"/>
      <c r="X2396" s="85"/>
    </row>
    <row r="2397" spans="2:24" s="58" customFormat="1" ht="12" x14ac:dyDescent="0.2">
      <c r="B2397" s="91"/>
      <c r="E2397" s="92"/>
      <c r="F2397" s="93"/>
      <c r="G2397" s="94"/>
      <c r="H2397" s="94"/>
      <c r="I2397" s="94"/>
      <c r="J2397" s="94"/>
      <c r="K2397" s="93"/>
      <c r="L2397" s="86"/>
      <c r="M2397" s="161"/>
      <c r="N2397" s="86"/>
      <c r="O2397" s="86"/>
      <c r="P2397" s="86"/>
      <c r="Q2397" s="85"/>
      <c r="S2397" s="85"/>
      <c r="T2397" s="85"/>
      <c r="U2397" s="85"/>
      <c r="V2397" s="85"/>
      <c r="W2397" s="85"/>
      <c r="X2397" s="85"/>
    </row>
    <row r="2398" spans="2:24" s="58" customFormat="1" ht="12" x14ac:dyDescent="0.2">
      <c r="B2398" s="91"/>
      <c r="E2398" s="92"/>
      <c r="F2398" s="93"/>
      <c r="G2398" s="94"/>
      <c r="H2398" s="94"/>
      <c r="I2398" s="94"/>
      <c r="J2398" s="94"/>
      <c r="K2398" s="93"/>
      <c r="L2398" s="86"/>
      <c r="M2398" s="161"/>
      <c r="N2398" s="86"/>
      <c r="O2398" s="86"/>
      <c r="P2398" s="86"/>
      <c r="Q2398" s="85"/>
      <c r="S2398" s="85"/>
      <c r="T2398" s="85"/>
      <c r="U2398" s="85"/>
      <c r="V2398" s="85"/>
      <c r="W2398" s="85"/>
      <c r="X2398" s="85"/>
    </row>
    <row r="2399" spans="2:24" s="58" customFormat="1" ht="12" x14ac:dyDescent="0.2">
      <c r="B2399" s="91"/>
      <c r="E2399" s="92"/>
      <c r="F2399" s="93"/>
      <c r="G2399" s="94"/>
      <c r="H2399" s="94"/>
      <c r="I2399" s="94"/>
      <c r="J2399" s="94"/>
      <c r="K2399" s="93"/>
      <c r="L2399" s="86"/>
      <c r="M2399" s="161"/>
      <c r="N2399" s="86"/>
      <c r="O2399" s="86"/>
      <c r="P2399" s="86"/>
      <c r="Q2399" s="85"/>
      <c r="S2399" s="85"/>
      <c r="T2399" s="85"/>
      <c r="U2399" s="85"/>
      <c r="V2399" s="85"/>
      <c r="W2399" s="85"/>
      <c r="X2399" s="85"/>
    </row>
    <row r="2400" spans="2:24" s="58" customFormat="1" ht="12" x14ac:dyDescent="0.2">
      <c r="B2400" s="91"/>
      <c r="E2400" s="92"/>
      <c r="F2400" s="93"/>
      <c r="G2400" s="94"/>
      <c r="H2400" s="94"/>
      <c r="I2400" s="94"/>
      <c r="J2400" s="94"/>
      <c r="K2400" s="93"/>
      <c r="L2400" s="86"/>
      <c r="M2400" s="161"/>
      <c r="N2400" s="86"/>
      <c r="O2400" s="86"/>
      <c r="P2400" s="86"/>
      <c r="Q2400" s="85"/>
      <c r="S2400" s="85"/>
      <c r="T2400" s="85"/>
      <c r="U2400" s="85"/>
      <c r="V2400" s="85"/>
      <c r="W2400" s="85"/>
      <c r="X2400" s="85"/>
    </row>
    <row r="2401" spans="2:24" s="58" customFormat="1" ht="12" x14ac:dyDescent="0.2">
      <c r="B2401" s="91"/>
      <c r="E2401" s="92"/>
      <c r="F2401" s="93"/>
      <c r="G2401" s="94"/>
      <c r="H2401" s="94"/>
      <c r="I2401" s="94"/>
      <c r="J2401" s="94"/>
      <c r="K2401" s="93"/>
      <c r="L2401" s="86"/>
      <c r="M2401" s="161"/>
      <c r="N2401" s="86"/>
      <c r="O2401" s="86"/>
      <c r="P2401" s="86"/>
      <c r="Q2401" s="85"/>
      <c r="S2401" s="85"/>
      <c r="T2401" s="85"/>
      <c r="U2401" s="85"/>
      <c r="V2401" s="85"/>
      <c r="W2401" s="85"/>
      <c r="X2401" s="85"/>
    </row>
    <row r="2402" spans="2:24" s="58" customFormat="1" ht="12" x14ac:dyDescent="0.2">
      <c r="B2402" s="91"/>
      <c r="E2402" s="92"/>
      <c r="F2402" s="93"/>
      <c r="G2402" s="94"/>
      <c r="H2402" s="94"/>
      <c r="I2402" s="94"/>
      <c r="J2402" s="94"/>
      <c r="K2402" s="93"/>
      <c r="L2402" s="86"/>
      <c r="M2402" s="161"/>
      <c r="N2402" s="86"/>
      <c r="O2402" s="86"/>
      <c r="P2402" s="86"/>
      <c r="Q2402" s="85"/>
      <c r="S2402" s="85"/>
      <c r="T2402" s="85"/>
      <c r="U2402" s="85"/>
      <c r="V2402" s="85"/>
      <c r="W2402" s="85"/>
      <c r="X2402" s="85"/>
    </row>
    <row r="2403" spans="2:24" s="58" customFormat="1" ht="12" x14ac:dyDescent="0.2">
      <c r="B2403" s="91"/>
      <c r="E2403" s="92"/>
      <c r="F2403" s="93"/>
      <c r="G2403" s="94"/>
      <c r="H2403" s="94"/>
      <c r="I2403" s="94"/>
      <c r="J2403" s="94"/>
      <c r="K2403" s="93"/>
      <c r="L2403" s="86"/>
      <c r="M2403" s="161"/>
      <c r="N2403" s="86"/>
      <c r="O2403" s="86"/>
      <c r="P2403" s="86"/>
      <c r="Q2403" s="85"/>
      <c r="S2403" s="85"/>
      <c r="T2403" s="85"/>
      <c r="U2403" s="85"/>
      <c r="V2403" s="85"/>
      <c r="W2403" s="85"/>
      <c r="X2403" s="85"/>
    </row>
    <row r="2404" spans="2:24" s="58" customFormat="1" ht="12" x14ac:dyDescent="0.2">
      <c r="B2404" s="91"/>
      <c r="E2404" s="92"/>
      <c r="F2404" s="93"/>
      <c r="G2404" s="94"/>
      <c r="H2404" s="94"/>
      <c r="I2404" s="94"/>
      <c r="J2404" s="94"/>
      <c r="K2404" s="93"/>
      <c r="L2404" s="86"/>
      <c r="M2404" s="161"/>
      <c r="N2404" s="86"/>
      <c r="O2404" s="86"/>
      <c r="P2404" s="86"/>
      <c r="Q2404" s="85"/>
      <c r="S2404" s="85"/>
      <c r="T2404" s="85"/>
      <c r="U2404" s="85"/>
      <c r="V2404" s="85"/>
      <c r="W2404" s="85"/>
      <c r="X2404" s="85"/>
    </row>
    <row r="2405" spans="2:24" s="58" customFormat="1" ht="12" x14ac:dyDescent="0.2">
      <c r="B2405" s="91"/>
      <c r="E2405" s="92"/>
      <c r="F2405" s="93"/>
      <c r="G2405" s="94"/>
      <c r="H2405" s="94"/>
      <c r="I2405" s="94"/>
      <c r="J2405" s="94"/>
      <c r="K2405" s="93"/>
      <c r="L2405" s="86"/>
      <c r="M2405" s="161"/>
      <c r="N2405" s="86"/>
      <c r="O2405" s="86"/>
      <c r="P2405" s="86"/>
      <c r="Q2405" s="85"/>
      <c r="S2405" s="85"/>
      <c r="T2405" s="85"/>
      <c r="U2405" s="85"/>
      <c r="V2405" s="85"/>
      <c r="W2405" s="85"/>
      <c r="X2405" s="85"/>
    </row>
    <row r="2406" spans="2:24" s="58" customFormat="1" ht="12" x14ac:dyDescent="0.2">
      <c r="B2406" s="91"/>
      <c r="E2406" s="92"/>
      <c r="F2406" s="93"/>
      <c r="G2406" s="94"/>
      <c r="H2406" s="94"/>
      <c r="I2406" s="94"/>
      <c r="J2406" s="94"/>
      <c r="K2406" s="93"/>
      <c r="L2406" s="86"/>
      <c r="M2406" s="161"/>
      <c r="N2406" s="86"/>
      <c r="O2406" s="86"/>
      <c r="P2406" s="86"/>
      <c r="Q2406" s="85"/>
      <c r="S2406" s="85"/>
      <c r="T2406" s="85"/>
      <c r="U2406" s="85"/>
      <c r="V2406" s="85"/>
      <c r="W2406" s="85"/>
      <c r="X2406" s="85"/>
    </row>
    <row r="2407" spans="2:24" s="58" customFormat="1" ht="12" x14ac:dyDescent="0.2">
      <c r="B2407" s="91"/>
      <c r="E2407" s="92"/>
      <c r="F2407" s="93"/>
      <c r="G2407" s="94"/>
      <c r="H2407" s="94"/>
      <c r="I2407" s="94"/>
      <c r="J2407" s="94"/>
      <c r="K2407" s="93"/>
      <c r="L2407" s="86"/>
      <c r="M2407" s="161"/>
      <c r="N2407" s="86"/>
      <c r="O2407" s="86"/>
      <c r="P2407" s="86"/>
      <c r="Q2407" s="85"/>
      <c r="S2407" s="85"/>
      <c r="T2407" s="85"/>
      <c r="U2407" s="85"/>
      <c r="V2407" s="85"/>
      <c r="W2407" s="85"/>
      <c r="X2407" s="85"/>
    </row>
    <row r="2408" spans="2:24" s="58" customFormat="1" ht="12" x14ac:dyDescent="0.2">
      <c r="B2408" s="91"/>
      <c r="E2408" s="92"/>
      <c r="F2408" s="93"/>
      <c r="G2408" s="94"/>
      <c r="H2408" s="94"/>
      <c r="I2408" s="94"/>
      <c r="J2408" s="94"/>
      <c r="K2408" s="93"/>
      <c r="L2408" s="86"/>
      <c r="M2408" s="161"/>
      <c r="N2408" s="86"/>
      <c r="O2408" s="86"/>
      <c r="P2408" s="86"/>
      <c r="Q2408" s="85"/>
      <c r="S2408" s="85"/>
      <c r="T2408" s="85"/>
      <c r="U2408" s="85"/>
      <c r="V2408" s="85"/>
      <c r="W2408" s="85"/>
      <c r="X2408" s="85"/>
    </row>
    <row r="2409" spans="2:24" s="58" customFormat="1" ht="12" x14ac:dyDescent="0.2">
      <c r="B2409" s="91"/>
      <c r="E2409" s="92"/>
      <c r="F2409" s="93"/>
      <c r="G2409" s="94"/>
      <c r="H2409" s="94"/>
      <c r="I2409" s="94"/>
      <c r="J2409" s="94"/>
      <c r="K2409" s="93"/>
      <c r="L2409" s="86"/>
      <c r="M2409" s="161"/>
      <c r="N2409" s="86"/>
      <c r="O2409" s="86"/>
      <c r="P2409" s="86"/>
      <c r="Q2409" s="85"/>
      <c r="S2409" s="85"/>
      <c r="T2409" s="85"/>
      <c r="U2409" s="85"/>
      <c r="V2409" s="85"/>
      <c r="W2409" s="85"/>
      <c r="X2409" s="85"/>
    </row>
    <row r="2410" spans="2:24" s="58" customFormat="1" ht="12" x14ac:dyDescent="0.2">
      <c r="B2410" s="91"/>
      <c r="E2410" s="92"/>
      <c r="F2410" s="93"/>
      <c r="G2410" s="94"/>
      <c r="H2410" s="94"/>
      <c r="I2410" s="94"/>
      <c r="J2410" s="94"/>
      <c r="K2410" s="93"/>
      <c r="L2410" s="86"/>
      <c r="M2410" s="161"/>
      <c r="N2410" s="86"/>
      <c r="O2410" s="86"/>
      <c r="P2410" s="86"/>
      <c r="Q2410" s="85"/>
      <c r="S2410" s="85"/>
      <c r="T2410" s="85"/>
      <c r="U2410" s="85"/>
      <c r="V2410" s="85"/>
      <c r="W2410" s="85"/>
      <c r="X2410" s="85"/>
    </row>
    <row r="2411" spans="2:24" s="58" customFormat="1" ht="12" x14ac:dyDescent="0.2">
      <c r="B2411" s="91"/>
      <c r="E2411" s="92"/>
      <c r="F2411" s="93"/>
      <c r="G2411" s="94"/>
      <c r="H2411" s="94"/>
      <c r="I2411" s="94"/>
      <c r="J2411" s="94"/>
      <c r="K2411" s="93"/>
      <c r="L2411" s="86"/>
      <c r="M2411" s="161"/>
      <c r="N2411" s="86"/>
      <c r="O2411" s="86"/>
      <c r="P2411" s="86"/>
      <c r="Q2411" s="85"/>
      <c r="S2411" s="85"/>
      <c r="T2411" s="85"/>
      <c r="U2411" s="85"/>
      <c r="V2411" s="85"/>
      <c r="W2411" s="85"/>
      <c r="X2411" s="85"/>
    </row>
    <row r="2412" spans="2:24" s="58" customFormat="1" ht="12" x14ac:dyDescent="0.2">
      <c r="B2412" s="91"/>
      <c r="E2412" s="92"/>
      <c r="F2412" s="93"/>
      <c r="G2412" s="94"/>
      <c r="H2412" s="94"/>
      <c r="I2412" s="94"/>
      <c r="J2412" s="94"/>
      <c r="K2412" s="93"/>
      <c r="L2412" s="86"/>
      <c r="M2412" s="161"/>
      <c r="N2412" s="86"/>
      <c r="O2412" s="86"/>
      <c r="P2412" s="86"/>
      <c r="Q2412" s="85"/>
      <c r="S2412" s="85"/>
      <c r="T2412" s="85"/>
      <c r="U2412" s="85"/>
      <c r="V2412" s="85"/>
      <c r="W2412" s="85"/>
      <c r="X2412" s="85"/>
    </row>
    <row r="2413" spans="2:24" s="58" customFormat="1" ht="12" x14ac:dyDescent="0.2">
      <c r="B2413" s="91"/>
      <c r="E2413" s="92"/>
      <c r="F2413" s="93"/>
      <c r="G2413" s="94"/>
      <c r="H2413" s="94"/>
      <c r="I2413" s="94"/>
      <c r="J2413" s="94"/>
      <c r="K2413" s="93"/>
      <c r="L2413" s="86"/>
      <c r="M2413" s="161"/>
      <c r="N2413" s="86"/>
      <c r="O2413" s="86"/>
      <c r="P2413" s="86"/>
      <c r="Q2413" s="85"/>
      <c r="S2413" s="85"/>
      <c r="T2413" s="85"/>
      <c r="U2413" s="85"/>
      <c r="V2413" s="85"/>
      <c r="W2413" s="85"/>
      <c r="X2413" s="85"/>
    </row>
    <row r="2414" spans="2:24" s="58" customFormat="1" ht="12" x14ac:dyDescent="0.2">
      <c r="B2414" s="91"/>
      <c r="E2414" s="92"/>
      <c r="F2414" s="93"/>
      <c r="G2414" s="94"/>
      <c r="H2414" s="94"/>
      <c r="I2414" s="94"/>
      <c r="J2414" s="94"/>
      <c r="K2414" s="93"/>
      <c r="L2414" s="86"/>
      <c r="M2414" s="161"/>
      <c r="N2414" s="86"/>
      <c r="O2414" s="86"/>
      <c r="P2414" s="86"/>
      <c r="Q2414" s="85"/>
      <c r="S2414" s="85"/>
      <c r="T2414" s="85"/>
      <c r="U2414" s="85"/>
      <c r="V2414" s="85"/>
      <c r="W2414" s="85"/>
      <c r="X2414" s="85"/>
    </row>
    <row r="2415" spans="2:24" s="58" customFormat="1" ht="12" x14ac:dyDescent="0.2">
      <c r="B2415" s="91"/>
      <c r="E2415" s="92"/>
      <c r="F2415" s="93"/>
      <c r="G2415" s="94"/>
      <c r="H2415" s="94"/>
      <c r="I2415" s="94"/>
      <c r="J2415" s="94"/>
      <c r="K2415" s="93"/>
      <c r="L2415" s="86"/>
      <c r="M2415" s="161"/>
      <c r="N2415" s="86"/>
      <c r="O2415" s="86"/>
      <c r="P2415" s="86"/>
      <c r="Q2415" s="85"/>
      <c r="S2415" s="85"/>
      <c r="T2415" s="85"/>
      <c r="U2415" s="85"/>
      <c r="V2415" s="85"/>
      <c r="W2415" s="85"/>
      <c r="X2415" s="85"/>
    </row>
    <row r="2416" spans="2:24" s="58" customFormat="1" ht="12" x14ac:dyDescent="0.2">
      <c r="B2416" s="91"/>
      <c r="E2416" s="92"/>
      <c r="F2416" s="93"/>
      <c r="G2416" s="94"/>
      <c r="H2416" s="94"/>
      <c r="I2416" s="94"/>
      <c r="J2416" s="94"/>
      <c r="K2416" s="93"/>
      <c r="L2416" s="86"/>
      <c r="M2416" s="161"/>
      <c r="N2416" s="86"/>
      <c r="O2416" s="86"/>
      <c r="P2416" s="86"/>
      <c r="Q2416" s="85"/>
      <c r="S2416" s="85"/>
      <c r="T2416" s="85"/>
      <c r="U2416" s="85"/>
      <c r="V2416" s="85"/>
      <c r="W2416" s="85"/>
      <c r="X2416" s="85"/>
    </row>
    <row r="2417" spans="2:24" s="58" customFormat="1" ht="12" x14ac:dyDescent="0.2">
      <c r="B2417" s="91"/>
      <c r="E2417" s="92"/>
      <c r="F2417" s="93"/>
      <c r="G2417" s="94"/>
      <c r="H2417" s="94"/>
      <c r="I2417" s="94"/>
      <c r="J2417" s="94"/>
      <c r="K2417" s="93"/>
      <c r="L2417" s="86"/>
      <c r="M2417" s="161"/>
      <c r="N2417" s="86"/>
      <c r="O2417" s="86"/>
      <c r="P2417" s="86"/>
      <c r="Q2417" s="85"/>
      <c r="S2417" s="85"/>
      <c r="T2417" s="85"/>
      <c r="U2417" s="85"/>
      <c r="V2417" s="85"/>
      <c r="W2417" s="85"/>
      <c r="X2417" s="85"/>
    </row>
    <row r="2418" spans="2:24" s="58" customFormat="1" ht="12" x14ac:dyDescent="0.2">
      <c r="B2418" s="91"/>
      <c r="E2418" s="92"/>
      <c r="F2418" s="93"/>
      <c r="G2418" s="94"/>
      <c r="H2418" s="94"/>
      <c r="I2418" s="94"/>
      <c r="J2418" s="94"/>
      <c r="K2418" s="93"/>
      <c r="L2418" s="86"/>
      <c r="M2418" s="161"/>
      <c r="N2418" s="86"/>
      <c r="O2418" s="86"/>
      <c r="P2418" s="86"/>
      <c r="Q2418" s="85"/>
      <c r="S2418" s="85"/>
      <c r="T2418" s="85"/>
      <c r="U2418" s="85"/>
      <c r="V2418" s="85"/>
      <c r="W2418" s="85"/>
      <c r="X2418" s="85"/>
    </row>
    <row r="2419" spans="2:24" s="58" customFormat="1" ht="12" x14ac:dyDescent="0.2">
      <c r="B2419" s="91"/>
      <c r="E2419" s="92"/>
      <c r="F2419" s="93"/>
      <c r="G2419" s="94"/>
      <c r="H2419" s="94"/>
      <c r="I2419" s="94"/>
      <c r="J2419" s="94"/>
      <c r="K2419" s="93"/>
      <c r="L2419" s="86"/>
      <c r="M2419" s="161"/>
      <c r="N2419" s="86"/>
      <c r="O2419" s="86"/>
      <c r="P2419" s="86"/>
      <c r="Q2419" s="85"/>
      <c r="S2419" s="85"/>
      <c r="T2419" s="85"/>
      <c r="U2419" s="85"/>
      <c r="V2419" s="85"/>
      <c r="W2419" s="85"/>
      <c r="X2419" s="85"/>
    </row>
    <row r="2420" spans="2:24" s="58" customFormat="1" ht="12" x14ac:dyDescent="0.2">
      <c r="B2420" s="91"/>
      <c r="E2420" s="92"/>
      <c r="F2420" s="93"/>
      <c r="G2420" s="94"/>
      <c r="H2420" s="94"/>
      <c r="I2420" s="94"/>
      <c r="J2420" s="94"/>
      <c r="K2420" s="93"/>
      <c r="L2420" s="86"/>
      <c r="M2420" s="161"/>
      <c r="N2420" s="86"/>
      <c r="O2420" s="86"/>
      <c r="P2420" s="86"/>
      <c r="Q2420" s="85"/>
      <c r="S2420" s="85"/>
      <c r="T2420" s="85"/>
      <c r="U2420" s="85"/>
      <c r="V2420" s="85"/>
      <c r="W2420" s="85"/>
      <c r="X2420" s="85"/>
    </row>
    <row r="2421" spans="2:24" s="58" customFormat="1" ht="12" x14ac:dyDescent="0.2">
      <c r="B2421" s="91"/>
      <c r="E2421" s="92"/>
      <c r="F2421" s="93"/>
      <c r="G2421" s="94"/>
      <c r="H2421" s="94"/>
      <c r="I2421" s="94"/>
      <c r="J2421" s="94"/>
      <c r="K2421" s="93"/>
      <c r="L2421" s="86"/>
      <c r="M2421" s="161"/>
      <c r="N2421" s="86"/>
      <c r="O2421" s="86"/>
      <c r="P2421" s="86"/>
      <c r="Q2421" s="85"/>
      <c r="S2421" s="85"/>
      <c r="T2421" s="85"/>
      <c r="U2421" s="85"/>
      <c r="V2421" s="85"/>
      <c r="W2421" s="85"/>
      <c r="X2421" s="85"/>
    </row>
    <row r="2422" spans="2:24" s="58" customFormat="1" ht="12" x14ac:dyDescent="0.2">
      <c r="B2422" s="91"/>
      <c r="E2422" s="92"/>
      <c r="F2422" s="93"/>
      <c r="G2422" s="94"/>
      <c r="H2422" s="94"/>
      <c r="I2422" s="94"/>
      <c r="J2422" s="94"/>
      <c r="K2422" s="93"/>
      <c r="L2422" s="86"/>
      <c r="M2422" s="161"/>
      <c r="N2422" s="86"/>
      <c r="O2422" s="86"/>
      <c r="P2422" s="86"/>
      <c r="Q2422" s="85"/>
      <c r="S2422" s="85"/>
      <c r="T2422" s="85"/>
      <c r="U2422" s="85"/>
      <c r="V2422" s="85"/>
      <c r="W2422" s="85"/>
      <c r="X2422" s="85"/>
    </row>
    <row r="2423" spans="2:24" s="58" customFormat="1" ht="12" x14ac:dyDescent="0.2">
      <c r="B2423" s="91"/>
      <c r="E2423" s="92"/>
      <c r="F2423" s="93"/>
      <c r="G2423" s="94"/>
      <c r="H2423" s="94"/>
      <c r="I2423" s="94"/>
      <c r="J2423" s="94"/>
      <c r="K2423" s="93"/>
      <c r="L2423" s="86"/>
      <c r="M2423" s="161"/>
      <c r="N2423" s="86"/>
      <c r="O2423" s="86"/>
      <c r="P2423" s="86"/>
      <c r="Q2423" s="85"/>
      <c r="S2423" s="85"/>
      <c r="T2423" s="85"/>
      <c r="U2423" s="85"/>
      <c r="V2423" s="85"/>
      <c r="W2423" s="85"/>
      <c r="X2423" s="85"/>
    </row>
    <row r="2424" spans="2:24" s="58" customFormat="1" ht="12" x14ac:dyDescent="0.2">
      <c r="B2424" s="91"/>
      <c r="E2424" s="92"/>
      <c r="F2424" s="93"/>
      <c r="G2424" s="94"/>
      <c r="H2424" s="94"/>
      <c r="I2424" s="94"/>
      <c r="J2424" s="94"/>
      <c r="K2424" s="93"/>
      <c r="L2424" s="86"/>
      <c r="M2424" s="161"/>
      <c r="N2424" s="86"/>
      <c r="O2424" s="86"/>
      <c r="P2424" s="86"/>
      <c r="Q2424" s="85"/>
      <c r="S2424" s="85"/>
      <c r="T2424" s="85"/>
      <c r="U2424" s="85"/>
      <c r="V2424" s="85"/>
      <c r="W2424" s="85"/>
      <c r="X2424" s="85"/>
    </row>
    <row r="2425" spans="2:24" s="58" customFormat="1" ht="12" x14ac:dyDescent="0.2">
      <c r="B2425" s="91"/>
      <c r="E2425" s="92"/>
      <c r="F2425" s="93"/>
      <c r="G2425" s="94"/>
      <c r="H2425" s="94"/>
      <c r="I2425" s="94"/>
      <c r="J2425" s="94"/>
      <c r="K2425" s="93"/>
      <c r="L2425" s="86"/>
      <c r="M2425" s="161"/>
      <c r="N2425" s="86"/>
      <c r="O2425" s="86"/>
      <c r="P2425" s="86"/>
      <c r="Q2425" s="85"/>
      <c r="S2425" s="85"/>
      <c r="T2425" s="85"/>
      <c r="U2425" s="85"/>
      <c r="V2425" s="85"/>
      <c r="W2425" s="85"/>
      <c r="X2425" s="85"/>
    </row>
    <row r="2426" spans="2:24" s="58" customFormat="1" ht="12" x14ac:dyDescent="0.2">
      <c r="B2426" s="91"/>
      <c r="E2426" s="92"/>
      <c r="F2426" s="93"/>
      <c r="G2426" s="94"/>
      <c r="H2426" s="94"/>
      <c r="I2426" s="94"/>
      <c r="J2426" s="94"/>
      <c r="K2426" s="93"/>
      <c r="L2426" s="86"/>
      <c r="M2426" s="161"/>
      <c r="N2426" s="86"/>
      <c r="O2426" s="86"/>
      <c r="P2426" s="86"/>
      <c r="Q2426" s="85"/>
      <c r="S2426" s="85"/>
      <c r="T2426" s="85"/>
      <c r="U2426" s="85"/>
      <c r="V2426" s="85"/>
      <c r="W2426" s="85"/>
      <c r="X2426" s="85"/>
    </row>
    <row r="2427" spans="2:24" s="58" customFormat="1" ht="12" x14ac:dyDescent="0.2">
      <c r="B2427" s="91"/>
      <c r="E2427" s="92"/>
      <c r="F2427" s="93"/>
      <c r="G2427" s="94"/>
      <c r="H2427" s="94"/>
      <c r="I2427" s="94"/>
      <c r="J2427" s="94"/>
      <c r="K2427" s="93"/>
      <c r="L2427" s="86"/>
      <c r="M2427" s="161"/>
      <c r="N2427" s="86"/>
      <c r="O2427" s="86"/>
      <c r="P2427" s="86"/>
      <c r="Q2427" s="85"/>
      <c r="S2427" s="85"/>
      <c r="T2427" s="85"/>
      <c r="U2427" s="85"/>
      <c r="V2427" s="85"/>
      <c r="W2427" s="85"/>
      <c r="X2427" s="85"/>
    </row>
    <row r="2428" spans="2:24" s="58" customFormat="1" ht="12" x14ac:dyDescent="0.2">
      <c r="B2428" s="91"/>
      <c r="E2428" s="92"/>
      <c r="F2428" s="93"/>
      <c r="G2428" s="94"/>
      <c r="H2428" s="94"/>
      <c r="I2428" s="94"/>
      <c r="J2428" s="94"/>
      <c r="K2428" s="93"/>
      <c r="L2428" s="86"/>
      <c r="M2428" s="161"/>
      <c r="N2428" s="86"/>
      <c r="O2428" s="86"/>
      <c r="P2428" s="86"/>
      <c r="Q2428" s="85"/>
      <c r="S2428" s="85"/>
      <c r="T2428" s="85"/>
      <c r="U2428" s="85"/>
      <c r="V2428" s="85"/>
      <c r="W2428" s="85"/>
      <c r="X2428" s="85"/>
    </row>
    <row r="2429" spans="2:24" s="58" customFormat="1" ht="12" x14ac:dyDescent="0.2">
      <c r="B2429" s="91"/>
      <c r="E2429" s="92"/>
      <c r="F2429" s="93"/>
      <c r="G2429" s="94"/>
      <c r="H2429" s="94"/>
      <c r="I2429" s="94"/>
      <c r="J2429" s="94"/>
      <c r="K2429" s="93"/>
      <c r="L2429" s="86"/>
      <c r="M2429" s="161"/>
      <c r="N2429" s="86"/>
      <c r="O2429" s="86"/>
      <c r="P2429" s="86"/>
      <c r="Q2429" s="85"/>
      <c r="S2429" s="85"/>
      <c r="T2429" s="85"/>
      <c r="U2429" s="85"/>
      <c r="V2429" s="85"/>
      <c r="W2429" s="85"/>
      <c r="X2429" s="85"/>
    </row>
    <row r="2430" spans="2:24" s="58" customFormat="1" ht="12" x14ac:dyDescent="0.2">
      <c r="B2430" s="91"/>
      <c r="E2430" s="92"/>
      <c r="F2430" s="93"/>
      <c r="G2430" s="94"/>
      <c r="H2430" s="94"/>
      <c r="I2430" s="94"/>
      <c r="J2430" s="94"/>
      <c r="K2430" s="93"/>
      <c r="L2430" s="86"/>
      <c r="M2430" s="161"/>
      <c r="N2430" s="86"/>
      <c r="O2430" s="86"/>
      <c r="P2430" s="86"/>
      <c r="Q2430" s="85"/>
      <c r="S2430" s="85"/>
      <c r="T2430" s="85"/>
      <c r="U2430" s="85"/>
      <c r="V2430" s="85"/>
      <c r="W2430" s="85"/>
      <c r="X2430" s="85"/>
    </row>
    <row r="2431" spans="2:24" s="58" customFormat="1" ht="12" x14ac:dyDescent="0.2">
      <c r="B2431" s="91"/>
      <c r="E2431" s="92"/>
      <c r="F2431" s="93"/>
      <c r="G2431" s="94"/>
      <c r="H2431" s="94"/>
      <c r="I2431" s="94"/>
      <c r="J2431" s="94"/>
      <c r="K2431" s="93"/>
      <c r="L2431" s="86"/>
      <c r="M2431" s="161"/>
      <c r="N2431" s="86"/>
      <c r="O2431" s="86"/>
      <c r="P2431" s="86"/>
      <c r="Q2431" s="85"/>
      <c r="S2431" s="85"/>
      <c r="T2431" s="85"/>
      <c r="U2431" s="85"/>
      <c r="V2431" s="85"/>
      <c r="W2431" s="85"/>
      <c r="X2431" s="85"/>
    </row>
    <row r="2432" spans="2:24" s="58" customFormat="1" ht="12" x14ac:dyDescent="0.2">
      <c r="B2432" s="91"/>
      <c r="E2432" s="92"/>
      <c r="F2432" s="93"/>
      <c r="G2432" s="94"/>
      <c r="H2432" s="94"/>
      <c r="I2432" s="94"/>
      <c r="J2432" s="94"/>
      <c r="K2432" s="93"/>
      <c r="L2432" s="86"/>
      <c r="M2432" s="161"/>
      <c r="N2432" s="86"/>
      <c r="O2432" s="86"/>
      <c r="P2432" s="86"/>
      <c r="Q2432" s="85"/>
      <c r="S2432" s="85"/>
      <c r="T2432" s="85"/>
      <c r="U2432" s="85"/>
      <c r="V2432" s="85"/>
      <c r="W2432" s="85"/>
      <c r="X2432" s="85"/>
    </row>
    <row r="2433" spans="2:24" s="58" customFormat="1" ht="12" x14ac:dyDescent="0.2">
      <c r="B2433" s="91"/>
      <c r="E2433" s="92"/>
      <c r="F2433" s="93"/>
      <c r="G2433" s="94"/>
      <c r="H2433" s="94"/>
      <c r="I2433" s="94"/>
      <c r="J2433" s="94"/>
      <c r="K2433" s="93"/>
      <c r="L2433" s="86"/>
      <c r="M2433" s="161"/>
      <c r="N2433" s="86"/>
      <c r="O2433" s="86"/>
      <c r="P2433" s="86"/>
      <c r="Q2433" s="85"/>
      <c r="S2433" s="85"/>
      <c r="T2433" s="85"/>
      <c r="U2433" s="85"/>
      <c r="V2433" s="85"/>
      <c r="W2433" s="85"/>
      <c r="X2433" s="85"/>
    </row>
    <row r="2434" spans="2:24" s="58" customFormat="1" ht="12" x14ac:dyDescent="0.2">
      <c r="B2434" s="91"/>
      <c r="E2434" s="92"/>
      <c r="F2434" s="93"/>
      <c r="G2434" s="94"/>
      <c r="H2434" s="94"/>
      <c r="I2434" s="94"/>
      <c r="J2434" s="94"/>
      <c r="K2434" s="93"/>
      <c r="L2434" s="86"/>
      <c r="M2434" s="161"/>
      <c r="N2434" s="86"/>
      <c r="O2434" s="86"/>
      <c r="P2434" s="86"/>
      <c r="Q2434" s="85"/>
      <c r="S2434" s="85"/>
      <c r="T2434" s="85"/>
      <c r="U2434" s="85"/>
      <c r="V2434" s="85"/>
      <c r="W2434" s="85"/>
      <c r="X2434" s="85"/>
    </row>
    <row r="2435" spans="2:24" s="58" customFormat="1" ht="12" x14ac:dyDescent="0.2">
      <c r="B2435" s="91"/>
      <c r="E2435" s="92"/>
      <c r="F2435" s="93"/>
      <c r="G2435" s="94"/>
      <c r="H2435" s="94"/>
      <c r="I2435" s="94"/>
      <c r="J2435" s="94"/>
      <c r="K2435" s="93"/>
      <c r="L2435" s="86"/>
      <c r="M2435" s="161"/>
      <c r="N2435" s="86"/>
      <c r="O2435" s="86"/>
      <c r="P2435" s="86"/>
      <c r="Q2435" s="85"/>
      <c r="S2435" s="85"/>
      <c r="T2435" s="85"/>
      <c r="U2435" s="85"/>
      <c r="V2435" s="85"/>
      <c r="W2435" s="85"/>
      <c r="X2435" s="85"/>
    </row>
    <row r="2436" spans="2:24" s="58" customFormat="1" ht="12" x14ac:dyDescent="0.2">
      <c r="B2436" s="91"/>
      <c r="E2436" s="92"/>
      <c r="F2436" s="93"/>
      <c r="G2436" s="94"/>
      <c r="H2436" s="94"/>
      <c r="I2436" s="94"/>
      <c r="J2436" s="94"/>
      <c r="K2436" s="93"/>
      <c r="L2436" s="86"/>
      <c r="M2436" s="161"/>
      <c r="N2436" s="86"/>
      <c r="O2436" s="86"/>
      <c r="P2436" s="86"/>
      <c r="Q2436" s="85"/>
      <c r="S2436" s="85"/>
      <c r="T2436" s="85"/>
      <c r="U2436" s="85"/>
      <c r="V2436" s="85"/>
      <c r="W2436" s="85"/>
      <c r="X2436" s="85"/>
    </row>
    <row r="2437" spans="2:24" s="58" customFormat="1" ht="12" x14ac:dyDescent="0.2">
      <c r="B2437" s="91"/>
      <c r="E2437" s="92"/>
      <c r="F2437" s="93"/>
      <c r="G2437" s="94"/>
      <c r="H2437" s="94"/>
      <c r="I2437" s="94"/>
      <c r="J2437" s="94"/>
      <c r="K2437" s="93"/>
      <c r="L2437" s="86"/>
      <c r="M2437" s="161"/>
      <c r="N2437" s="86"/>
      <c r="O2437" s="86"/>
      <c r="P2437" s="86"/>
      <c r="Q2437" s="85"/>
      <c r="S2437" s="85"/>
      <c r="T2437" s="85"/>
      <c r="U2437" s="85"/>
      <c r="V2437" s="85"/>
      <c r="W2437" s="85"/>
      <c r="X2437" s="85"/>
    </row>
    <row r="2438" spans="2:24" s="58" customFormat="1" ht="12" x14ac:dyDescent="0.2">
      <c r="B2438" s="91"/>
      <c r="E2438" s="92"/>
      <c r="F2438" s="93"/>
      <c r="G2438" s="94"/>
      <c r="H2438" s="94"/>
      <c r="I2438" s="94"/>
      <c r="J2438" s="94"/>
      <c r="K2438" s="93"/>
      <c r="L2438" s="86"/>
      <c r="M2438" s="161"/>
      <c r="N2438" s="86"/>
      <c r="O2438" s="86"/>
      <c r="P2438" s="86"/>
      <c r="Q2438" s="85"/>
      <c r="S2438" s="85"/>
      <c r="T2438" s="85"/>
      <c r="U2438" s="85"/>
      <c r="V2438" s="85"/>
      <c r="W2438" s="85"/>
      <c r="X2438" s="85"/>
    </row>
    <row r="2439" spans="2:24" s="58" customFormat="1" ht="12" x14ac:dyDescent="0.2">
      <c r="B2439" s="91"/>
      <c r="E2439" s="92"/>
      <c r="F2439" s="93"/>
      <c r="G2439" s="94"/>
      <c r="H2439" s="94"/>
      <c r="I2439" s="94"/>
      <c r="J2439" s="94"/>
      <c r="K2439" s="93"/>
      <c r="L2439" s="86"/>
      <c r="M2439" s="161"/>
      <c r="N2439" s="86"/>
      <c r="O2439" s="86"/>
      <c r="P2439" s="86"/>
      <c r="Q2439" s="85"/>
      <c r="S2439" s="85"/>
      <c r="T2439" s="85"/>
      <c r="U2439" s="85"/>
      <c r="V2439" s="85"/>
      <c r="W2439" s="85"/>
      <c r="X2439" s="85"/>
    </row>
    <row r="2440" spans="2:24" s="58" customFormat="1" ht="12" x14ac:dyDescent="0.2">
      <c r="B2440" s="91"/>
      <c r="E2440" s="92"/>
      <c r="F2440" s="93"/>
      <c r="G2440" s="94"/>
      <c r="H2440" s="94"/>
      <c r="I2440" s="94"/>
      <c r="J2440" s="94"/>
      <c r="K2440" s="93"/>
      <c r="L2440" s="86"/>
      <c r="M2440" s="161"/>
      <c r="N2440" s="86"/>
      <c r="O2440" s="86"/>
      <c r="P2440" s="86"/>
      <c r="Q2440" s="85"/>
      <c r="S2440" s="85"/>
      <c r="T2440" s="85"/>
      <c r="U2440" s="85"/>
      <c r="V2440" s="85"/>
      <c r="W2440" s="85"/>
      <c r="X2440" s="85"/>
    </row>
    <row r="2441" spans="2:24" s="58" customFormat="1" ht="12" x14ac:dyDescent="0.2">
      <c r="B2441" s="91"/>
      <c r="E2441" s="92"/>
      <c r="F2441" s="93"/>
      <c r="G2441" s="94"/>
      <c r="H2441" s="94"/>
      <c r="I2441" s="94"/>
      <c r="J2441" s="94"/>
      <c r="K2441" s="93"/>
      <c r="L2441" s="86"/>
      <c r="M2441" s="161"/>
      <c r="N2441" s="86"/>
      <c r="O2441" s="86"/>
      <c r="P2441" s="86"/>
      <c r="Q2441" s="85"/>
      <c r="S2441" s="85"/>
      <c r="T2441" s="85"/>
      <c r="U2441" s="85"/>
      <c r="V2441" s="85"/>
      <c r="W2441" s="85"/>
      <c r="X2441" s="85"/>
    </row>
    <row r="2442" spans="2:24" s="58" customFormat="1" ht="12" x14ac:dyDescent="0.2">
      <c r="B2442" s="91"/>
      <c r="E2442" s="92"/>
      <c r="F2442" s="93"/>
      <c r="G2442" s="94"/>
      <c r="H2442" s="94"/>
      <c r="I2442" s="94"/>
      <c r="J2442" s="94"/>
      <c r="K2442" s="93"/>
      <c r="L2442" s="86"/>
      <c r="M2442" s="161"/>
      <c r="N2442" s="86"/>
      <c r="O2442" s="86"/>
      <c r="P2442" s="86"/>
      <c r="Q2442" s="85"/>
      <c r="S2442" s="85"/>
      <c r="T2442" s="85"/>
      <c r="U2442" s="85"/>
      <c r="V2442" s="85"/>
      <c r="W2442" s="85"/>
      <c r="X2442" s="85"/>
    </row>
    <row r="2443" spans="2:24" s="58" customFormat="1" ht="12" x14ac:dyDescent="0.2">
      <c r="B2443" s="91"/>
      <c r="E2443" s="92"/>
      <c r="F2443" s="93"/>
      <c r="G2443" s="94"/>
      <c r="H2443" s="94"/>
      <c r="I2443" s="94"/>
      <c r="J2443" s="94"/>
      <c r="K2443" s="93"/>
      <c r="L2443" s="86"/>
      <c r="M2443" s="161"/>
      <c r="N2443" s="86"/>
      <c r="O2443" s="86"/>
      <c r="P2443" s="86"/>
      <c r="Q2443" s="85"/>
      <c r="S2443" s="85"/>
      <c r="T2443" s="85"/>
      <c r="U2443" s="85"/>
      <c r="V2443" s="85"/>
      <c r="W2443" s="85"/>
      <c r="X2443" s="85"/>
    </row>
    <row r="2444" spans="2:24" s="58" customFormat="1" ht="12" x14ac:dyDescent="0.2">
      <c r="B2444" s="91"/>
      <c r="E2444" s="92"/>
      <c r="F2444" s="93"/>
      <c r="G2444" s="94"/>
      <c r="H2444" s="94"/>
      <c r="I2444" s="94"/>
      <c r="J2444" s="94"/>
      <c r="K2444" s="93"/>
      <c r="L2444" s="86"/>
      <c r="M2444" s="161"/>
      <c r="N2444" s="86"/>
      <c r="O2444" s="86"/>
      <c r="P2444" s="86"/>
      <c r="Q2444" s="85"/>
      <c r="S2444" s="85"/>
      <c r="T2444" s="85"/>
      <c r="U2444" s="85"/>
      <c r="V2444" s="85"/>
      <c r="W2444" s="85"/>
      <c r="X2444" s="85"/>
    </row>
    <row r="2445" spans="2:24" s="58" customFormat="1" ht="12" x14ac:dyDescent="0.2">
      <c r="B2445" s="91"/>
      <c r="E2445" s="92"/>
      <c r="F2445" s="93"/>
      <c r="G2445" s="94"/>
      <c r="H2445" s="94"/>
      <c r="I2445" s="94"/>
      <c r="J2445" s="94"/>
      <c r="K2445" s="93"/>
      <c r="L2445" s="86"/>
      <c r="M2445" s="161"/>
      <c r="N2445" s="86"/>
      <c r="O2445" s="86"/>
      <c r="P2445" s="86"/>
      <c r="Q2445" s="85"/>
      <c r="S2445" s="85"/>
      <c r="T2445" s="85"/>
      <c r="U2445" s="85"/>
      <c r="V2445" s="85"/>
      <c r="W2445" s="85"/>
      <c r="X2445" s="85"/>
    </row>
    <row r="2446" spans="2:24" s="58" customFormat="1" ht="12" x14ac:dyDescent="0.2">
      <c r="B2446" s="91"/>
      <c r="E2446" s="92"/>
      <c r="F2446" s="93"/>
      <c r="G2446" s="94"/>
      <c r="H2446" s="94"/>
      <c r="I2446" s="94"/>
      <c r="J2446" s="94"/>
      <c r="K2446" s="93"/>
      <c r="L2446" s="86"/>
      <c r="M2446" s="161"/>
      <c r="N2446" s="86"/>
      <c r="O2446" s="86"/>
      <c r="P2446" s="86"/>
      <c r="Q2446" s="85"/>
      <c r="S2446" s="85"/>
      <c r="T2446" s="85"/>
      <c r="U2446" s="85"/>
      <c r="V2446" s="85"/>
      <c r="W2446" s="85"/>
      <c r="X2446" s="85"/>
    </row>
    <row r="2447" spans="2:24" s="58" customFormat="1" ht="12" x14ac:dyDescent="0.2">
      <c r="B2447" s="91"/>
      <c r="E2447" s="92"/>
      <c r="F2447" s="93"/>
      <c r="G2447" s="94"/>
      <c r="H2447" s="94"/>
      <c r="I2447" s="94"/>
      <c r="J2447" s="94"/>
      <c r="K2447" s="93"/>
      <c r="L2447" s="86"/>
      <c r="M2447" s="161"/>
      <c r="N2447" s="86"/>
      <c r="O2447" s="86"/>
      <c r="P2447" s="86"/>
      <c r="Q2447" s="85"/>
      <c r="S2447" s="85"/>
      <c r="T2447" s="85"/>
      <c r="U2447" s="85"/>
      <c r="V2447" s="85"/>
      <c r="W2447" s="85"/>
      <c r="X2447" s="85"/>
    </row>
    <row r="2448" spans="2:24" s="58" customFormat="1" ht="12" x14ac:dyDescent="0.2">
      <c r="B2448" s="91"/>
      <c r="E2448" s="92"/>
      <c r="F2448" s="93"/>
      <c r="G2448" s="94"/>
      <c r="H2448" s="94"/>
      <c r="I2448" s="94"/>
      <c r="J2448" s="94"/>
      <c r="K2448" s="93"/>
      <c r="L2448" s="86"/>
      <c r="M2448" s="161"/>
      <c r="N2448" s="86"/>
      <c r="O2448" s="86"/>
      <c r="P2448" s="86"/>
      <c r="Q2448" s="85"/>
      <c r="S2448" s="85"/>
      <c r="T2448" s="85"/>
      <c r="U2448" s="85"/>
      <c r="V2448" s="85"/>
      <c r="W2448" s="85"/>
      <c r="X2448" s="85"/>
    </row>
    <row r="2449" spans="2:24" s="58" customFormat="1" ht="12" x14ac:dyDescent="0.2">
      <c r="B2449" s="91"/>
      <c r="E2449" s="92"/>
      <c r="F2449" s="93"/>
      <c r="G2449" s="94"/>
      <c r="H2449" s="94"/>
      <c r="I2449" s="94"/>
      <c r="J2449" s="94"/>
      <c r="K2449" s="93"/>
      <c r="L2449" s="86"/>
      <c r="M2449" s="161"/>
      <c r="N2449" s="86"/>
      <c r="O2449" s="86"/>
      <c r="P2449" s="86"/>
      <c r="Q2449" s="85"/>
      <c r="S2449" s="85"/>
      <c r="T2449" s="85"/>
      <c r="U2449" s="85"/>
      <c r="V2449" s="85"/>
      <c r="W2449" s="85"/>
      <c r="X2449" s="85"/>
    </row>
    <row r="2450" spans="2:24" s="58" customFormat="1" ht="12" x14ac:dyDescent="0.2">
      <c r="B2450" s="91"/>
      <c r="E2450" s="92"/>
      <c r="F2450" s="93"/>
      <c r="G2450" s="94"/>
      <c r="H2450" s="94"/>
      <c r="I2450" s="94"/>
      <c r="J2450" s="94"/>
      <c r="K2450" s="93"/>
      <c r="L2450" s="86"/>
      <c r="M2450" s="161"/>
      <c r="N2450" s="86"/>
      <c r="O2450" s="86"/>
      <c r="P2450" s="86"/>
      <c r="Q2450" s="85"/>
      <c r="S2450" s="85"/>
      <c r="T2450" s="85"/>
      <c r="U2450" s="85"/>
      <c r="V2450" s="85"/>
      <c r="W2450" s="85"/>
      <c r="X2450" s="85"/>
    </row>
    <row r="2451" spans="2:24" s="58" customFormat="1" ht="12" x14ac:dyDescent="0.2">
      <c r="B2451" s="91"/>
      <c r="E2451" s="92"/>
      <c r="F2451" s="93"/>
      <c r="G2451" s="94"/>
      <c r="H2451" s="94"/>
      <c r="I2451" s="94"/>
      <c r="J2451" s="94"/>
      <c r="K2451" s="93"/>
      <c r="L2451" s="86"/>
      <c r="M2451" s="161"/>
      <c r="N2451" s="86"/>
      <c r="O2451" s="86"/>
      <c r="P2451" s="86"/>
      <c r="Q2451" s="85"/>
      <c r="S2451" s="85"/>
      <c r="T2451" s="85"/>
      <c r="U2451" s="85"/>
      <c r="V2451" s="85"/>
      <c r="W2451" s="85"/>
      <c r="X2451" s="85"/>
    </row>
    <row r="2452" spans="2:24" s="58" customFormat="1" ht="12" x14ac:dyDescent="0.2">
      <c r="B2452" s="91"/>
      <c r="E2452" s="92"/>
      <c r="F2452" s="93"/>
      <c r="G2452" s="94"/>
      <c r="H2452" s="94"/>
      <c r="I2452" s="94"/>
      <c r="J2452" s="94"/>
      <c r="K2452" s="93"/>
      <c r="L2452" s="86"/>
      <c r="M2452" s="161"/>
      <c r="N2452" s="86"/>
      <c r="O2452" s="86"/>
      <c r="P2452" s="86"/>
      <c r="Q2452" s="85"/>
      <c r="S2452" s="85"/>
      <c r="T2452" s="85"/>
      <c r="U2452" s="85"/>
      <c r="V2452" s="85"/>
      <c r="W2452" s="85"/>
      <c r="X2452" s="85"/>
    </row>
    <row r="2453" spans="2:24" s="58" customFormat="1" ht="12" x14ac:dyDescent="0.2">
      <c r="B2453" s="91"/>
      <c r="E2453" s="92"/>
      <c r="F2453" s="93"/>
      <c r="G2453" s="94"/>
      <c r="H2453" s="94"/>
      <c r="I2453" s="94"/>
      <c r="J2453" s="94"/>
      <c r="K2453" s="93"/>
      <c r="L2453" s="86"/>
      <c r="M2453" s="161"/>
      <c r="N2453" s="86"/>
      <c r="O2453" s="86"/>
      <c r="P2453" s="86"/>
      <c r="Q2453" s="85"/>
      <c r="S2453" s="85"/>
      <c r="T2453" s="85"/>
      <c r="U2453" s="85"/>
      <c r="V2453" s="85"/>
      <c r="W2453" s="85"/>
      <c r="X2453" s="85"/>
    </row>
    <row r="2454" spans="2:24" s="58" customFormat="1" ht="12" x14ac:dyDescent="0.2">
      <c r="B2454" s="91"/>
      <c r="E2454" s="92"/>
      <c r="F2454" s="93"/>
      <c r="G2454" s="94"/>
      <c r="H2454" s="94"/>
      <c r="I2454" s="94"/>
      <c r="J2454" s="94"/>
      <c r="K2454" s="93"/>
      <c r="L2454" s="86"/>
      <c r="M2454" s="161"/>
      <c r="N2454" s="86"/>
      <c r="O2454" s="86"/>
      <c r="P2454" s="86"/>
      <c r="Q2454" s="85"/>
      <c r="S2454" s="85"/>
      <c r="T2454" s="85"/>
      <c r="U2454" s="85"/>
      <c r="V2454" s="85"/>
      <c r="W2454" s="85"/>
      <c r="X2454" s="85"/>
    </row>
    <row r="2455" spans="2:24" s="58" customFormat="1" ht="12" x14ac:dyDescent="0.2">
      <c r="B2455" s="91"/>
      <c r="E2455" s="92"/>
      <c r="F2455" s="93"/>
      <c r="G2455" s="94"/>
      <c r="H2455" s="94"/>
      <c r="I2455" s="94"/>
      <c r="J2455" s="94"/>
      <c r="K2455" s="93"/>
      <c r="L2455" s="86"/>
      <c r="M2455" s="161"/>
      <c r="N2455" s="86"/>
      <c r="O2455" s="86"/>
      <c r="P2455" s="86"/>
      <c r="Q2455" s="85"/>
      <c r="S2455" s="85"/>
      <c r="T2455" s="85"/>
      <c r="U2455" s="85"/>
      <c r="V2455" s="85"/>
      <c r="W2455" s="85"/>
      <c r="X2455" s="85"/>
    </row>
    <row r="2456" spans="2:24" s="58" customFormat="1" ht="12" x14ac:dyDescent="0.2">
      <c r="B2456" s="91"/>
      <c r="E2456" s="92"/>
      <c r="F2456" s="93"/>
      <c r="G2456" s="94"/>
      <c r="H2456" s="94"/>
      <c r="I2456" s="94"/>
      <c r="J2456" s="94"/>
      <c r="K2456" s="93"/>
      <c r="L2456" s="86"/>
      <c r="M2456" s="161"/>
      <c r="N2456" s="86"/>
      <c r="O2456" s="86"/>
      <c r="P2456" s="86"/>
      <c r="Q2456" s="85"/>
      <c r="S2456" s="85"/>
      <c r="T2456" s="85"/>
      <c r="U2456" s="85"/>
      <c r="V2456" s="85"/>
      <c r="W2456" s="85"/>
      <c r="X2456" s="85"/>
    </row>
    <row r="2457" spans="2:24" s="58" customFormat="1" ht="12" x14ac:dyDescent="0.2">
      <c r="B2457" s="91"/>
      <c r="E2457" s="92"/>
      <c r="F2457" s="93"/>
      <c r="G2457" s="94"/>
      <c r="H2457" s="94"/>
      <c r="I2457" s="94"/>
      <c r="J2457" s="94"/>
      <c r="K2457" s="93"/>
      <c r="L2457" s="86"/>
      <c r="M2457" s="161"/>
      <c r="N2457" s="86"/>
      <c r="O2457" s="86"/>
      <c r="P2457" s="86"/>
      <c r="Q2457" s="85"/>
      <c r="S2457" s="85"/>
      <c r="T2457" s="85"/>
      <c r="U2457" s="85"/>
      <c r="V2457" s="85"/>
      <c r="W2457" s="85"/>
      <c r="X2457" s="85"/>
    </row>
    <row r="2458" spans="2:24" s="58" customFormat="1" ht="12" x14ac:dyDescent="0.2">
      <c r="B2458" s="91"/>
      <c r="E2458" s="92"/>
      <c r="F2458" s="93"/>
      <c r="G2458" s="94"/>
      <c r="H2458" s="94"/>
      <c r="I2458" s="94"/>
      <c r="J2458" s="94"/>
      <c r="K2458" s="93"/>
      <c r="L2458" s="86"/>
      <c r="M2458" s="161"/>
      <c r="N2458" s="86"/>
      <c r="O2458" s="86"/>
      <c r="P2458" s="86"/>
      <c r="Q2458" s="85"/>
      <c r="S2458" s="85"/>
      <c r="T2458" s="85"/>
      <c r="U2458" s="85"/>
      <c r="V2458" s="85"/>
      <c r="W2458" s="85"/>
      <c r="X2458" s="85"/>
    </row>
    <row r="2459" spans="2:24" s="58" customFormat="1" ht="12" x14ac:dyDescent="0.2">
      <c r="B2459" s="91"/>
      <c r="E2459" s="92"/>
      <c r="F2459" s="93"/>
      <c r="G2459" s="94"/>
      <c r="H2459" s="94"/>
      <c r="I2459" s="94"/>
      <c r="J2459" s="94"/>
      <c r="K2459" s="93"/>
      <c r="L2459" s="86"/>
      <c r="M2459" s="161"/>
      <c r="N2459" s="86"/>
      <c r="O2459" s="86"/>
      <c r="P2459" s="86"/>
      <c r="Q2459" s="85"/>
      <c r="S2459" s="85"/>
      <c r="T2459" s="85"/>
      <c r="U2459" s="85"/>
      <c r="V2459" s="85"/>
      <c r="W2459" s="85"/>
      <c r="X2459" s="85"/>
    </row>
    <row r="2460" spans="2:24" s="58" customFormat="1" ht="12" x14ac:dyDescent="0.2">
      <c r="B2460" s="91"/>
      <c r="E2460" s="92"/>
      <c r="F2460" s="93"/>
      <c r="G2460" s="94"/>
      <c r="H2460" s="94"/>
      <c r="I2460" s="94"/>
      <c r="J2460" s="94"/>
      <c r="K2460" s="93"/>
      <c r="L2460" s="86"/>
      <c r="M2460" s="161"/>
      <c r="N2460" s="86"/>
      <c r="O2460" s="86"/>
      <c r="P2460" s="86"/>
      <c r="Q2460" s="85"/>
      <c r="S2460" s="85"/>
      <c r="T2460" s="85"/>
      <c r="U2460" s="85"/>
      <c r="V2460" s="85"/>
      <c r="W2460" s="85"/>
      <c r="X2460" s="85"/>
    </row>
    <row r="2461" spans="2:24" s="58" customFormat="1" ht="12" x14ac:dyDescent="0.2">
      <c r="B2461" s="91"/>
      <c r="E2461" s="92"/>
      <c r="F2461" s="93"/>
      <c r="G2461" s="94"/>
      <c r="H2461" s="94"/>
      <c r="I2461" s="94"/>
      <c r="J2461" s="94"/>
      <c r="K2461" s="93"/>
      <c r="L2461" s="86"/>
      <c r="M2461" s="161"/>
      <c r="N2461" s="86"/>
      <c r="O2461" s="86"/>
      <c r="P2461" s="86"/>
      <c r="Q2461" s="85"/>
      <c r="S2461" s="85"/>
      <c r="T2461" s="85"/>
      <c r="U2461" s="85"/>
      <c r="V2461" s="85"/>
      <c r="W2461" s="85"/>
      <c r="X2461" s="85"/>
    </row>
    <row r="2462" spans="2:24" s="58" customFormat="1" ht="12" x14ac:dyDescent="0.2">
      <c r="B2462" s="91"/>
      <c r="E2462" s="92"/>
      <c r="F2462" s="93"/>
      <c r="G2462" s="94"/>
      <c r="H2462" s="94"/>
      <c r="I2462" s="94"/>
      <c r="J2462" s="94"/>
      <c r="K2462" s="93"/>
      <c r="L2462" s="86"/>
      <c r="M2462" s="161"/>
      <c r="N2462" s="86"/>
      <c r="O2462" s="86"/>
      <c r="P2462" s="86"/>
      <c r="Q2462" s="85"/>
      <c r="S2462" s="85"/>
      <c r="T2462" s="85"/>
      <c r="U2462" s="85"/>
      <c r="V2462" s="85"/>
      <c r="W2462" s="85"/>
      <c r="X2462" s="85"/>
    </row>
    <row r="2463" spans="2:24" s="58" customFormat="1" ht="12" x14ac:dyDescent="0.2">
      <c r="B2463" s="91"/>
      <c r="E2463" s="92"/>
      <c r="F2463" s="93"/>
      <c r="G2463" s="94"/>
      <c r="H2463" s="94"/>
      <c r="I2463" s="94"/>
      <c r="J2463" s="94"/>
      <c r="K2463" s="93"/>
      <c r="L2463" s="86"/>
      <c r="M2463" s="161"/>
      <c r="N2463" s="86"/>
      <c r="O2463" s="86"/>
      <c r="P2463" s="86"/>
      <c r="Q2463" s="85"/>
      <c r="S2463" s="85"/>
      <c r="T2463" s="85"/>
      <c r="U2463" s="85"/>
      <c r="V2463" s="85"/>
      <c r="W2463" s="85"/>
      <c r="X2463" s="85"/>
    </row>
    <row r="2464" spans="2:24" s="58" customFormat="1" ht="12" x14ac:dyDescent="0.2">
      <c r="B2464" s="91"/>
      <c r="E2464" s="92"/>
      <c r="F2464" s="93"/>
      <c r="G2464" s="94"/>
      <c r="H2464" s="94"/>
      <c r="I2464" s="94"/>
      <c r="J2464" s="94"/>
      <c r="K2464" s="93"/>
      <c r="L2464" s="86"/>
      <c r="M2464" s="161"/>
      <c r="N2464" s="86"/>
      <c r="O2464" s="86"/>
      <c r="P2464" s="86"/>
      <c r="Q2464" s="85"/>
      <c r="S2464" s="85"/>
      <c r="T2464" s="85"/>
      <c r="U2464" s="85"/>
      <c r="V2464" s="85"/>
      <c r="W2464" s="85"/>
      <c r="X2464" s="85"/>
    </row>
    <row r="2465" spans="2:24" s="58" customFormat="1" ht="12" x14ac:dyDescent="0.2">
      <c r="B2465" s="91"/>
      <c r="E2465" s="92"/>
      <c r="F2465" s="93"/>
      <c r="G2465" s="94"/>
      <c r="H2465" s="94"/>
      <c r="I2465" s="94"/>
      <c r="J2465" s="94"/>
      <c r="K2465" s="93"/>
      <c r="L2465" s="86"/>
      <c r="M2465" s="161"/>
      <c r="N2465" s="86"/>
      <c r="O2465" s="86"/>
      <c r="P2465" s="86"/>
      <c r="Q2465" s="85"/>
      <c r="S2465" s="85"/>
      <c r="T2465" s="85"/>
      <c r="U2465" s="85"/>
      <c r="V2465" s="85"/>
      <c r="W2465" s="85"/>
      <c r="X2465" s="85"/>
    </row>
    <row r="2466" spans="2:24" s="58" customFormat="1" ht="12" x14ac:dyDescent="0.2">
      <c r="B2466" s="91"/>
      <c r="E2466" s="92"/>
      <c r="F2466" s="93"/>
      <c r="G2466" s="94"/>
      <c r="H2466" s="94"/>
      <c r="I2466" s="94"/>
      <c r="J2466" s="94"/>
      <c r="K2466" s="93"/>
      <c r="L2466" s="86"/>
      <c r="M2466" s="161"/>
      <c r="N2466" s="86"/>
      <c r="O2466" s="86"/>
      <c r="P2466" s="86"/>
      <c r="Q2466" s="85"/>
      <c r="S2466" s="85"/>
      <c r="T2466" s="85"/>
      <c r="U2466" s="85"/>
      <c r="V2466" s="85"/>
      <c r="W2466" s="85"/>
      <c r="X2466" s="85"/>
    </row>
    <row r="2467" spans="2:24" s="58" customFormat="1" ht="12" x14ac:dyDescent="0.2">
      <c r="B2467" s="91"/>
      <c r="E2467" s="92"/>
      <c r="F2467" s="93"/>
      <c r="G2467" s="94"/>
      <c r="H2467" s="94"/>
      <c r="I2467" s="94"/>
      <c r="J2467" s="94"/>
      <c r="K2467" s="93"/>
      <c r="L2467" s="86"/>
      <c r="M2467" s="161"/>
      <c r="N2467" s="86"/>
      <c r="O2467" s="86"/>
      <c r="P2467" s="86"/>
      <c r="Q2467" s="85"/>
      <c r="S2467" s="85"/>
      <c r="T2467" s="85"/>
      <c r="U2467" s="85"/>
      <c r="V2467" s="85"/>
      <c r="W2467" s="85"/>
      <c r="X2467" s="85"/>
    </row>
    <row r="2468" spans="2:24" s="58" customFormat="1" ht="12" x14ac:dyDescent="0.2">
      <c r="B2468" s="91"/>
      <c r="E2468" s="92"/>
      <c r="F2468" s="93"/>
      <c r="G2468" s="94"/>
      <c r="H2468" s="94"/>
      <c r="I2468" s="94"/>
      <c r="J2468" s="94"/>
      <c r="K2468" s="93"/>
      <c r="L2468" s="86"/>
      <c r="M2468" s="161"/>
      <c r="N2468" s="86"/>
      <c r="O2468" s="86"/>
      <c r="P2468" s="86"/>
      <c r="Q2468" s="85"/>
      <c r="S2468" s="85"/>
      <c r="T2468" s="85"/>
      <c r="U2468" s="85"/>
      <c r="V2468" s="85"/>
      <c r="W2468" s="85"/>
      <c r="X2468" s="85"/>
    </row>
    <row r="2469" spans="2:24" s="58" customFormat="1" ht="12" x14ac:dyDescent="0.2">
      <c r="B2469" s="91"/>
      <c r="E2469" s="92"/>
      <c r="F2469" s="93"/>
      <c r="G2469" s="94"/>
      <c r="H2469" s="94"/>
      <c r="I2469" s="94"/>
      <c r="J2469" s="94"/>
      <c r="K2469" s="93"/>
      <c r="L2469" s="86"/>
      <c r="M2469" s="161"/>
      <c r="N2469" s="86"/>
      <c r="O2469" s="86"/>
      <c r="P2469" s="86"/>
      <c r="Q2469" s="85"/>
      <c r="S2469" s="85"/>
      <c r="T2469" s="85"/>
      <c r="U2469" s="85"/>
      <c r="V2469" s="85"/>
      <c r="W2469" s="85"/>
      <c r="X2469" s="85"/>
    </row>
    <row r="2470" spans="2:24" s="58" customFormat="1" ht="12" x14ac:dyDescent="0.2">
      <c r="B2470" s="91"/>
      <c r="E2470" s="92"/>
      <c r="F2470" s="93"/>
      <c r="G2470" s="94"/>
      <c r="H2470" s="94"/>
      <c r="I2470" s="94"/>
      <c r="J2470" s="94"/>
      <c r="K2470" s="93"/>
      <c r="L2470" s="86"/>
      <c r="M2470" s="161"/>
      <c r="N2470" s="86"/>
      <c r="O2470" s="86"/>
      <c r="P2470" s="86"/>
      <c r="Q2470" s="85"/>
      <c r="S2470" s="85"/>
      <c r="T2470" s="85"/>
      <c r="U2470" s="85"/>
      <c r="V2470" s="85"/>
      <c r="W2470" s="85"/>
      <c r="X2470" s="85"/>
    </row>
    <row r="2471" spans="2:24" s="58" customFormat="1" ht="12" x14ac:dyDescent="0.2">
      <c r="B2471" s="91"/>
      <c r="E2471" s="92"/>
      <c r="F2471" s="93"/>
      <c r="G2471" s="94"/>
      <c r="H2471" s="94"/>
      <c r="I2471" s="94"/>
      <c r="J2471" s="94"/>
      <c r="K2471" s="93"/>
      <c r="L2471" s="86"/>
      <c r="M2471" s="161"/>
      <c r="N2471" s="86"/>
      <c r="O2471" s="86"/>
      <c r="P2471" s="86"/>
      <c r="Q2471" s="85"/>
      <c r="S2471" s="85"/>
      <c r="T2471" s="85"/>
      <c r="U2471" s="85"/>
      <c r="V2471" s="85"/>
      <c r="W2471" s="85"/>
      <c r="X2471" s="85"/>
    </row>
    <row r="2472" spans="2:24" s="58" customFormat="1" ht="12" x14ac:dyDescent="0.2">
      <c r="B2472" s="91"/>
      <c r="E2472" s="92"/>
      <c r="F2472" s="93"/>
      <c r="G2472" s="94"/>
      <c r="H2472" s="94"/>
      <c r="I2472" s="94"/>
      <c r="J2472" s="94"/>
      <c r="K2472" s="93"/>
      <c r="L2472" s="86"/>
      <c r="M2472" s="161"/>
      <c r="N2472" s="86"/>
      <c r="O2472" s="86"/>
      <c r="P2472" s="86"/>
      <c r="Q2472" s="85"/>
      <c r="S2472" s="85"/>
      <c r="T2472" s="85"/>
      <c r="U2472" s="85"/>
      <c r="V2472" s="85"/>
      <c r="W2472" s="85"/>
      <c r="X2472" s="85"/>
    </row>
    <row r="2473" spans="2:24" s="58" customFormat="1" ht="12" x14ac:dyDescent="0.2">
      <c r="B2473" s="91"/>
      <c r="E2473" s="92"/>
      <c r="F2473" s="93"/>
      <c r="G2473" s="94"/>
      <c r="H2473" s="94"/>
      <c r="I2473" s="94"/>
      <c r="J2473" s="94"/>
      <c r="K2473" s="93"/>
      <c r="L2473" s="86"/>
      <c r="M2473" s="161"/>
      <c r="N2473" s="86"/>
      <c r="O2473" s="86"/>
      <c r="P2473" s="86"/>
      <c r="Q2473" s="85"/>
      <c r="S2473" s="85"/>
      <c r="T2473" s="85"/>
      <c r="U2473" s="85"/>
      <c r="V2473" s="85"/>
      <c r="W2473" s="85"/>
      <c r="X2473" s="85"/>
    </row>
    <row r="2474" spans="2:24" s="58" customFormat="1" ht="12" x14ac:dyDescent="0.2">
      <c r="B2474" s="91"/>
      <c r="E2474" s="92"/>
      <c r="F2474" s="93"/>
      <c r="G2474" s="94"/>
      <c r="H2474" s="94"/>
      <c r="I2474" s="94"/>
      <c r="J2474" s="94"/>
      <c r="K2474" s="93"/>
      <c r="L2474" s="86"/>
      <c r="M2474" s="161"/>
      <c r="N2474" s="86"/>
      <c r="O2474" s="86"/>
      <c r="P2474" s="86"/>
      <c r="Q2474" s="85"/>
      <c r="S2474" s="85"/>
      <c r="T2474" s="85"/>
      <c r="U2474" s="85"/>
      <c r="V2474" s="85"/>
      <c r="W2474" s="85"/>
      <c r="X2474" s="85"/>
    </row>
    <row r="2475" spans="2:24" s="58" customFormat="1" ht="12" x14ac:dyDescent="0.2">
      <c r="B2475" s="91"/>
      <c r="E2475" s="92"/>
      <c r="F2475" s="93"/>
      <c r="G2475" s="94"/>
      <c r="H2475" s="94"/>
      <c r="I2475" s="94"/>
      <c r="J2475" s="94"/>
      <c r="K2475" s="93"/>
      <c r="L2475" s="86"/>
      <c r="M2475" s="161"/>
      <c r="N2475" s="86"/>
      <c r="O2475" s="86"/>
      <c r="P2475" s="86"/>
      <c r="Q2475" s="85"/>
      <c r="S2475" s="85"/>
      <c r="T2475" s="85"/>
      <c r="U2475" s="85"/>
      <c r="V2475" s="85"/>
      <c r="W2475" s="85"/>
      <c r="X2475" s="85"/>
    </row>
    <row r="2476" spans="2:24" s="58" customFormat="1" ht="12" x14ac:dyDescent="0.2">
      <c r="B2476" s="91"/>
      <c r="E2476" s="92"/>
      <c r="F2476" s="93"/>
      <c r="G2476" s="94"/>
      <c r="H2476" s="94"/>
      <c r="I2476" s="94"/>
      <c r="J2476" s="94"/>
      <c r="K2476" s="93"/>
      <c r="L2476" s="86"/>
      <c r="M2476" s="161"/>
      <c r="N2476" s="86"/>
      <c r="O2476" s="86"/>
      <c r="P2476" s="86"/>
      <c r="Q2476" s="85"/>
      <c r="S2476" s="85"/>
      <c r="T2476" s="85"/>
      <c r="U2476" s="85"/>
      <c r="V2476" s="85"/>
      <c r="W2476" s="85"/>
      <c r="X2476" s="85"/>
    </row>
    <row r="2477" spans="2:24" s="58" customFormat="1" ht="12" x14ac:dyDescent="0.2">
      <c r="B2477" s="91"/>
      <c r="E2477" s="92"/>
      <c r="F2477" s="93"/>
      <c r="G2477" s="94"/>
      <c r="H2477" s="94"/>
      <c r="I2477" s="94"/>
      <c r="J2477" s="94"/>
      <c r="K2477" s="93"/>
      <c r="L2477" s="86"/>
      <c r="M2477" s="161"/>
      <c r="N2477" s="86"/>
      <c r="O2477" s="86"/>
      <c r="P2477" s="86"/>
      <c r="Q2477" s="85"/>
      <c r="S2477" s="85"/>
      <c r="T2477" s="85"/>
      <c r="U2477" s="85"/>
      <c r="V2477" s="85"/>
      <c r="W2477" s="85"/>
      <c r="X2477" s="85"/>
    </row>
    <row r="2478" spans="2:24" s="58" customFormat="1" ht="12" x14ac:dyDescent="0.2">
      <c r="B2478" s="91"/>
      <c r="E2478" s="92"/>
      <c r="F2478" s="93"/>
      <c r="G2478" s="94"/>
      <c r="H2478" s="94"/>
      <c r="I2478" s="94"/>
      <c r="J2478" s="94"/>
      <c r="K2478" s="93"/>
      <c r="L2478" s="86"/>
      <c r="M2478" s="161"/>
      <c r="N2478" s="86"/>
      <c r="O2478" s="86"/>
      <c r="P2478" s="86"/>
      <c r="Q2478" s="85"/>
      <c r="S2478" s="85"/>
      <c r="T2478" s="85"/>
      <c r="U2478" s="85"/>
      <c r="V2478" s="85"/>
      <c r="W2478" s="85"/>
      <c r="X2478" s="85"/>
    </row>
    <row r="2479" spans="2:24" s="58" customFormat="1" ht="12" x14ac:dyDescent="0.2">
      <c r="B2479" s="91"/>
      <c r="E2479" s="92"/>
      <c r="F2479" s="93"/>
      <c r="G2479" s="94"/>
      <c r="H2479" s="94"/>
      <c r="I2479" s="94"/>
      <c r="J2479" s="94"/>
      <c r="K2479" s="93"/>
      <c r="L2479" s="86"/>
      <c r="M2479" s="161"/>
      <c r="N2479" s="86"/>
      <c r="O2479" s="86"/>
      <c r="P2479" s="86"/>
      <c r="Q2479" s="85"/>
      <c r="S2479" s="85"/>
      <c r="T2479" s="85"/>
      <c r="U2479" s="85"/>
      <c r="V2479" s="85"/>
      <c r="W2479" s="85"/>
      <c r="X2479" s="85"/>
    </row>
    <row r="2480" spans="2:24" s="58" customFormat="1" ht="12" x14ac:dyDescent="0.2">
      <c r="B2480" s="91"/>
      <c r="E2480" s="92"/>
      <c r="F2480" s="93"/>
      <c r="G2480" s="94"/>
      <c r="H2480" s="94"/>
      <c r="I2480" s="94"/>
      <c r="J2480" s="94"/>
      <c r="K2480" s="93"/>
      <c r="L2480" s="86"/>
      <c r="M2480" s="161"/>
      <c r="N2480" s="86"/>
      <c r="O2480" s="86"/>
      <c r="P2480" s="86"/>
      <c r="Q2480" s="85"/>
      <c r="S2480" s="85"/>
      <c r="T2480" s="85"/>
      <c r="U2480" s="85"/>
      <c r="V2480" s="85"/>
      <c r="W2480" s="85"/>
      <c r="X2480" s="85"/>
    </row>
    <row r="2481" spans="2:24" s="58" customFormat="1" ht="12" x14ac:dyDescent="0.2">
      <c r="B2481" s="91"/>
      <c r="E2481" s="92"/>
      <c r="F2481" s="93"/>
      <c r="G2481" s="94"/>
      <c r="H2481" s="94"/>
      <c r="I2481" s="94"/>
      <c r="J2481" s="94"/>
      <c r="K2481" s="93"/>
      <c r="L2481" s="86"/>
      <c r="M2481" s="161"/>
      <c r="N2481" s="86"/>
      <c r="O2481" s="86"/>
      <c r="P2481" s="86"/>
      <c r="Q2481" s="85"/>
      <c r="S2481" s="85"/>
      <c r="T2481" s="85"/>
      <c r="U2481" s="85"/>
      <c r="V2481" s="85"/>
      <c r="W2481" s="85"/>
      <c r="X2481" s="85"/>
    </row>
    <row r="2482" spans="2:24" s="58" customFormat="1" ht="12" x14ac:dyDescent="0.2">
      <c r="B2482" s="91"/>
      <c r="E2482" s="92"/>
      <c r="F2482" s="93"/>
      <c r="G2482" s="94"/>
      <c r="H2482" s="94"/>
      <c r="I2482" s="94"/>
      <c r="J2482" s="94"/>
      <c r="K2482" s="93"/>
      <c r="L2482" s="86"/>
      <c r="M2482" s="161"/>
      <c r="N2482" s="86"/>
      <c r="O2482" s="86"/>
      <c r="P2482" s="86"/>
      <c r="Q2482" s="85"/>
      <c r="S2482" s="85"/>
      <c r="T2482" s="85"/>
      <c r="U2482" s="85"/>
      <c r="V2482" s="85"/>
      <c r="W2482" s="85"/>
      <c r="X2482" s="85"/>
    </row>
    <row r="2483" spans="2:24" s="58" customFormat="1" ht="12" x14ac:dyDescent="0.2">
      <c r="B2483" s="91"/>
      <c r="E2483" s="92"/>
      <c r="F2483" s="93"/>
      <c r="G2483" s="94"/>
      <c r="H2483" s="94"/>
      <c r="I2483" s="94"/>
      <c r="J2483" s="94"/>
      <c r="K2483" s="93"/>
      <c r="L2483" s="86"/>
      <c r="M2483" s="161"/>
      <c r="N2483" s="86"/>
      <c r="O2483" s="86"/>
      <c r="P2483" s="86"/>
      <c r="Q2483" s="85"/>
      <c r="S2483" s="85"/>
      <c r="T2483" s="85"/>
      <c r="U2483" s="85"/>
      <c r="V2483" s="85"/>
      <c r="W2483" s="85"/>
      <c r="X2483" s="85"/>
    </row>
    <row r="2484" spans="2:24" s="58" customFormat="1" ht="12" x14ac:dyDescent="0.2">
      <c r="B2484" s="91"/>
      <c r="E2484" s="92"/>
      <c r="F2484" s="93"/>
      <c r="G2484" s="94"/>
      <c r="H2484" s="94"/>
      <c r="I2484" s="94"/>
      <c r="J2484" s="94"/>
      <c r="K2484" s="93"/>
      <c r="L2484" s="86"/>
      <c r="M2484" s="161"/>
      <c r="N2484" s="86"/>
      <c r="O2484" s="86"/>
      <c r="P2484" s="86"/>
      <c r="Q2484" s="85"/>
      <c r="S2484" s="85"/>
      <c r="T2484" s="85"/>
      <c r="U2484" s="85"/>
      <c r="V2484" s="85"/>
      <c r="W2484" s="85"/>
      <c r="X2484" s="85"/>
    </row>
    <row r="2485" spans="2:24" s="58" customFormat="1" ht="12" x14ac:dyDescent="0.2">
      <c r="B2485" s="91"/>
      <c r="E2485" s="92"/>
      <c r="F2485" s="93"/>
      <c r="G2485" s="94"/>
      <c r="H2485" s="94"/>
      <c r="I2485" s="94"/>
      <c r="J2485" s="94"/>
      <c r="K2485" s="93"/>
      <c r="L2485" s="86"/>
      <c r="M2485" s="161"/>
      <c r="N2485" s="86"/>
      <c r="O2485" s="86"/>
      <c r="P2485" s="86"/>
      <c r="Q2485" s="85"/>
      <c r="S2485" s="85"/>
      <c r="T2485" s="85"/>
      <c r="U2485" s="85"/>
      <c r="V2485" s="85"/>
      <c r="W2485" s="85"/>
      <c r="X2485" s="85"/>
    </row>
    <row r="2486" spans="2:24" s="58" customFormat="1" ht="12" x14ac:dyDescent="0.2">
      <c r="B2486" s="91"/>
      <c r="E2486" s="92"/>
      <c r="F2486" s="93"/>
      <c r="G2486" s="94"/>
      <c r="H2486" s="94"/>
      <c r="I2486" s="94"/>
      <c r="J2486" s="94"/>
      <c r="K2486" s="93"/>
      <c r="L2486" s="86"/>
      <c r="M2486" s="161"/>
      <c r="N2486" s="86"/>
      <c r="O2486" s="86"/>
      <c r="P2486" s="86"/>
      <c r="Q2486" s="85"/>
      <c r="S2486" s="85"/>
      <c r="T2486" s="85"/>
      <c r="U2486" s="85"/>
      <c r="V2486" s="85"/>
      <c r="W2486" s="85"/>
      <c r="X2486" s="85"/>
    </row>
    <row r="2487" spans="2:24" s="58" customFormat="1" ht="12" x14ac:dyDescent="0.2">
      <c r="B2487" s="91"/>
      <c r="E2487" s="92"/>
      <c r="F2487" s="93"/>
      <c r="G2487" s="94"/>
      <c r="H2487" s="94"/>
      <c r="I2487" s="94"/>
      <c r="J2487" s="94"/>
      <c r="K2487" s="93"/>
      <c r="L2487" s="86"/>
      <c r="M2487" s="161"/>
      <c r="N2487" s="86"/>
      <c r="O2487" s="86"/>
      <c r="P2487" s="86"/>
      <c r="Q2487" s="85"/>
      <c r="S2487" s="85"/>
      <c r="T2487" s="85"/>
      <c r="U2487" s="85"/>
      <c r="V2487" s="85"/>
      <c r="W2487" s="85"/>
      <c r="X2487" s="85"/>
    </row>
    <row r="2488" spans="2:24" s="58" customFormat="1" ht="12" x14ac:dyDescent="0.2">
      <c r="B2488" s="91"/>
      <c r="E2488" s="92"/>
      <c r="F2488" s="93"/>
      <c r="G2488" s="94"/>
      <c r="H2488" s="94"/>
      <c r="I2488" s="94"/>
      <c r="J2488" s="94"/>
      <c r="K2488" s="93"/>
      <c r="L2488" s="86"/>
      <c r="M2488" s="161"/>
      <c r="N2488" s="86"/>
      <c r="O2488" s="86"/>
      <c r="P2488" s="86"/>
      <c r="Q2488" s="85"/>
      <c r="S2488" s="85"/>
      <c r="T2488" s="85"/>
      <c r="U2488" s="85"/>
      <c r="V2488" s="85"/>
      <c r="W2488" s="85"/>
      <c r="X2488" s="85"/>
    </row>
    <row r="2489" spans="2:24" s="58" customFormat="1" ht="12" x14ac:dyDescent="0.2">
      <c r="B2489" s="91"/>
      <c r="E2489" s="92"/>
      <c r="F2489" s="93"/>
      <c r="G2489" s="94"/>
      <c r="H2489" s="94"/>
      <c r="I2489" s="94"/>
      <c r="J2489" s="94"/>
      <c r="K2489" s="93"/>
      <c r="L2489" s="86"/>
      <c r="M2489" s="161"/>
      <c r="N2489" s="86"/>
      <c r="O2489" s="86"/>
      <c r="P2489" s="86"/>
      <c r="Q2489" s="85"/>
      <c r="S2489" s="85"/>
      <c r="T2489" s="85"/>
      <c r="U2489" s="85"/>
      <c r="V2489" s="85"/>
      <c r="W2489" s="85"/>
      <c r="X2489" s="85"/>
    </row>
    <row r="2490" spans="2:24" s="58" customFormat="1" ht="12" x14ac:dyDescent="0.2">
      <c r="B2490" s="91"/>
      <c r="E2490" s="92"/>
      <c r="F2490" s="93"/>
      <c r="G2490" s="94"/>
      <c r="H2490" s="94"/>
      <c r="I2490" s="94"/>
      <c r="J2490" s="94"/>
      <c r="K2490" s="93"/>
      <c r="L2490" s="86"/>
      <c r="M2490" s="161"/>
      <c r="N2490" s="86"/>
      <c r="O2490" s="86"/>
      <c r="P2490" s="86"/>
      <c r="Q2490" s="85"/>
      <c r="S2490" s="85"/>
      <c r="T2490" s="85"/>
      <c r="U2490" s="85"/>
      <c r="V2490" s="85"/>
      <c r="W2490" s="85"/>
      <c r="X2490" s="85"/>
    </row>
    <row r="2491" spans="2:24" s="58" customFormat="1" ht="12" x14ac:dyDescent="0.2">
      <c r="B2491" s="91"/>
      <c r="E2491" s="92"/>
      <c r="F2491" s="93"/>
      <c r="G2491" s="94"/>
      <c r="H2491" s="94"/>
      <c r="I2491" s="94"/>
      <c r="J2491" s="94"/>
      <c r="K2491" s="93"/>
      <c r="L2491" s="86"/>
      <c r="M2491" s="161"/>
      <c r="N2491" s="86"/>
      <c r="O2491" s="86"/>
      <c r="P2491" s="86"/>
      <c r="Q2491" s="85"/>
      <c r="S2491" s="85"/>
      <c r="T2491" s="85"/>
      <c r="U2491" s="85"/>
      <c r="V2491" s="85"/>
      <c r="W2491" s="85"/>
      <c r="X2491" s="85"/>
    </row>
    <row r="2492" spans="2:24" s="58" customFormat="1" ht="12" x14ac:dyDescent="0.2">
      <c r="B2492" s="91"/>
      <c r="E2492" s="92"/>
      <c r="F2492" s="93"/>
      <c r="G2492" s="94"/>
      <c r="H2492" s="94"/>
      <c r="I2492" s="94"/>
      <c r="J2492" s="94"/>
      <c r="K2492" s="93"/>
      <c r="L2492" s="86"/>
      <c r="M2492" s="161"/>
      <c r="N2492" s="86"/>
      <c r="O2492" s="86"/>
      <c r="P2492" s="86"/>
      <c r="Q2492" s="85"/>
      <c r="S2492" s="85"/>
      <c r="T2492" s="85"/>
      <c r="U2492" s="85"/>
      <c r="V2492" s="85"/>
      <c r="W2492" s="85"/>
      <c r="X2492" s="85"/>
    </row>
    <row r="2493" spans="2:24" s="58" customFormat="1" ht="12" x14ac:dyDescent="0.2">
      <c r="B2493" s="91"/>
      <c r="E2493" s="92"/>
      <c r="F2493" s="93"/>
      <c r="G2493" s="94"/>
      <c r="H2493" s="94"/>
      <c r="I2493" s="94"/>
      <c r="J2493" s="94"/>
      <c r="K2493" s="93"/>
      <c r="L2493" s="86"/>
      <c r="M2493" s="161"/>
      <c r="N2493" s="86"/>
      <c r="O2493" s="86"/>
      <c r="P2493" s="86"/>
      <c r="Q2493" s="85"/>
      <c r="S2493" s="85"/>
      <c r="T2493" s="85"/>
      <c r="U2493" s="85"/>
      <c r="V2493" s="85"/>
      <c r="W2493" s="85"/>
      <c r="X2493" s="85"/>
    </row>
    <row r="2494" spans="2:24" s="58" customFormat="1" ht="12" x14ac:dyDescent="0.2">
      <c r="B2494" s="91"/>
      <c r="E2494" s="92"/>
      <c r="F2494" s="93"/>
      <c r="G2494" s="94"/>
      <c r="H2494" s="94"/>
      <c r="I2494" s="94"/>
      <c r="J2494" s="94"/>
      <c r="K2494" s="93"/>
      <c r="L2494" s="86"/>
      <c r="M2494" s="161"/>
      <c r="N2494" s="86"/>
      <c r="O2494" s="86"/>
      <c r="P2494" s="86"/>
      <c r="Q2494" s="85"/>
      <c r="S2494" s="85"/>
      <c r="T2494" s="85"/>
      <c r="U2494" s="85"/>
      <c r="V2494" s="85"/>
      <c r="W2494" s="85"/>
      <c r="X2494" s="85"/>
    </row>
    <row r="2495" spans="2:24" s="58" customFormat="1" ht="12" x14ac:dyDescent="0.2">
      <c r="B2495" s="91"/>
      <c r="E2495" s="92"/>
      <c r="F2495" s="93"/>
      <c r="G2495" s="94"/>
      <c r="H2495" s="94"/>
      <c r="I2495" s="94"/>
      <c r="J2495" s="94"/>
      <c r="K2495" s="93"/>
      <c r="L2495" s="86"/>
      <c r="M2495" s="161"/>
      <c r="N2495" s="86"/>
      <c r="O2495" s="86"/>
      <c r="P2495" s="86"/>
      <c r="Q2495" s="85"/>
      <c r="S2495" s="85"/>
      <c r="T2495" s="85"/>
      <c r="U2495" s="85"/>
      <c r="V2495" s="85"/>
      <c r="W2495" s="85"/>
      <c r="X2495" s="85"/>
    </row>
    <row r="2496" spans="2:24" s="58" customFormat="1" ht="12" x14ac:dyDescent="0.2">
      <c r="B2496" s="91"/>
      <c r="E2496" s="92"/>
      <c r="F2496" s="93"/>
      <c r="G2496" s="94"/>
      <c r="H2496" s="94"/>
      <c r="I2496" s="94"/>
      <c r="J2496" s="94"/>
      <c r="K2496" s="93"/>
      <c r="L2496" s="86"/>
      <c r="M2496" s="161"/>
      <c r="N2496" s="86"/>
      <c r="O2496" s="86"/>
      <c r="P2496" s="86"/>
      <c r="Q2496" s="85"/>
      <c r="S2496" s="85"/>
      <c r="T2496" s="85"/>
      <c r="U2496" s="85"/>
      <c r="V2496" s="85"/>
      <c r="W2496" s="85"/>
      <c r="X2496" s="85"/>
    </row>
    <row r="2497" spans="2:24" s="58" customFormat="1" ht="12" x14ac:dyDescent="0.2">
      <c r="B2497" s="91"/>
      <c r="E2497" s="92"/>
      <c r="F2497" s="93"/>
      <c r="G2497" s="94"/>
      <c r="H2497" s="94"/>
      <c r="I2497" s="94"/>
      <c r="J2497" s="94"/>
      <c r="K2497" s="93"/>
      <c r="L2497" s="86"/>
      <c r="M2497" s="161"/>
      <c r="N2497" s="86"/>
      <c r="O2497" s="86"/>
      <c r="P2497" s="86"/>
      <c r="Q2497" s="85"/>
      <c r="S2497" s="85"/>
      <c r="T2497" s="85"/>
      <c r="U2497" s="85"/>
      <c r="V2497" s="85"/>
      <c r="W2497" s="85"/>
      <c r="X2497" s="85"/>
    </row>
    <row r="2498" spans="2:24" s="58" customFormat="1" ht="12" x14ac:dyDescent="0.2">
      <c r="B2498" s="91"/>
      <c r="E2498" s="92"/>
      <c r="F2498" s="93"/>
      <c r="G2498" s="94"/>
      <c r="H2498" s="94"/>
      <c r="I2498" s="94"/>
      <c r="J2498" s="94"/>
      <c r="K2498" s="93"/>
      <c r="L2498" s="86"/>
      <c r="M2498" s="161"/>
      <c r="N2498" s="86"/>
      <c r="O2498" s="86"/>
      <c r="P2498" s="86"/>
      <c r="Q2498" s="85"/>
      <c r="S2498" s="85"/>
      <c r="T2498" s="85"/>
      <c r="U2498" s="85"/>
      <c r="V2498" s="85"/>
      <c r="W2498" s="85"/>
      <c r="X2498" s="85"/>
    </row>
    <row r="2499" spans="2:24" s="58" customFormat="1" ht="12" x14ac:dyDescent="0.2">
      <c r="B2499" s="91"/>
      <c r="E2499" s="92"/>
      <c r="F2499" s="93"/>
      <c r="G2499" s="94"/>
      <c r="H2499" s="94"/>
      <c r="I2499" s="94"/>
      <c r="J2499" s="94"/>
      <c r="K2499" s="93"/>
      <c r="L2499" s="86"/>
      <c r="M2499" s="161"/>
      <c r="N2499" s="86"/>
      <c r="O2499" s="86"/>
      <c r="P2499" s="86"/>
      <c r="Q2499" s="85"/>
      <c r="S2499" s="85"/>
      <c r="T2499" s="85"/>
      <c r="U2499" s="85"/>
      <c r="V2499" s="85"/>
      <c r="W2499" s="85"/>
      <c r="X2499" s="85"/>
    </row>
    <row r="2500" spans="2:24" s="58" customFormat="1" ht="12" x14ac:dyDescent="0.2">
      <c r="B2500" s="91"/>
      <c r="E2500" s="92"/>
      <c r="F2500" s="93"/>
      <c r="G2500" s="94"/>
      <c r="H2500" s="94"/>
      <c r="I2500" s="94"/>
      <c r="J2500" s="94"/>
      <c r="K2500" s="93"/>
      <c r="L2500" s="86"/>
      <c r="M2500" s="161"/>
      <c r="N2500" s="86"/>
      <c r="O2500" s="86"/>
      <c r="P2500" s="86"/>
      <c r="Q2500" s="85"/>
      <c r="S2500" s="85"/>
      <c r="T2500" s="85"/>
      <c r="U2500" s="85"/>
      <c r="V2500" s="85"/>
      <c r="W2500" s="85"/>
      <c r="X2500" s="85"/>
    </row>
    <row r="2501" spans="2:24" s="58" customFormat="1" ht="12" x14ac:dyDescent="0.2">
      <c r="B2501" s="91"/>
      <c r="E2501" s="92"/>
      <c r="F2501" s="93"/>
      <c r="G2501" s="94"/>
      <c r="H2501" s="94"/>
      <c r="I2501" s="94"/>
      <c r="J2501" s="94"/>
      <c r="K2501" s="93"/>
      <c r="L2501" s="86"/>
      <c r="M2501" s="161"/>
      <c r="N2501" s="86"/>
      <c r="O2501" s="86"/>
      <c r="P2501" s="86"/>
      <c r="Q2501" s="85"/>
      <c r="S2501" s="85"/>
      <c r="T2501" s="85"/>
      <c r="U2501" s="85"/>
      <c r="V2501" s="85"/>
      <c r="W2501" s="85"/>
      <c r="X2501" s="85"/>
    </row>
    <row r="2502" spans="2:24" s="58" customFormat="1" ht="12" x14ac:dyDescent="0.2">
      <c r="B2502" s="91"/>
      <c r="E2502" s="92"/>
      <c r="F2502" s="93"/>
      <c r="G2502" s="94"/>
      <c r="H2502" s="94"/>
      <c r="I2502" s="94"/>
      <c r="J2502" s="94"/>
      <c r="K2502" s="93"/>
      <c r="L2502" s="86"/>
      <c r="M2502" s="161"/>
      <c r="N2502" s="86"/>
      <c r="O2502" s="86"/>
      <c r="P2502" s="86"/>
      <c r="Q2502" s="85"/>
      <c r="S2502" s="85"/>
      <c r="T2502" s="85"/>
      <c r="U2502" s="85"/>
      <c r="V2502" s="85"/>
      <c r="W2502" s="85"/>
      <c r="X2502" s="85"/>
    </row>
    <row r="2503" spans="2:24" s="58" customFormat="1" ht="12" x14ac:dyDescent="0.2">
      <c r="B2503" s="91"/>
      <c r="E2503" s="92"/>
      <c r="F2503" s="93"/>
      <c r="G2503" s="94"/>
      <c r="H2503" s="94"/>
      <c r="I2503" s="94"/>
      <c r="J2503" s="94"/>
      <c r="K2503" s="93"/>
      <c r="L2503" s="86"/>
      <c r="M2503" s="161"/>
      <c r="N2503" s="86"/>
      <c r="O2503" s="86"/>
      <c r="P2503" s="86"/>
      <c r="Q2503" s="85"/>
      <c r="S2503" s="85"/>
      <c r="T2503" s="85"/>
      <c r="U2503" s="85"/>
      <c r="V2503" s="85"/>
      <c r="W2503" s="85"/>
      <c r="X2503" s="85"/>
    </row>
    <row r="2504" spans="2:24" s="58" customFormat="1" ht="12" x14ac:dyDescent="0.2">
      <c r="B2504" s="91"/>
      <c r="E2504" s="92"/>
      <c r="F2504" s="93"/>
      <c r="G2504" s="94"/>
      <c r="H2504" s="94"/>
      <c r="I2504" s="94"/>
      <c r="J2504" s="94"/>
      <c r="K2504" s="93"/>
      <c r="L2504" s="86"/>
      <c r="M2504" s="161"/>
      <c r="N2504" s="86"/>
      <c r="O2504" s="86"/>
      <c r="P2504" s="86"/>
      <c r="Q2504" s="85"/>
      <c r="S2504" s="85"/>
      <c r="T2504" s="85"/>
      <c r="U2504" s="85"/>
      <c r="V2504" s="85"/>
      <c r="W2504" s="85"/>
      <c r="X2504" s="85"/>
    </row>
    <row r="2505" spans="2:24" s="58" customFormat="1" ht="12" x14ac:dyDescent="0.2">
      <c r="B2505" s="91"/>
      <c r="E2505" s="92"/>
      <c r="F2505" s="93"/>
      <c r="G2505" s="94"/>
      <c r="H2505" s="94"/>
      <c r="I2505" s="94"/>
      <c r="J2505" s="94"/>
      <c r="K2505" s="93"/>
      <c r="L2505" s="86"/>
      <c r="M2505" s="161"/>
      <c r="N2505" s="86"/>
      <c r="O2505" s="86"/>
      <c r="P2505" s="86"/>
      <c r="Q2505" s="85"/>
      <c r="S2505" s="85"/>
      <c r="T2505" s="85"/>
      <c r="U2505" s="85"/>
      <c r="V2505" s="85"/>
      <c r="W2505" s="85"/>
      <c r="X2505" s="85"/>
    </row>
    <row r="2506" spans="2:24" s="58" customFormat="1" ht="12" x14ac:dyDescent="0.2">
      <c r="B2506" s="91"/>
      <c r="E2506" s="92"/>
      <c r="F2506" s="93"/>
      <c r="G2506" s="94"/>
      <c r="H2506" s="94"/>
      <c r="I2506" s="94"/>
      <c r="J2506" s="94"/>
      <c r="K2506" s="93"/>
      <c r="L2506" s="86"/>
      <c r="M2506" s="161"/>
      <c r="N2506" s="86"/>
      <c r="O2506" s="86"/>
      <c r="P2506" s="86"/>
      <c r="Q2506" s="85"/>
      <c r="S2506" s="85"/>
      <c r="T2506" s="85"/>
      <c r="U2506" s="85"/>
      <c r="V2506" s="85"/>
      <c r="W2506" s="85"/>
      <c r="X2506" s="85"/>
    </row>
    <row r="2507" spans="2:24" s="58" customFormat="1" ht="12" x14ac:dyDescent="0.2">
      <c r="B2507" s="91"/>
      <c r="E2507" s="92"/>
      <c r="F2507" s="93"/>
      <c r="G2507" s="94"/>
      <c r="H2507" s="94"/>
      <c r="I2507" s="94"/>
      <c r="J2507" s="94"/>
      <c r="K2507" s="93"/>
      <c r="L2507" s="86"/>
      <c r="M2507" s="161"/>
      <c r="N2507" s="86"/>
      <c r="O2507" s="86"/>
      <c r="P2507" s="86"/>
      <c r="Q2507" s="85"/>
      <c r="S2507" s="85"/>
      <c r="T2507" s="85"/>
      <c r="U2507" s="85"/>
      <c r="V2507" s="85"/>
      <c r="W2507" s="85"/>
      <c r="X2507" s="85"/>
    </row>
    <row r="2508" spans="2:24" s="58" customFormat="1" ht="12" x14ac:dyDescent="0.2">
      <c r="B2508" s="91"/>
      <c r="E2508" s="92"/>
      <c r="F2508" s="93"/>
      <c r="G2508" s="94"/>
      <c r="H2508" s="94"/>
      <c r="I2508" s="94"/>
      <c r="J2508" s="94"/>
      <c r="K2508" s="93"/>
      <c r="L2508" s="86"/>
      <c r="M2508" s="161"/>
      <c r="N2508" s="86"/>
      <c r="O2508" s="86"/>
      <c r="P2508" s="86"/>
      <c r="Q2508" s="85"/>
      <c r="S2508" s="85"/>
      <c r="T2508" s="85"/>
      <c r="U2508" s="85"/>
      <c r="V2508" s="85"/>
      <c r="W2508" s="85"/>
      <c r="X2508" s="85"/>
    </row>
    <row r="2509" spans="2:24" s="58" customFormat="1" ht="12" x14ac:dyDescent="0.2">
      <c r="B2509" s="91"/>
      <c r="E2509" s="92"/>
      <c r="F2509" s="93"/>
      <c r="G2509" s="94"/>
      <c r="H2509" s="94"/>
      <c r="I2509" s="94"/>
      <c r="J2509" s="94"/>
      <c r="K2509" s="93"/>
      <c r="L2509" s="86"/>
      <c r="M2509" s="161"/>
      <c r="N2509" s="86"/>
      <c r="O2509" s="86"/>
      <c r="P2509" s="86"/>
      <c r="Q2509" s="85"/>
      <c r="S2509" s="85"/>
      <c r="T2509" s="85"/>
      <c r="U2509" s="85"/>
      <c r="V2509" s="85"/>
      <c r="W2509" s="85"/>
      <c r="X2509" s="85"/>
    </row>
    <row r="2510" spans="2:24" s="58" customFormat="1" ht="12" x14ac:dyDescent="0.2">
      <c r="B2510" s="91"/>
      <c r="E2510" s="92"/>
      <c r="F2510" s="93"/>
      <c r="G2510" s="94"/>
      <c r="H2510" s="94"/>
      <c r="I2510" s="94"/>
      <c r="J2510" s="94"/>
      <c r="K2510" s="93"/>
      <c r="L2510" s="86"/>
      <c r="M2510" s="161"/>
      <c r="N2510" s="86"/>
      <c r="O2510" s="86"/>
      <c r="P2510" s="86"/>
      <c r="Q2510" s="85"/>
      <c r="S2510" s="85"/>
      <c r="T2510" s="85"/>
      <c r="U2510" s="85"/>
      <c r="V2510" s="85"/>
      <c r="W2510" s="85"/>
      <c r="X2510" s="85"/>
    </row>
    <row r="2511" spans="2:24" s="58" customFormat="1" ht="12" x14ac:dyDescent="0.2">
      <c r="B2511" s="91"/>
      <c r="E2511" s="92"/>
      <c r="F2511" s="93"/>
      <c r="G2511" s="94"/>
      <c r="H2511" s="94"/>
      <c r="I2511" s="94"/>
      <c r="J2511" s="94"/>
      <c r="K2511" s="93"/>
      <c r="L2511" s="86"/>
      <c r="M2511" s="161"/>
      <c r="N2511" s="86"/>
      <c r="O2511" s="86"/>
      <c r="P2511" s="86"/>
      <c r="Q2511" s="85"/>
      <c r="S2511" s="85"/>
      <c r="T2511" s="85"/>
      <c r="U2511" s="85"/>
      <c r="V2511" s="85"/>
      <c r="W2511" s="85"/>
      <c r="X2511" s="85"/>
    </row>
    <row r="2512" spans="2:24" s="58" customFormat="1" ht="12" x14ac:dyDescent="0.2">
      <c r="B2512" s="91"/>
      <c r="E2512" s="92"/>
      <c r="F2512" s="93"/>
      <c r="G2512" s="94"/>
      <c r="H2512" s="94"/>
      <c r="I2512" s="94"/>
      <c r="J2512" s="94"/>
      <c r="K2512" s="93"/>
      <c r="L2512" s="86"/>
      <c r="M2512" s="161"/>
      <c r="N2512" s="86"/>
      <c r="O2512" s="86"/>
      <c r="P2512" s="86"/>
      <c r="Q2512" s="85"/>
      <c r="S2512" s="85"/>
      <c r="T2512" s="85"/>
      <c r="U2512" s="85"/>
      <c r="V2512" s="85"/>
      <c r="W2512" s="85"/>
      <c r="X2512" s="85"/>
    </row>
    <row r="2513" spans="2:24" s="58" customFormat="1" ht="12" x14ac:dyDescent="0.2">
      <c r="B2513" s="91"/>
      <c r="E2513" s="92"/>
      <c r="F2513" s="93"/>
      <c r="G2513" s="94"/>
      <c r="H2513" s="94"/>
      <c r="I2513" s="94"/>
      <c r="J2513" s="94"/>
      <c r="K2513" s="93"/>
      <c r="L2513" s="86"/>
      <c r="M2513" s="161"/>
      <c r="N2513" s="86"/>
      <c r="O2513" s="86"/>
      <c r="P2513" s="86"/>
      <c r="Q2513" s="85"/>
      <c r="S2513" s="85"/>
      <c r="T2513" s="85"/>
      <c r="U2513" s="85"/>
      <c r="V2513" s="85"/>
      <c r="W2513" s="85"/>
      <c r="X2513" s="85"/>
    </row>
    <row r="2514" spans="2:24" s="58" customFormat="1" ht="12" x14ac:dyDescent="0.2">
      <c r="B2514" s="91"/>
      <c r="E2514" s="92"/>
      <c r="F2514" s="93"/>
      <c r="G2514" s="94"/>
      <c r="H2514" s="94"/>
      <c r="I2514" s="94"/>
      <c r="J2514" s="94"/>
      <c r="K2514" s="93"/>
      <c r="L2514" s="86"/>
      <c r="M2514" s="161"/>
      <c r="N2514" s="86"/>
      <c r="O2514" s="86"/>
      <c r="P2514" s="86"/>
      <c r="Q2514" s="85"/>
      <c r="S2514" s="85"/>
      <c r="T2514" s="85"/>
      <c r="U2514" s="85"/>
      <c r="V2514" s="85"/>
      <c r="W2514" s="85"/>
      <c r="X2514" s="85"/>
    </row>
    <row r="2515" spans="2:24" s="58" customFormat="1" ht="12" x14ac:dyDescent="0.2">
      <c r="B2515" s="91"/>
      <c r="E2515" s="92"/>
      <c r="F2515" s="93"/>
      <c r="G2515" s="94"/>
      <c r="H2515" s="94"/>
      <c r="I2515" s="94"/>
      <c r="J2515" s="94"/>
      <c r="K2515" s="93"/>
      <c r="L2515" s="86"/>
      <c r="M2515" s="161"/>
      <c r="N2515" s="86"/>
      <c r="O2515" s="86"/>
      <c r="P2515" s="86"/>
      <c r="Q2515" s="85"/>
      <c r="S2515" s="85"/>
      <c r="T2515" s="85"/>
      <c r="U2515" s="85"/>
      <c r="V2515" s="85"/>
      <c r="W2515" s="85"/>
      <c r="X2515" s="85"/>
    </row>
    <row r="2516" spans="2:24" s="58" customFormat="1" ht="12" x14ac:dyDescent="0.2">
      <c r="B2516" s="91"/>
      <c r="E2516" s="92"/>
      <c r="F2516" s="93"/>
      <c r="G2516" s="94"/>
      <c r="H2516" s="94"/>
      <c r="I2516" s="94"/>
      <c r="J2516" s="94"/>
      <c r="K2516" s="93"/>
      <c r="L2516" s="86"/>
      <c r="M2516" s="161"/>
      <c r="N2516" s="86"/>
      <c r="O2516" s="86"/>
      <c r="P2516" s="86"/>
      <c r="Q2516" s="85"/>
      <c r="S2516" s="85"/>
      <c r="T2516" s="85"/>
      <c r="U2516" s="85"/>
      <c r="V2516" s="85"/>
      <c r="W2516" s="85"/>
      <c r="X2516" s="85"/>
    </row>
    <row r="2517" spans="2:24" s="58" customFormat="1" ht="12" x14ac:dyDescent="0.2">
      <c r="B2517" s="91"/>
      <c r="E2517" s="92"/>
      <c r="F2517" s="93"/>
      <c r="G2517" s="94"/>
      <c r="H2517" s="94"/>
      <c r="I2517" s="94"/>
      <c r="J2517" s="94"/>
      <c r="K2517" s="93"/>
      <c r="L2517" s="86"/>
      <c r="M2517" s="161"/>
      <c r="N2517" s="86"/>
      <c r="O2517" s="86"/>
      <c r="P2517" s="86"/>
      <c r="Q2517" s="85"/>
      <c r="S2517" s="85"/>
      <c r="T2517" s="85"/>
      <c r="U2517" s="85"/>
      <c r="V2517" s="85"/>
      <c r="W2517" s="85"/>
      <c r="X2517" s="85"/>
    </row>
    <row r="2518" spans="2:24" s="58" customFormat="1" ht="12" x14ac:dyDescent="0.2">
      <c r="B2518" s="91"/>
      <c r="E2518" s="92"/>
      <c r="F2518" s="93"/>
      <c r="G2518" s="94"/>
      <c r="H2518" s="94"/>
      <c r="I2518" s="94"/>
      <c r="J2518" s="94"/>
      <c r="K2518" s="93"/>
      <c r="L2518" s="86"/>
      <c r="M2518" s="161"/>
      <c r="N2518" s="86"/>
      <c r="O2518" s="86"/>
      <c r="P2518" s="86"/>
      <c r="Q2518" s="85"/>
      <c r="S2518" s="85"/>
      <c r="T2518" s="85"/>
      <c r="U2518" s="85"/>
      <c r="V2518" s="85"/>
      <c r="W2518" s="85"/>
      <c r="X2518" s="85"/>
    </row>
    <row r="2519" spans="2:24" s="58" customFormat="1" ht="12" x14ac:dyDescent="0.2">
      <c r="B2519" s="91"/>
      <c r="E2519" s="92"/>
      <c r="F2519" s="93"/>
      <c r="G2519" s="94"/>
      <c r="H2519" s="94"/>
      <c r="I2519" s="94"/>
      <c r="J2519" s="94"/>
      <c r="K2519" s="93"/>
      <c r="L2519" s="86"/>
      <c r="M2519" s="161"/>
      <c r="N2519" s="86"/>
      <c r="O2519" s="86"/>
      <c r="P2519" s="86"/>
      <c r="Q2519" s="85"/>
      <c r="S2519" s="85"/>
      <c r="T2519" s="85"/>
      <c r="U2519" s="85"/>
      <c r="V2519" s="85"/>
      <c r="W2519" s="85"/>
      <c r="X2519" s="85"/>
    </row>
    <row r="2520" spans="2:24" s="58" customFormat="1" ht="12" x14ac:dyDescent="0.2">
      <c r="B2520" s="91"/>
      <c r="E2520" s="92"/>
      <c r="F2520" s="93"/>
      <c r="G2520" s="94"/>
      <c r="H2520" s="94"/>
      <c r="I2520" s="94"/>
      <c r="J2520" s="94"/>
      <c r="K2520" s="93"/>
      <c r="L2520" s="86"/>
      <c r="M2520" s="161"/>
      <c r="N2520" s="86"/>
      <c r="O2520" s="86"/>
      <c r="P2520" s="86"/>
      <c r="Q2520" s="85"/>
      <c r="S2520" s="85"/>
      <c r="T2520" s="85"/>
      <c r="U2520" s="85"/>
      <c r="V2520" s="85"/>
      <c r="W2520" s="85"/>
      <c r="X2520" s="85"/>
    </row>
    <row r="2521" spans="2:24" s="58" customFormat="1" ht="12" x14ac:dyDescent="0.2">
      <c r="B2521" s="91"/>
      <c r="E2521" s="92"/>
      <c r="F2521" s="93"/>
      <c r="G2521" s="94"/>
      <c r="H2521" s="94"/>
      <c r="I2521" s="94"/>
      <c r="J2521" s="94"/>
      <c r="K2521" s="93"/>
      <c r="L2521" s="86"/>
      <c r="M2521" s="161"/>
      <c r="N2521" s="86"/>
      <c r="O2521" s="86"/>
      <c r="P2521" s="86"/>
      <c r="Q2521" s="85"/>
      <c r="S2521" s="85"/>
      <c r="T2521" s="85"/>
      <c r="U2521" s="85"/>
      <c r="V2521" s="85"/>
      <c r="W2521" s="85"/>
      <c r="X2521" s="85"/>
    </row>
    <row r="2522" spans="2:24" s="58" customFormat="1" ht="12" x14ac:dyDescent="0.2">
      <c r="B2522" s="91"/>
      <c r="E2522" s="92"/>
      <c r="F2522" s="93"/>
      <c r="G2522" s="94"/>
      <c r="H2522" s="94"/>
      <c r="I2522" s="94"/>
      <c r="J2522" s="94"/>
      <c r="K2522" s="93"/>
      <c r="L2522" s="86"/>
      <c r="M2522" s="161"/>
      <c r="N2522" s="86"/>
      <c r="O2522" s="86"/>
      <c r="P2522" s="86"/>
      <c r="Q2522" s="85"/>
      <c r="S2522" s="85"/>
      <c r="T2522" s="85"/>
      <c r="U2522" s="85"/>
      <c r="V2522" s="85"/>
      <c r="W2522" s="85"/>
      <c r="X2522" s="85"/>
    </row>
    <row r="2523" spans="2:24" s="58" customFormat="1" ht="12" x14ac:dyDescent="0.2">
      <c r="B2523" s="91"/>
      <c r="E2523" s="92"/>
      <c r="F2523" s="93"/>
      <c r="G2523" s="94"/>
      <c r="H2523" s="94"/>
      <c r="I2523" s="94"/>
      <c r="J2523" s="94"/>
      <c r="K2523" s="93"/>
      <c r="L2523" s="86"/>
      <c r="M2523" s="161"/>
      <c r="N2523" s="86"/>
      <c r="O2523" s="86"/>
      <c r="P2523" s="86"/>
      <c r="Q2523" s="85"/>
      <c r="S2523" s="85"/>
      <c r="T2523" s="85"/>
      <c r="U2523" s="85"/>
      <c r="V2523" s="85"/>
      <c r="W2523" s="85"/>
      <c r="X2523" s="85"/>
    </row>
    <row r="2524" spans="2:24" s="58" customFormat="1" ht="12" x14ac:dyDescent="0.2">
      <c r="B2524" s="91"/>
      <c r="E2524" s="92"/>
      <c r="F2524" s="93"/>
      <c r="G2524" s="94"/>
      <c r="H2524" s="94"/>
      <c r="I2524" s="94"/>
      <c r="J2524" s="94"/>
      <c r="K2524" s="93"/>
      <c r="L2524" s="86"/>
      <c r="M2524" s="161"/>
      <c r="N2524" s="86"/>
      <c r="O2524" s="86"/>
      <c r="P2524" s="86"/>
      <c r="Q2524" s="85"/>
      <c r="S2524" s="85"/>
      <c r="T2524" s="85"/>
      <c r="U2524" s="85"/>
      <c r="V2524" s="85"/>
      <c r="W2524" s="85"/>
      <c r="X2524" s="85"/>
    </row>
    <row r="2525" spans="2:24" s="58" customFormat="1" ht="12" x14ac:dyDescent="0.2">
      <c r="B2525" s="91"/>
      <c r="E2525" s="92"/>
      <c r="F2525" s="93"/>
      <c r="G2525" s="94"/>
      <c r="H2525" s="94"/>
      <c r="I2525" s="94"/>
      <c r="J2525" s="94"/>
      <c r="K2525" s="93"/>
      <c r="L2525" s="86"/>
      <c r="M2525" s="161"/>
      <c r="N2525" s="86"/>
      <c r="O2525" s="86"/>
      <c r="P2525" s="86"/>
      <c r="Q2525" s="85"/>
      <c r="S2525" s="85"/>
      <c r="T2525" s="85"/>
      <c r="U2525" s="85"/>
      <c r="V2525" s="85"/>
      <c r="W2525" s="85"/>
      <c r="X2525" s="85"/>
    </row>
    <row r="2526" spans="2:24" s="58" customFormat="1" ht="12" x14ac:dyDescent="0.2">
      <c r="B2526" s="91"/>
      <c r="E2526" s="92"/>
      <c r="F2526" s="93"/>
      <c r="G2526" s="94"/>
      <c r="H2526" s="94"/>
      <c r="I2526" s="94"/>
      <c r="J2526" s="94"/>
      <c r="K2526" s="93"/>
      <c r="L2526" s="86"/>
      <c r="M2526" s="161"/>
      <c r="N2526" s="86"/>
      <c r="O2526" s="86"/>
      <c r="P2526" s="86"/>
      <c r="Q2526" s="85"/>
      <c r="S2526" s="85"/>
      <c r="T2526" s="85"/>
      <c r="U2526" s="85"/>
      <c r="V2526" s="85"/>
      <c r="W2526" s="85"/>
      <c r="X2526" s="85"/>
    </row>
    <row r="2527" spans="2:24" s="58" customFormat="1" ht="12" x14ac:dyDescent="0.2">
      <c r="B2527" s="91"/>
      <c r="E2527" s="92"/>
      <c r="F2527" s="93"/>
      <c r="G2527" s="94"/>
      <c r="H2527" s="94"/>
      <c r="I2527" s="94"/>
      <c r="J2527" s="94"/>
      <c r="K2527" s="93"/>
      <c r="L2527" s="86"/>
      <c r="M2527" s="161"/>
      <c r="N2527" s="86"/>
      <c r="O2527" s="86"/>
      <c r="P2527" s="86"/>
      <c r="Q2527" s="85"/>
      <c r="S2527" s="85"/>
      <c r="T2527" s="85"/>
      <c r="U2527" s="85"/>
      <c r="V2527" s="85"/>
      <c r="W2527" s="85"/>
      <c r="X2527" s="85"/>
    </row>
    <row r="2528" spans="2:24" s="58" customFormat="1" ht="12" x14ac:dyDescent="0.2">
      <c r="B2528" s="91"/>
      <c r="E2528" s="92"/>
      <c r="F2528" s="93"/>
      <c r="G2528" s="94"/>
      <c r="H2528" s="94"/>
      <c r="I2528" s="94"/>
      <c r="J2528" s="94"/>
      <c r="K2528" s="93"/>
      <c r="L2528" s="86"/>
      <c r="M2528" s="161"/>
      <c r="N2528" s="86"/>
      <c r="O2528" s="86"/>
      <c r="P2528" s="86"/>
      <c r="Q2528" s="85"/>
      <c r="S2528" s="85"/>
      <c r="T2528" s="85"/>
      <c r="U2528" s="85"/>
      <c r="V2528" s="85"/>
      <c r="W2528" s="85"/>
      <c r="X2528" s="85"/>
    </row>
    <row r="2529" spans="2:24" s="58" customFormat="1" ht="12" x14ac:dyDescent="0.2">
      <c r="B2529" s="91"/>
      <c r="E2529" s="92"/>
      <c r="F2529" s="93"/>
      <c r="G2529" s="94"/>
      <c r="H2529" s="94"/>
      <c r="I2529" s="94"/>
      <c r="J2529" s="94"/>
      <c r="K2529" s="93"/>
      <c r="L2529" s="86"/>
      <c r="M2529" s="161"/>
      <c r="N2529" s="86"/>
      <c r="O2529" s="86"/>
      <c r="P2529" s="86"/>
      <c r="Q2529" s="85"/>
      <c r="S2529" s="85"/>
      <c r="T2529" s="85"/>
      <c r="U2529" s="85"/>
      <c r="V2529" s="85"/>
      <c r="W2529" s="85"/>
      <c r="X2529" s="85"/>
    </row>
    <row r="2530" spans="2:24" s="58" customFormat="1" ht="12" x14ac:dyDescent="0.2">
      <c r="B2530" s="91"/>
      <c r="E2530" s="92"/>
      <c r="F2530" s="93"/>
      <c r="G2530" s="94"/>
      <c r="H2530" s="94"/>
      <c r="I2530" s="94"/>
      <c r="J2530" s="94"/>
      <c r="K2530" s="93"/>
      <c r="L2530" s="86"/>
      <c r="M2530" s="161"/>
      <c r="N2530" s="86"/>
      <c r="O2530" s="86"/>
      <c r="P2530" s="86"/>
      <c r="Q2530" s="85"/>
      <c r="S2530" s="85"/>
      <c r="T2530" s="85"/>
      <c r="U2530" s="85"/>
      <c r="V2530" s="85"/>
      <c r="W2530" s="85"/>
      <c r="X2530" s="85"/>
    </row>
    <row r="2531" spans="2:24" s="58" customFormat="1" ht="12" x14ac:dyDescent="0.2">
      <c r="B2531" s="91"/>
      <c r="E2531" s="92"/>
      <c r="F2531" s="93"/>
      <c r="G2531" s="94"/>
      <c r="H2531" s="94"/>
      <c r="I2531" s="94"/>
      <c r="J2531" s="94"/>
      <c r="K2531" s="93"/>
      <c r="L2531" s="86"/>
      <c r="M2531" s="161"/>
      <c r="N2531" s="86"/>
      <c r="O2531" s="86"/>
      <c r="P2531" s="86"/>
      <c r="Q2531" s="85"/>
      <c r="S2531" s="85"/>
      <c r="T2531" s="85"/>
      <c r="U2531" s="85"/>
      <c r="V2531" s="85"/>
      <c r="W2531" s="85"/>
      <c r="X2531" s="85"/>
    </row>
    <row r="2532" spans="2:24" s="58" customFormat="1" ht="12" x14ac:dyDescent="0.2">
      <c r="B2532" s="91"/>
      <c r="E2532" s="92"/>
      <c r="F2532" s="93"/>
      <c r="G2532" s="94"/>
      <c r="H2532" s="94"/>
      <c r="I2532" s="94"/>
      <c r="J2532" s="94"/>
      <c r="K2532" s="93"/>
      <c r="L2532" s="86"/>
      <c r="M2532" s="161"/>
      <c r="N2532" s="86"/>
      <c r="O2532" s="86"/>
      <c r="P2532" s="86"/>
      <c r="Q2532" s="85"/>
      <c r="S2532" s="85"/>
      <c r="T2532" s="85"/>
      <c r="U2532" s="85"/>
      <c r="V2532" s="85"/>
      <c r="W2532" s="85"/>
      <c r="X2532" s="85"/>
    </row>
    <row r="2533" spans="2:24" s="58" customFormat="1" ht="12" x14ac:dyDescent="0.2">
      <c r="B2533" s="91"/>
      <c r="E2533" s="92"/>
      <c r="F2533" s="93"/>
      <c r="G2533" s="94"/>
      <c r="H2533" s="94"/>
      <c r="I2533" s="94"/>
      <c r="J2533" s="94"/>
      <c r="K2533" s="93"/>
      <c r="L2533" s="86"/>
      <c r="M2533" s="161"/>
      <c r="N2533" s="86"/>
      <c r="O2533" s="86"/>
      <c r="P2533" s="86"/>
      <c r="Q2533" s="85"/>
      <c r="S2533" s="85"/>
      <c r="T2533" s="85"/>
      <c r="U2533" s="85"/>
      <c r="V2533" s="85"/>
      <c r="W2533" s="85"/>
      <c r="X2533" s="85"/>
    </row>
    <row r="2534" spans="2:24" s="58" customFormat="1" ht="12" x14ac:dyDescent="0.2">
      <c r="B2534" s="91"/>
      <c r="E2534" s="92"/>
      <c r="F2534" s="93"/>
      <c r="G2534" s="94"/>
      <c r="H2534" s="94"/>
      <c r="I2534" s="94"/>
      <c r="J2534" s="94"/>
      <c r="K2534" s="93"/>
      <c r="L2534" s="86"/>
      <c r="M2534" s="161"/>
      <c r="N2534" s="86"/>
      <c r="O2534" s="86"/>
      <c r="P2534" s="86"/>
      <c r="Q2534" s="85"/>
      <c r="S2534" s="85"/>
      <c r="T2534" s="85"/>
      <c r="U2534" s="85"/>
      <c r="V2534" s="85"/>
      <c r="W2534" s="85"/>
      <c r="X2534" s="85"/>
    </row>
    <row r="2535" spans="2:24" s="58" customFormat="1" ht="12" x14ac:dyDescent="0.2">
      <c r="B2535" s="91"/>
      <c r="E2535" s="92"/>
      <c r="F2535" s="93"/>
      <c r="G2535" s="94"/>
      <c r="H2535" s="94"/>
      <c r="I2535" s="94"/>
      <c r="J2535" s="94"/>
      <c r="K2535" s="93"/>
      <c r="L2535" s="86"/>
      <c r="M2535" s="161"/>
      <c r="N2535" s="86"/>
      <c r="O2535" s="86"/>
      <c r="P2535" s="86"/>
      <c r="Q2535" s="85"/>
      <c r="S2535" s="85"/>
      <c r="T2535" s="85"/>
      <c r="U2535" s="85"/>
      <c r="V2535" s="85"/>
      <c r="W2535" s="85"/>
      <c r="X2535" s="85"/>
    </row>
    <row r="2536" spans="2:24" s="58" customFormat="1" ht="12" x14ac:dyDescent="0.2">
      <c r="B2536" s="91"/>
      <c r="E2536" s="92"/>
      <c r="F2536" s="93"/>
      <c r="G2536" s="94"/>
      <c r="H2536" s="94"/>
      <c r="I2536" s="94"/>
      <c r="J2536" s="94"/>
      <c r="K2536" s="93"/>
      <c r="L2536" s="86"/>
      <c r="M2536" s="161"/>
      <c r="N2536" s="86"/>
      <c r="O2536" s="86"/>
      <c r="P2536" s="86"/>
      <c r="Q2536" s="85"/>
      <c r="S2536" s="85"/>
      <c r="T2536" s="85"/>
      <c r="U2536" s="85"/>
      <c r="V2536" s="85"/>
      <c r="W2536" s="85"/>
      <c r="X2536" s="85"/>
    </row>
    <row r="2537" spans="2:24" s="58" customFormat="1" ht="12" x14ac:dyDescent="0.2">
      <c r="B2537" s="91"/>
      <c r="E2537" s="92"/>
      <c r="F2537" s="93"/>
      <c r="G2537" s="94"/>
      <c r="H2537" s="94"/>
      <c r="I2537" s="94"/>
      <c r="J2537" s="94"/>
      <c r="K2537" s="93"/>
      <c r="L2537" s="86"/>
      <c r="M2537" s="161"/>
      <c r="N2537" s="86"/>
      <c r="O2537" s="86"/>
      <c r="P2537" s="86"/>
      <c r="Q2537" s="85"/>
      <c r="S2537" s="85"/>
      <c r="T2537" s="85"/>
      <c r="U2537" s="85"/>
      <c r="V2537" s="85"/>
      <c r="W2537" s="85"/>
      <c r="X2537" s="85"/>
    </row>
    <row r="2538" spans="2:24" s="58" customFormat="1" ht="12" x14ac:dyDescent="0.2">
      <c r="B2538" s="91"/>
      <c r="E2538" s="92"/>
      <c r="F2538" s="93"/>
      <c r="G2538" s="94"/>
      <c r="H2538" s="94"/>
      <c r="I2538" s="94"/>
      <c r="J2538" s="94"/>
      <c r="K2538" s="93"/>
      <c r="L2538" s="86"/>
      <c r="M2538" s="161"/>
      <c r="N2538" s="86"/>
      <c r="O2538" s="86"/>
      <c r="P2538" s="86"/>
      <c r="Q2538" s="85"/>
      <c r="S2538" s="85"/>
      <c r="T2538" s="85"/>
      <c r="U2538" s="85"/>
      <c r="V2538" s="85"/>
      <c r="W2538" s="85"/>
      <c r="X2538" s="85"/>
    </row>
    <row r="2539" spans="2:24" s="58" customFormat="1" ht="12" x14ac:dyDescent="0.2">
      <c r="B2539" s="91"/>
      <c r="E2539" s="92"/>
      <c r="F2539" s="93"/>
      <c r="G2539" s="94"/>
      <c r="H2539" s="94"/>
      <c r="I2539" s="94"/>
      <c r="J2539" s="94"/>
      <c r="K2539" s="93"/>
      <c r="L2539" s="86"/>
      <c r="M2539" s="161"/>
      <c r="N2539" s="86"/>
      <c r="O2539" s="86"/>
      <c r="P2539" s="86"/>
      <c r="Q2539" s="85"/>
      <c r="S2539" s="85"/>
      <c r="T2539" s="85"/>
      <c r="U2539" s="85"/>
      <c r="V2539" s="85"/>
      <c r="W2539" s="85"/>
      <c r="X2539" s="85"/>
    </row>
    <row r="2540" spans="2:24" s="58" customFormat="1" ht="12" x14ac:dyDescent="0.2">
      <c r="B2540" s="91"/>
      <c r="E2540" s="92"/>
      <c r="F2540" s="93"/>
      <c r="G2540" s="94"/>
      <c r="H2540" s="94"/>
      <c r="I2540" s="94"/>
      <c r="J2540" s="94"/>
      <c r="K2540" s="93"/>
      <c r="L2540" s="86"/>
      <c r="M2540" s="161"/>
      <c r="N2540" s="86"/>
      <c r="O2540" s="86"/>
      <c r="P2540" s="86"/>
      <c r="Q2540" s="85"/>
      <c r="S2540" s="85"/>
      <c r="T2540" s="85"/>
      <c r="U2540" s="85"/>
      <c r="V2540" s="85"/>
      <c r="W2540" s="85"/>
      <c r="X2540" s="85"/>
    </row>
    <row r="2541" spans="2:24" s="58" customFormat="1" ht="12" x14ac:dyDescent="0.2">
      <c r="B2541" s="91"/>
      <c r="E2541" s="92"/>
      <c r="F2541" s="93"/>
      <c r="G2541" s="94"/>
      <c r="H2541" s="94"/>
      <c r="I2541" s="94"/>
      <c r="J2541" s="94"/>
      <c r="K2541" s="93"/>
      <c r="L2541" s="86"/>
      <c r="M2541" s="161"/>
      <c r="N2541" s="86"/>
      <c r="O2541" s="86"/>
      <c r="P2541" s="86"/>
      <c r="Q2541" s="85"/>
      <c r="S2541" s="85"/>
      <c r="T2541" s="85"/>
      <c r="U2541" s="85"/>
      <c r="V2541" s="85"/>
      <c r="W2541" s="85"/>
      <c r="X2541" s="85"/>
    </row>
    <row r="2542" spans="2:24" s="58" customFormat="1" ht="12" x14ac:dyDescent="0.2">
      <c r="B2542" s="91"/>
      <c r="E2542" s="92"/>
      <c r="F2542" s="93"/>
      <c r="G2542" s="94"/>
      <c r="H2542" s="94"/>
      <c r="I2542" s="94"/>
      <c r="J2542" s="94"/>
      <c r="K2542" s="93"/>
      <c r="L2542" s="86"/>
      <c r="M2542" s="161"/>
      <c r="N2542" s="86"/>
      <c r="O2542" s="86"/>
      <c r="P2542" s="86"/>
      <c r="Q2542" s="85"/>
      <c r="S2542" s="85"/>
      <c r="T2542" s="85"/>
      <c r="U2542" s="85"/>
      <c r="V2542" s="85"/>
      <c r="W2542" s="85"/>
      <c r="X2542" s="85"/>
    </row>
    <row r="2543" spans="2:24" s="58" customFormat="1" ht="12" x14ac:dyDescent="0.2">
      <c r="B2543" s="91"/>
      <c r="E2543" s="92"/>
      <c r="F2543" s="93"/>
      <c r="G2543" s="94"/>
      <c r="H2543" s="94"/>
      <c r="I2543" s="94"/>
      <c r="J2543" s="94"/>
      <c r="K2543" s="93"/>
      <c r="L2543" s="86"/>
      <c r="M2543" s="161"/>
      <c r="N2543" s="86"/>
      <c r="O2543" s="86"/>
      <c r="P2543" s="86"/>
      <c r="Q2543" s="85"/>
      <c r="S2543" s="85"/>
      <c r="T2543" s="85"/>
      <c r="U2543" s="85"/>
      <c r="V2543" s="85"/>
      <c r="W2543" s="85"/>
      <c r="X2543" s="85"/>
    </row>
    <row r="2544" spans="2:24" s="58" customFormat="1" ht="12" x14ac:dyDescent="0.2">
      <c r="B2544" s="91"/>
      <c r="E2544" s="92"/>
      <c r="F2544" s="93"/>
      <c r="G2544" s="94"/>
      <c r="H2544" s="94"/>
      <c r="I2544" s="94"/>
      <c r="J2544" s="94"/>
      <c r="K2544" s="93"/>
      <c r="L2544" s="86"/>
      <c r="M2544" s="161"/>
      <c r="N2544" s="86"/>
      <c r="O2544" s="86"/>
      <c r="P2544" s="86"/>
      <c r="Q2544" s="85"/>
      <c r="S2544" s="85"/>
      <c r="T2544" s="85"/>
      <c r="U2544" s="85"/>
      <c r="V2544" s="85"/>
      <c r="W2544" s="85"/>
      <c r="X2544" s="85"/>
    </row>
    <row r="2545" spans="2:24" s="58" customFormat="1" ht="12" x14ac:dyDescent="0.2">
      <c r="B2545" s="91"/>
      <c r="E2545" s="92"/>
      <c r="F2545" s="93"/>
      <c r="G2545" s="94"/>
      <c r="H2545" s="94"/>
      <c r="I2545" s="94"/>
      <c r="J2545" s="94"/>
      <c r="K2545" s="93"/>
      <c r="L2545" s="86"/>
      <c r="M2545" s="161"/>
      <c r="N2545" s="86"/>
      <c r="O2545" s="86"/>
      <c r="P2545" s="86"/>
      <c r="Q2545" s="85"/>
      <c r="S2545" s="85"/>
      <c r="T2545" s="85"/>
      <c r="U2545" s="85"/>
      <c r="V2545" s="85"/>
      <c r="W2545" s="85"/>
      <c r="X2545" s="85"/>
    </row>
    <row r="2546" spans="2:24" s="58" customFormat="1" ht="12" x14ac:dyDescent="0.2">
      <c r="B2546" s="91"/>
      <c r="E2546" s="92"/>
      <c r="F2546" s="93"/>
      <c r="G2546" s="94"/>
      <c r="H2546" s="94"/>
      <c r="I2546" s="94"/>
      <c r="J2546" s="94"/>
      <c r="K2546" s="93"/>
      <c r="L2546" s="86"/>
      <c r="M2546" s="161"/>
      <c r="N2546" s="86"/>
      <c r="O2546" s="86"/>
      <c r="P2546" s="86"/>
      <c r="Q2546" s="85"/>
      <c r="S2546" s="85"/>
      <c r="T2546" s="85"/>
      <c r="U2546" s="85"/>
      <c r="V2546" s="85"/>
      <c r="W2546" s="85"/>
      <c r="X2546" s="85"/>
    </row>
    <row r="2547" spans="2:24" s="58" customFormat="1" ht="12" x14ac:dyDescent="0.2">
      <c r="B2547" s="91"/>
      <c r="E2547" s="92"/>
      <c r="F2547" s="93"/>
      <c r="G2547" s="94"/>
      <c r="H2547" s="94"/>
      <c r="I2547" s="94"/>
      <c r="J2547" s="94"/>
      <c r="K2547" s="93"/>
      <c r="L2547" s="86"/>
      <c r="M2547" s="161"/>
      <c r="N2547" s="86"/>
      <c r="O2547" s="86"/>
      <c r="P2547" s="86"/>
      <c r="Q2547" s="85"/>
      <c r="S2547" s="85"/>
      <c r="T2547" s="85"/>
      <c r="U2547" s="85"/>
      <c r="V2547" s="85"/>
      <c r="W2547" s="85"/>
      <c r="X2547" s="85"/>
    </row>
    <row r="2548" spans="2:24" s="58" customFormat="1" ht="12" x14ac:dyDescent="0.2">
      <c r="B2548" s="91"/>
      <c r="E2548" s="92"/>
      <c r="F2548" s="93"/>
      <c r="G2548" s="94"/>
      <c r="H2548" s="94"/>
      <c r="I2548" s="94"/>
      <c r="J2548" s="94"/>
      <c r="K2548" s="93"/>
      <c r="L2548" s="86"/>
      <c r="M2548" s="161"/>
      <c r="N2548" s="86"/>
      <c r="O2548" s="86"/>
      <c r="P2548" s="86"/>
      <c r="Q2548" s="85"/>
      <c r="S2548" s="85"/>
      <c r="T2548" s="85"/>
      <c r="U2548" s="85"/>
      <c r="V2548" s="85"/>
      <c r="W2548" s="85"/>
      <c r="X2548" s="85"/>
    </row>
    <row r="2549" spans="2:24" s="58" customFormat="1" ht="12" x14ac:dyDescent="0.2">
      <c r="B2549" s="91"/>
      <c r="E2549" s="92"/>
      <c r="F2549" s="93"/>
      <c r="G2549" s="94"/>
      <c r="H2549" s="94"/>
      <c r="I2549" s="94"/>
      <c r="J2549" s="94"/>
      <c r="K2549" s="93"/>
      <c r="L2549" s="86"/>
      <c r="M2549" s="161"/>
      <c r="N2549" s="86"/>
      <c r="O2549" s="86"/>
      <c r="P2549" s="86"/>
      <c r="Q2549" s="85"/>
      <c r="S2549" s="85"/>
      <c r="T2549" s="85"/>
      <c r="U2549" s="85"/>
      <c r="V2549" s="85"/>
      <c r="W2549" s="85"/>
      <c r="X2549" s="85"/>
    </row>
    <row r="2550" spans="2:24" s="58" customFormat="1" ht="12" x14ac:dyDescent="0.2">
      <c r="B2550" s="91"/>
      <c r="E2550" s="92"/>
      <c r="F2550" s="93"/>
      <c r="G2550" s="94"/>
      <c r="H2550" s="94"/>
      <c r="I2550" s="94"/>
      <c r="J2550" s="94"/>
      <c r="K2550" s="93"/>
      <c r="L2550" s="86"/>
      <c r="M2550" s="161"/>
      <c r="N2550" s="86"/>
      <c r="O2550" s="86"/>
      <c r="P2550" s="86"/>
      <c r="Q2550" s="85"/>
      <c r="S2550" s="85"/>
      <c r="T2550" s="85"/>
      <c r="U2550" s="85"/>
      <c r="V2550" s="85"/>
      <c r="W2550" s="85"/>
      <c r="X2550" s="85"/>
    </row>
    <row r="2551" spans="2:24" s="58" customFormat="1" ht="12" x14ac:dyDescent="0.2">
      <c r="B2551" s="91"/>
      <c r="E2551" s="92"/>
      <c r="F2551" s="93"/>
      <c r="G2551" s="94"/>
      <c r="H2551" s="94"/>
      <c r="I2551" s="94"/>
      <c r="J2551" s="94"/>
      <c r="K2551" s="93"/>
      <c r="L2551" s="86"/>
      <c r="M2551" s="161"/>
      <c r="N2551" s="86"/>
      <c r="O2551" s="86"/>
      <c r="P2551" s="86"/>
      <c r="Q2551" s="85"/>
      <c r="S2551" s="85"/>
      <c r="T2551" s="85"/>
      <c r="U2551" s="85"/>
      <c r="V2551" s="85"/>
      <c r="W2551" s="85"/>
      <c r="X2551" s="85"/>
    </row>
    <row r="2552" spans="2:24" s="58" customFormat="1" ht="12" x14ac:dyDescent="0.2">
      <c r="B2552" s="91"/>
      <c r="E2552" s="92"/>
      <c r="F2552" s="93"/>
      <c r="G2552" s="94"/>
      <c r="H2552" s="94"/>
      <c r="I2552" s="94"/>
      <c r="J2552" s="94"/>
      <c r="K2552" s="93"/>
      <c r="L2552" s="86"/>
      <c r="M2552" s="161"/>
      <c r="N2552" s="86"/>
      <c r="O2552" s="86"/>
      <c r="P2552" s="86"/>
      <c r="Q2552" s="85"/>
      <c r="S2552" s="85"/>
      <c r="T2552" s="85"/>
      <c r="U2552" s="85"/>
      <c r="V2552" s="85"/>
      <c r="W2552" s="85"/>
      <c r="X2552" s="85"/>
    </row>
    <row r="2553" spans="2:24" s="58" customFormat="1" ht="12" x14ac:dyDescent="0.2">
      <c r="B2553" s="91"/>
      <c r="E2553" s="92"/>
      <c r="F2553" s="93"/>
      <c r="G2553" s="94"/>
      <c r="H2553" s="94"/>
      <c r="I2553" s="94"/>
      <c r="J2553" s="94"/>
      <c r="K2553" s="93"/>
      <c r="L2553" s="86"/>
      <c r="M2553" s="161"/>
      <c r="N2553" s="86"/>
      <c r="O2553" s="86"/>
      <c r="P2553" s="86"/>
      <c r="Q2553" s="85"/>
      <c r="S2553" s="85"/>
      <c r="T2553" s="85"/>
      <c r="U2553" s="85"/>
      <c r="V2553" s="85"/>
      <c r="W2553" s="85"/>
      <c r="X2553" s="85"/>
    </row>
    <row r="2554" spans="2:24" s="58" customFormat="1" ht="12" x14ac:dyDescent="0.2">
      <c r="B2554" s="91"/>
      <c r="E2554" s="92"/>
      <c r="F2554" s="93"/>
      <c r="G2554" s="94"/>
      <c r="H2554" s="94"/>
      <c r="I2554" s="94"/>
      <c r="J2554" s="94"/>
      <c r="K2554" s="93"/>
      <c r="L2554" s="86"/>
      <c r="M2554" s="161"/>
      <c r="N2554" s="86"/>
      <c r="O2554" s="86"/>
      <c r="P2554" s="86"/>
      <c r="Q2554" s="85"/>
      <c r="S2554" s="85"/>
      <c r="T2554" s="85"/>
      <c r="U2554" s="85"/>
      <c r="V2554" s="85"/>
      <c r="W2554" s="85"/>
      <c r="X2554" s="85"/>
    </row>
    <row r="2555" spans="2:24" s="58" customFormat="1" ht="12" x14ac:dyDescent="0.2">
      <c r="B2555" s="91"/>
      <c r="E2555" s="92"/>
      <c r="F2555" s="93"/>
      <c r="G2555" s="94"/>
      <c r="H2555" s="94"/>
      <c r="I2555" s="94"/>
      <c r="J2555" s="94"/>
      <c r="K2555" s="93"/>
      <c r="L2555" s="86"/>
      <c r="M2555" s="161"/>
      <c r="N2555" s="86"/>
      <c r="O2555" s="86"/>
      <c r="P2555" s="86"/>
      <c r="Q2555" s="85"/>
      <c r="S2555" s="85"/>
      <c r="T2555" s="85"/>
      <c r="U2555" s="85"/>
      <c r="V2555" s="85"/>
      <c r="W2555" s="85"/>
      <c r="X2555" s="85"/>
    </row>
    <row r="2556" spans="2:24" s="58" customFormat="1" ht="12" x14ac:dyDescent="0.2">
      <c r="B2556" s="91"/>
      <c r="E2556" s="92"/>
      <c r="F2556" s="93"/>
      <c r="G2556" s="94"/>
      <c r="H2556" s="94"/>
      <c r="I2556" s="94"/>
      <c r="J2556" s="94"/>
      <c r="K2556" s="93"/>
      <c r="L2556" s="86"/>
      <c r="M2556" s="161"/>
      <c r="N2556" s="86"/>
      <c r="O2556" s="86"/>
      <c r="P2556" s="86"/>
      <c r="Q2556" s="85"/>
      <c r="S2556" s="85"/>
      <c r="T2556" s="85"/>
      <c r="U2556" s="85"/>
      <c r="V2556" s="85"/>
      <c r="W2556" s="85"/>
      <c r="X2556" s="85"/>
    </row>
    <row r="2557" spans="2:24" s="58" customFormat="1" ht="12" x14ac:dyDescent="0.2">
      <c r="B2557" s="91"/>
      <c r="E2557" s="92"/>
      <c r="F2557" s="93"/>
      <c r="G2557" s="94"/>
      <c r="H2557" s="94"/>
      <c r="I2557" s="94"/>
      <c r="J2557" s="94"/>
      <c r="K2557" s="93"/>
      <c r="L2557" s="86"/>
      <c r="M2557" s="161"/>
      <c r="N2557" s="86"/>
      <c r="O2557" s="86"/>
      <c r="P2557" s="86"/>
      <c r="Q2557" s="85"/>
      <c r="S2557" s="85"/>
      <c r="T2557" s="85"/>
      <c r="U2557" s="85"/>
      <c r="V2557" s="85"/>
      <c r="W2557" s="85"/>
      <c r="X2557" s="85"/>
    </row>
    <row r="2558" spans="2:24" s="58" customFormat="1" ht="12" x14ac:dyDescent="0.2">
      <c r="B2558" s="91"/>
      <c r="E2558" s="92"/>
      <c r="F2558" s="93"/>
      <c r="G2558" s="94"/>
      <c r="H2558" s="94"/>
      <c r="I2558" s="94"/>
      <c r="J2558" s="94"/>
      <c r="K2558" s="93"/>
      <c r="L2558" s="86"/>
      <c r="M2558" s="161"/>
      <c r="N2558" s="86"/>
      <c r="O2558" s="86"/>
      <c r="P2558" s="86"/>
      <c r="Q2558" s="85"/>
      <c r="S2558" s="85"/>
      <c r="T2558" s="85"/>
      <c r="U2558" s="85"/>
      <c r="V2558" s="85"/>
      <c r="W2558" s="85"/>
      <c r="X2558" s="85"/>
    </row>
    <row r="2559" spans="2:24" s="58" customFormat="1" ht="12" x14ac:dyDescent="0.2">
      <c r="B2559" s="91"/>
      <c r="E2559" s="92"/>
      <c r="F2559" s="93"/>
      <c r="G2559" s="94"/>
      <c r="H2559" s="94"/>
      <c r="I2559" s="94"/>
      <c r="J2559" s="94"/>
      <c r="K2559" s="93"/>
      <c r="L2559" s="86"/>
      <c r="M2559" s="161"/>
      <c r="N2559" s="86"/>
      <c r="O2559" s="86"/>
      <c r="P2559" s="86"/>
      <c r="Q2559" s="85"/>
      <c r="S2559" s="85"/>
      <c r="T2559" s="85"/>
      <c r="U2559" s="85"/>
      <c r="V2559" s="85"/>
      <c r="W2559" s="85"/>
      <c r="X2559" s="85"/>
    </row>
    <row r="2560" spans="2:24" s="58" customFormat="1" ht="12" x14ac:dyDescent="0.2">
      <c r="B2560" s="91"/>
      <c r="E2560" s="92"/>
      <c r="F2560" s="93"/>
      <c r="G2560" s="94"/>
      <c r="H2560" s="94"/>
      <c r="I2560" s="94"/>
      <c r="J2560" s="94"/>
      <c r="K2560" s="93"/>
      <c r="L2560" s="86"/>
      <c r="M2560" s="161"/>
      <c r="N2560" s="86"/>
      <c r="O2560" s="86"/>
      <c r="P2560" s="86"/>
      <c r="Q2560" s="85"/>
      <c r="S2560" s="85"/>
      <c r="T2560" s="85"/>
      <c r="U2560" s="85"/>
      <c r="V2560" s="85"/>
      <c r="W2560" s="85"/>
      <c r="X2560" s="85"/>
    </row>
    <row r="2561" spans="2:24" s="58" customFormat="1" ht="12" x14ac:dyDescent="0.2">
      <c r="B2561" s="91"/>
      <c r="E2561" s="92"/>
      <c r="F2561" s="93"/>
      <c r="G2561" s="94"/>
      <c r="H2561" s="94"/>
      <c r="I2561" s="94"/>
      <c r="J2561" s="94"/>
      <c r="K2561" s="93"/>
      <c r="L2561" s="86"/>
      <c r="M2561" s="161"/>
      <c r="N2561" s="86"/>
      <c r="O2561" s="86"/>
      <c r="P2561" s="86"/>
      <c r="Q2561" s="85"/>
      <c r="S2561" s="85"/>
      <c r="T2561" s="85"/>
      <c r="U2561" s="85"/>
      <c r="V2561" s="85"/>
      <c r="W2561" s="85"/>
      <c r="X2561" s="85"/>
    </row>
    <row r="2562" spans="2:24" s="58" customFormat="1" ht="12" x14ac:dyDescent="0.2">
      <c r="B2562" s="91"/>
      <c r="E2562" s="92"/>
      <c r="F2562" s="93"/>
      <c r="G2562" s="94"/>
      <c r="H2562" s="94"/>
      <c r="I2562" s="94"/>
      <c r="J2562" s="94"/>
      <c r="K2562" s="93"/>
      <c r="L2562" s="86"/>
      <c r="M2562" s="161"/>
      <c r="N2562" s="86"/>
      <c r="O2562" s="86"/>
      <c r="P2562" s="86"/>
      <c r="Q2562" s="85"/>
      <c r="S2562" s="85"/>
      <c r="T2562" s="85"/>
      <c r="U2562" s="85"/>
      <c r="V2562" s="85"/>
      <c r="W2562" s="85"/>
      <c r="X2562" s="85"/>
    </row>
    <row r="2563" spans="2:24" s="58" customFormat="1" ht="12" x14ac:dyDescent="0.2">
      <c r="B2563" s="91"/>
      <c r="E2563" s="92"/>
      <c r="F2563" s="93"/>
      <c r="G2563" s="94"/>
      <c r="H2563" s="94"/>
      <c r="I2563" s="94"/>
      <c r="J2563" s="94"/>
      <c r="K2563" s="93"/>
      <c r="L2563" s="86"/>
      <c r="M2563" s="161"/>
      <c r="N2563" s="86"/>
      <c r="O2563" s="86"/>
      <c r="P2563" s="86"/>
      <c r="Q2563" s="85"/>
      <c r="S2563" s="85"/>
      <c r="T2563" s="85"/>
      <c r="U2563" s="85"/>
      <c r="V2563" s="85"/>
      <c r="W2563" s="85"/>
      <c r="X2563" s="85"/>
    </row>
    <row r="2564" spans="2:24" s="58" customFormat="1" ht="12" x14ac:dyDescent="0.2">
      <c r="B2564" s="91"/>
      <c r="E2564" s="92"/>
      <c r="F2564" s="93"/>
      <c r="G2564" s="94"/>
      <c r="H2564" s="94"/>
      <c r="I2564" s="94"/>
      <c r="J2564" s="94"/>
      <c r="K2564" s="93"/>
      <c r="L2564" s="86"/>
      <c r="M2564" s="161"/>
      <c r="N2564" s="86"/>
      <c r="O2564" s="86"/>
      <c r="P2564" s="86"/>
      <c r="Q2564" s="85"/>
      <c r="S2564" s="85"/>
      <c r="T2564" s="85"/>
      <c r="U2564" s="85"/>
      <c r="V2564" s="85"/>
      <c r="W2564" s="85"/>
      <c r="X2564" s="85"/>
    </row>
    <row r="2565" spans="2:24" s="58" customFormat="1" ht="12" x14ac:dyDescent="0.2">
      <c r="B2565" s="91"/>
      <c r="E2565" s="92"/>
      <c r="F2565" s="93"/>
      <c r="G2565" s="94"/>
      <c r="H2565" s="94"/>
      <c r="I2565" s="94"/>
      <c r="J2565" s="94"/>
      <c r="K2565" s="93"/>
      <c r="L2565" s="86"/>
      <c r="M2565" s="161"/>
      <c r="N2565" s="86"/>
      <c r="O2565" s="86"/>
      <c r="P2565" s="86"/>
      <c r="Q2565" s="85"/>
      <c r="S2565" s="85"/>
      <c r="T2565" s="85"/>
      <c r="U2565" s="85"/>
      <c r="V2565" s="85"/>
      <c r="W2565" s="85"/>
      <c r="X2565" s="85"/>
    </row>
    <row r="2566" spans="2:24" s="58" customFormat="1" ht="12" x14ac:dyDescent="0.2">
      <c r="B2566" s="91"/>
      <c r="E2566" s="92"/>
      <c r="F2566" s="93"/>
      <c r="G2566" s="94"/>
      <c r="H2566" s="94"/>
      <c r="I2566" s="94"/>
      <c r="J2566" s="94"/>
      <c r="K2566" s="93"/>
      <c r="L2566" s="86"/>
      <c r="M2566" s="161"/>
      <c r="N2566" s="86"/>
      <c r="O2566" s="86"/>
      <c r="P2566" s="86"/>
      <c r="Q2566" s="85"/>
      <c r="S2566" s="85"/>
      <c r="T2566" s="85"/>
      <c r="U2566" s="85"/>
      <c r="V2566" s="85"/>
      <c r="W2566" s="85"/>
      <c r="X2566" s="85"/>
    </row>
    <row r="2567" spans="2:24" s="58" customFormat="1" ht="12" x14ac:dyDescent="0.2">
      <c r="B2567" s="91"/>
      <c r="E2567" s="92"/>
      <c r="F2567" s="93"/>
      <c r="G2567" s="94"/>
      <c r="H2567" s="94"/>
      <c r="I2567" s="94"/>
      <c r="J2567" s="94"/>
      <c r="K2567" s="93"/>
      <c r="L2567" s="86"/>
      <c r="M2567" s="161"/>
      <c r="N2567" s="86"/>
      <c r="O2567" s="86"/>
      <c r="P2567" s="86"/>
      <c r="Q2567" s="85"/>
      <c r="S2567" s="85"/>
      <c r="T2567" s="85"/>
      <c r="U2567" s="85"/>
      <c r="V2567" s="85"/>
      <c r="W2567" s="85"/>
      <c r="X2567" s="85"/>
    </row>
    <row r="2568" spans="2:24" s="58" customFormat="1" ht="12" x14ac:dyDescent="0.2">
      <c r="B2568" s="91"/>
      <c r="E2568" s="92"/>
      <c r="F2568" s="93"/>
      <c r="G2568" s="94"/>
      <c r="H2568" s="94"/>
      <c r="I2568" s="94"/>
      <c r="J2568" s="94"/>
      <c r="K2568" s="93"/>
      <c r="L2568" s="86"/>
      <c r="M2568" s="161"/>
      <c r="N2568" s="86"/>
      <c r="O2568" s="86"/>
      <c r="P2568" s="86"/>
      <c r="Q2568" s="85"/>
      <c r="S2568" s="85"/>
      <c r="T2568" s="85"/>
      <c r="U2568" s="85"/>
      <c r="V2568" s="85"/>
      <c r="W2568" s="85"/>
      <c r="X2568" s="85"/>
    </row>
    <row r="2569" spans="2:24" s="58" customFormat="1" ht="12" x14ac:dyDescent="0.2">
      <c r="B2569" s="91"/>
      <c r="E2569" s="92"/>
      <c r="F2569" s="93"/>
      <c r="G2569" s="94"/>
      <c r="H2569" s="94"/>
      <c r="I2569" s="94"/>
      <c r="J2569" s="94"/>
      <c r="K2569" s="93"/>
      <c r="L2569" s="86"/>
      <c r="M2569" s="161"/>
      <c r="N2569" s="86"/>
      <c r="O2569" s="86"/>
      <c r="P2569" s="86"/>
      <c r="Q2569" s="85"/>
      <c r="S2569" s="85"/>
      <c r="T2569" s="85"/>
      <c r="U2569" s="85"/>
      <c r="V2569" s="85"/>
      <c r="W2569" s="85"/>
      <c r="X2569" s="85"/>
    </row>
    <row r="2570" spans="2:24" s="58" customFormat="1" ht="12" x14ac:dyDescent="0.2">
      <c r="B2570" s="91"/>
      <c r="E2570" s="92"/>
      <c r="F2570" s="93"/>
      <c r="G2570" s="94"/>
      <c r="H2570" s="94"/>
      <c r="I2570" s="94"/>
      <c r="J2570" s="94"/>
      <c r="K2570" s="93"/>
      <c r="L2570" s="86"/>
      <c r="M2570" s="161"/>
      <c r="N2570" s="86"/>
      <c r="O2570" s="86"/>
      <c r="P2570" s="86"/>
      <c r="Q2570" s="85"/>
      <c r="S2570" s="85"/>
      <c r="T2570" s="85"/>
      <c r="U2570" s="85"/>
      <c r="V2570" s="85"/>
      <c r="W2570" s="85"/>
      <c r="X2570" s="85"/>
    </row>
    <row r="2571" spans="2:24" s="58" customFormat="1" ht="12" x14ac:dyDescent="0.2">
      <c r="B2571" s="91"/>
      <c r="E2571" s="92"/>
      <c r="F2571" s="93"/>
      <c r="G2571" s="94"/>
      <c r="H2571" s="94"/>
      <c r="I2571" s="94"/>
      <c r="J2571" s="94"/>
      <c r="K2571" s="93"/>
      <c r="L2571" s="86"/>
      <c r="M2571" s="161"/>
      <c r="N2571" s="86"/>
      <c r="O2571" s="86"/>
      <c r="P2571" s="86"/>
      <c r="Q2571" s="85"/>
      <c r="S2571" s="85"/>
      <c r="T2571" s="85"/>
      <c r="U2571" s="85"/>
      <c r="V2571" s="85"/>
      <c r="W2571" s="85"/>
      <c r="X2571" s="85"/>
    </row>
    <row r="2572" spans="2:24" s="58" customFormat="1" ht="12" x14ac:dyDescent="0.2">
      <c r="B2572" s="91"/>
      <c r="E2572" s="92"/>
      <c r="F2572" s="93"/>
      <c r="G2572" s="94"/>
      <c r="H2572" s="94"/>
      <c r="I2572" s="94"/>
      <c r="J2572" s="94"/>
      <c r="K2572" s="93"/>
      <c r="L2572" s="86"/>
      <c r="M2572" s="161"/>
      <c r="N2572" s="86"/>
      <c r="O2572" s="86"/>
      <c r="P2572" s="86"/>
      <c r="Q2572" s="85"/>
      <c r="S2572" s="85"/>
      <c r="T2572" s="85"/>
      <c r="U2572" s="85"/>
      <c r="V2572" s="85"/>
      <c r="W2572" s="85"/>
      <c r="X2572" s="85"/>
    </row>
    <row r="2573" spans="2:24" s="58" customFormat="1" ht="12" x14ac:dyDescent="0.2">
      <c r="B2573" s="91"/>
      <c r="E2573" s="92"/>
      <c r="F2573" s="93"/>
      <c r="G2573" s="94"/>
      <c r="H2573" s="94"/>
      <c r="I2573" s="94"/>
      <c r="J2573" s="94"/>
      <c r="K2573" s="93"/>
      <c r="L2573" s="86"/>
      <c r="M2573" s="161"/>
      <c r="N2573" s="86"/>
      <c r="O2573" s="86"/>
      <c r="P2573" s="86"/>
      <c r="Q2573" s="85"/>
      <c r="S2573" s="85"/>
      <c r="T2573" s="85"/>
      <c r="U2573" s="85"/>
      <c r="V2573" s="85"/>
      <c r="W2573" s="85"/>
      <c r="X2573" s="85"/>
    </row>
    <row r="2574" spans="2:24" s="58" customFormat="1" ht="12" x14ac:dyDescent="0.2">
      <c r="B2574" s="91"/>
      <c r="E2574" s="92"/>
      <c r="F2574" s="93"/>
      <c r="G2574" s="94"/>
      <c r="H2574" s="94"/>
      <c r="I2574" s="94"/>
      <c r="J2574" s="94"/>
      <c r="K2574" s="93"/>
      <c r="L2574" s="86"/>
      <c r="M2574" s="161"/>
      <c r="N2574" s="86"/>
      <c r="O2574" s="86"/>
      <c r="P2574" s="86"/>
      <c r="Q2574" s="85"/>
      <c r="S2574" s="85"/>
      <c r="T2574" s="85"/>
      <c r="U2574" s="85"/>
      <c r="V2574" s="85"/>
      <c r="W2574" s="85"/>
      <c r="X2574" s="85"/>
    </row>
    <row r="2575" spans="2:24" s="58" customFormat="1" ht="12" x14ac:dyDescent="0.2">
      <c r="B2575" s="91"/>
      <c r="E2575" s="92"/>
      <c r="F2575" s="93"/>
      <c r="G2575" s="94"/>
      <c r="H2575" s="94"/>
      <c r="I2575" s="94"/>
      <c r="J2575" s="94"/>
      <c r="K2575" s="93"/>
      <c r="L2575" s="86"/>
      <c r="M2575" s="161"/>
      <c r="N2575" s="86"/>
      <c r="O2575" s="86"/>
      <c r="P2575" s="86"/>
      <c r="Q2575" s="85"/>
      <c r="S2575" s="85"/>
      <c r="T2575" s="85"/>
      <c r="U2575" s="85"/>
      <c r="V2575" s="85"/>
      <c r="W2575" s="85"/>
      <c r="X2575" s="85"/>
    </row>
    <row r="2576" spans="2:24" s="58" customFormat="1" ht="12" x14ac:dyDescent="0.2">
      <c r="B2576" s="91"/>
      <c r="E2576" s="92"/>
      <c r="F2576" s="93"/>
      <c r="G2576" s="94"/>
      <c r="H2576" s="94"/>
      <c r="I2576" s="94"/>
      <c r="J2576" s="94"/>
      <c r="K2576" s="93"/>
      <c r="L2576" s="86"/>
      <c r="M2576" s="161"/>
      <c r="N2576" s="86"/>
      <c r="O2576" s="86"/>
      <c r="P2576" s="86"/>
      <c r="Q2576" s="85"/>
      <c r="S2576" s="85"/>
      <c r="T2576" s="85"/>
      <c r="U2576" s="85"/>
      <c r="V2576" s="85"/>
      <c r="W2576" s="85"/>
      <c r="X2576" s="85"/>
    </row>
    <row r="2577" spans="2:24" s="58" customFormat="1" ht="12" x14ac:dyDescent="0.2">
      <c r="B2577" s="91"/>
      <c r="E2577" s="92"/>
      <c r="F2577" s="93"/>
      <c r="G2577" s="94"/>
      <c r="H2577" s="94"/>
      <c r="I2577" s="94"/>
      <c r="J2577" s="94"/>
      <c r="K2577" s="93"/>
      <c r="L2577" s="86"/>
      <c r="M2577" s="161"/>
      <c r="N2577" s="86"/>
      <c r="O2577" s="86"/>
      <c r="P2577" s="86"/>
      <c r="Q2577" s="85"/>
      <c r="S2577" s="85"/>
      <c r="T2577" s="85"/>
      <c r="U2577" s="85"/>
      <c r="V2577" s="85"/>
      <c r="W2577" s="85"/>
      <c r="X2577" s="85"/>
    </row>
    <row r="2578" spans="2:24" s="58" customFormat="1" ht="12" x14ac:dyDescent="0.2">
      <c r="B2578" s="91"/>
      <c r="E2578" s="92"/>
      <c r="F2578" s="93"/>
      <c r="G2578" s="94"/>
      <c r="H2578" s="94"/>
      <c r="I2578" s="94"/>
      <c r="J2578" s="94"/>
      <c r="K2578" s="93"/>
      <c r="L2578" s="86"/>
      <c r="M2578" s="161"/>
      <c r="N2578" s="86"/>
      <c r="O2578" s="86"/>
      <c r="P2578" s="86"/>
      <c r="Q2578" s="85"/>
      <c r="S2578" s="85"/>
      <c r="T2578" s="85"/>
      <c r="U2578" s="85"/>
      <c r="V2578" s="85"/>
      <c r="W2578" s="85"/>
      <c r="X2578" s="85"/>
    </row>
    <row r="2579" spans="2:24" s="58" customFormat="1" ht="12" x14ac:dyDescent="0.2">
      <c r="B2579" s="91"/>
      <c r="E2579" s="92"/>
      <c r="F2579" s="93"/>
      <c r="G2579" s="94"/>
      <c r="H2579" s="94"/>
      <c r="I2579" s="94"/>
      <c r="J2579" s="94"/>
      <c r="K2579" s="93"/>
      <c r="L2579" s="86"/>
      <c r="M2579" s="161"/>
      <c r="N2579" s="86"/>
      <c r="O2579" s="86"/>
      <c r="P2579" s="86"/>
      <c r="Q2579" s="85"/>
      <c r="S2579" s="85"/>
      <c r="T2579" s="85"/>
      <c r="U2579" s="85"/>
      <c r="V2579" s="85"/>
      <c r="W2579" s="85"/>
      <c r="X2579" s="85"/>
    </row>
    <row r="2580" spans="2:24" s="58" customFormat="1" ht="12" x14ac:dyDescent="0.2">
      <c r="B2580" s="91"/>
      <c r="E2580" s="92"/>
      <c r="F2580" s="93"/>
      <c r="G2580" s="94"/>
      <c r="H2580" s="94"/>
      <c r="I2580" s="94"/>
      <c r="J2580" s="94"/>
      <c r="K2580" s="93"/>
      <c r="L2580" s="86"/>
      <c r="M2580" s="161"/>
      <c r="N2580" s="86"/>
      <c r="O2580" s="86"/>
      <c r="P2580" s="86"/>
      <c r="Q2580" s="85"/>
      <c r="S2580" s="85"/>
      <c r="T2580" s="85"/>
      <c r="U2580" s="85"/>
      <c r="V2580" s="85"/>
      <c r="W2580" s="85"/>
      <c r="X2580" s="85"/>
    </row>
    <row r="2581" spans="2:24" s="58" customFormat="1" ht="12" x14ac:dyDescent="0.2">
      <c r="B2581" s="91"/>
      <c r="E2581" s="92"/>
      <c r="F2581" s="93"/>
      <c r="G2581" s="94"/>
      <c r="H2581" s="94"/>
      <c r="I2581" s="94"/>
      <c r="J2581" s="94"/>
      <c r="K2581" s="93"/>
      <c r="L2581" s="86"/>
      <c r="M2581" s="161"/>
      <c r="N2581" s="86"/>
      <c r="O2581" s="86"/>
      <c r="P2581" s="86"/>
      <c r="Q2581" s="85"/>
      <c r="S2581" s="85"/>
      <c r="T2581" s="85"/>
      <c r="U2581" s="85"/>
      <c r="V2581" s="85"/>
      <c r="W2581" s="85"/>
      <c r="X2581" s="85"/>
    </row>
    <row r="2582" spans="2:24" s="58" customFormat="1" ht="12" x14ac:dyDescent="0.2">
      <c r="B2582" s="91"/>
      <c r="E2582" s="92"/>
      <c r="F2582" s="93"/>
      <c r="G2582" s="94"/>
      <c r="H2582" s="94"/>
      <c r="I2582" s="94"/>
      <c r="J2582" s="94"/>
      <c r="K2582" s="93"/>
      <c r="L2582" s="86"/>
      <c r="M2582" s="161"/>
      <c r="N2582" s="86"/>
      <c r="O2582" s="86"/>
      <c r="P2582" s="86"/>
      <c r="Q2582" s="85"/>
      <c r="S2582" s="85"/>
      <c r="T2582" s="85"/>
      <c r="U2582" s="85"/>
      <c r="V2582" s="85"/>
      <c r="W2582" s="85"/>
      <c r="X2582" s="85"/>
    </row>
    <row r="2583" spans="2:24" s="58" customFormat="1" ht="12" x14ac:dyDescent="0.2">
      <c r="B2583" s="91"/>
      <c r="E2583" s="92"/>
      <c r="F2583" s="93"/>
      <c r="G2583" s="94"/>
      <c r="H2583" s="94"/>
      <c r="I2583" s="94"/>
      <c r="J2583" s="94"/>
      <c r="K2583" s="93"/>
      <c r="L2583" s="86"/>
      <c r="M2583" s="161"/>
      <c r="N2583" s="86"/>
      <c r="O2583" s="86"/>
      <c r="P2583" s="86"/>
      <c r="Q2583" s="85"/>
      <c r="S2583" s="85"/>
      <c r="T2583" s="85"/>
      <c r="U2583" s="85"/>
      <c r="V2583" s="85"/>
      <c r="W2583" s="85"/>
      <c r="X2583" s="85"/>
    </row>
    <row r="2584" spans="2:24" s="58" customFormat="1" ht="12" x14ac:dyDescent="0.2">
      <c r="B2584" s="91"/>
      <c r="E2584" s="92"/>
      <c r="F2584" s="93"/>
      <c r="G2584" s="94"/>
      <c r="H2584" s="94"/>
      <c r="I2584" s="94"/>
      <c r="J2584" s="94"/>
      <c r="K2584" s="93"/>
      <c r="L2584" s="86"/>
      <c r="M2584" s="161"/>
      <c r="N2584" s="86"/>
      <c r="O2584" s="86"/>
      <c r="P2584" s="86"/>
      <c r="Q2584" s="85"/>
      <c r="S2584" s="85"/>
      <c r="T2584" s="85"/>
      <c r="U2584" s="85"/>
      <c r="V2584" s="85"/>
      <c r="W2584" s="85"/>
      <c r="X2584" s="85"/>
    </row>
    <row r="2585" spans="2:24" s="58" customFormat="1" ht="12" x14ac:dyDescent="0.2">
      <c r="B2585" s="91"/>
      <c r="E2585" s="92"/>
      <c r="F2585" s="93"/>
      <c r="G2585" s="94"/>
      <c r="H2585" s="94"/>
      <c r="I2585" s="94"/>
      <c r="J2585" s="94"/>
      <c r="K2585" s="93"/>
      <c r="L2585" s="86"/>
      <c r="M2585" s="161"/>
      <c r="N2585" s="86"/>
      <c r="O2585" s="86"/>
      <c r="P2585" s="86"/>
      <c r="Q2585" s="85"/>
      <c r="S2585" s="85"/>
      <c r="T2585" s="85"/>
      <c r="U2585" s="85"/>
      <c r="V2585" s="85"/>
      <c r="W2585" s="85"/>
      <c r="X2585" s="85"/>
    </row>
    <row r="2586" spans="2:24" s="58" customFormat="1" ht="12" x14ac:dyDescent="0.2">
      <c r="B2586" s="91"/>
      <c r="E2586" s="92"/>
      <c r="F2586" s="93"/>
      <c r="G2586" s="94"/>
      <c r="H2586" s="94"/>
      <c r="I2586" s="94"/>
      <c r="J2586" s="94"/>
      <c r="K2586" s="93"/>
      <c r="L2586" s="86"/>
      <c r="M2586" s="161"/>
      <c r="N2586" s="86"/>
      <c r="O2586" s="86"/>
      <c r="P2586" s="86"/>
      <c r="Q2586" s="85"/>
      <c r="S2586" s="85"/>
      <c r="T2586" s="85"/>
      <c r="U2586" s="85"/>
      <c r="V2586" s="85"/>
      <c r="W2586" s="85"/>
      <c r="X2586" s="85"/>
    </row>
    <row r="2587" spans="2:24" s="58" customFormat="1" ht="12" x14ac:dyDescent="0.2">
      <c r="B2587" s="91"/>
      <c r="E2587" s="92"/>
      <c r="F2587" s="93"/>
      <c r="G2587" s="94"/>
      <c r="H2587" s="94"/>
      <c r="I2587" s="94"/>
      <c r="J2587" s="94"/>
      <c r="K2587" s="93"/>
      <c r="L2587" s="86"/>
      <c r="M2587" s="161"/>
      <c r="N2587" s="86"/>
      <c r="O2587" s="86"/>
      <c r="P2587" s="86"/>
      <c r="Q2587" s="85"/>
      <c r="S2587" s="85"/>
      <c r="T2587" s="85"/>
      <c r="U2587" s="85"/>
      <c r="V2587" s="85"/>
      <c r="W2587" s="85"/>
      <c r="X2587" s="85"/>
    </row>
    <row r="2588" spans="2:24" s="58" customFormat="1" ht="12" x14ac:dyDescent="0.2">
      <c r="B2588" s="91"/>
      <c r="E2588" s="92"/>
      <c r="F2588" s="93"/>
      <c r="G2588" s="94"/>
      <c r="H2588" s="94"/>
      <c r="I2588" s="94"/>
      <c r="J2588" s="94"/>
      <c r="K2588" s="93"/>
      <c r="L2588" s="86"/>
      <c r="M2588" s="161"/>
      <c r="N2588" s="86"/>
      <c r="O2588" s="86"/>
      <c r="P2588" s="86"/>
      <c r="Q2588" s="85"/>
      <c r="S2588" s="85"/>
      <c r="T2588" s="85"/>
      <c r="U2588" s="85"/>
      <c r="V2588" s="85"/>
      <c r="W2588" s="85"/>
      <c r="X2588" s="85"/>
    </row>
    <row r="2589" spans="2:24" ht="11.45" customHeight="1" x14ac:dyDescent="0.2">
      <c r="D2589" s="58"/>
      <c r="H2589" s="58"/>
      <c r="I2589" s="156"/>
      <c r="K2589" s="58"/>
      <c r="M2589" s="162"/>
      <c r="N2589" s="163"/>
    </row>
    <row r="2590" spans="2:24" ht="11.45" customHeight="1" x14ac:dyDescent="0.2">
      <c r="D2590" s="58"/>
      <c r="G2590" s="58"/>
      <c r="H2590" s="58"/>
      <c r="I2590" s="156"/>
      <c r="K2590" s="58"/>
      <c r="M2590" s="163"/>
      <c r="N2590" s="163"/>
      <c r="Q2590" s="88"/>
      <c r="S2590" s="88"/>
      <c r="T2590" s="88"/>
      <c r="U2590" s="88"/>
      <c r="V2590" s="88"/>
      <c r="W2590" s="88"/>
      <c r="X2590" s="88"/>
    </row>
    <row r="2591" spans="2:24" ht="11.45" customHeight="1" x14ac:dyDescent="0.2">
      <c r="D2591" s="58"/>
      <c r="G2591" s="58"/>
      <c r="H2591" s="58"/>
      <c r="I2591" s="156"/>
      <c r="K2591" s="58"/>
      <c r="M2591" s="163"/>
      <c r="N2591" s="163"/>
    </row>
    <row r="2592" spans="2:24" ht="11.45" customHeight="1" x14ac:dyDescent="0.2">
      <c r="D2592" s="58"/>
      <c r="G2592" s="58"/>
      <c r="H2592" s="58"/>
      <c r="I2592" s="156"/>
      <c r="K2592" s="58"/>
      <c r="M2592" s="163"/>
      <c r="N2592" s="163"/>
      <c r="S2592" s="89"/>
      <c r="T2592" s="89"/>
    </row>
    <row r="2593" spans="4:19" ht="11.45" customHeight="1" x14ac:dyDescent="0.2">
      <c r="D2593" s="58"/>
      <c r="G2593" s="58"/>
      <c r="H2593" s="58"/>
      <c r="I2593" s="156"/>
      <c r="K2593" s="58"/>
      <c r="M2593" s="163"/>
      <c r="N2593" s="163"/>
    </row>
    <row r="2594" spans="4:19" ht="11.45" customHeight="1" x14ac:dyDescent="0.2">
      <c r="D2594" s="58"/>
      <c r="G2594" s="58"/>
      <c r="H2594" s="58"/>
      <c r="I2594" s="156"/>
      <c r="K2594" s="58"/>
      <c r="M2594" s="163"/>
      <c r="N2594" s="163"/>
      <c r="S2594" s="90"/>
    </row>
    <row r="2595" spans="4:19" ht="11.45" customHeight="1" x14ac:dyDescent="0.2">
      <c r="D2595" s="58"/>
      <c r="G2595" s="58"/>
      <c r="H2595" s="58"/>
      <c r="I2595" s="156"/>
      <c r="K2595" s="58"/>
      <c r="M2595" s="163"/>
      <c r="N2595" s="163"/>
    </row>
    <row r="2596" spans="4:19" ht="11.45" customHeight="1" x14ac:dyDescent="0.2">
      <c r="D2596" s="58"/>
      <c r="G2596" s="58"/>
      <c r="H2596" s="58"/>
      <c r="I2596" s="156"/>
      <c r="K2596" s="58"/>
      <c r="M2596" s="163"/>
      <c r="N2596" s="163"/>
    </row>
    <row r="2597" spans="4:19" ht="11.45" customHeight="1" x14ac:dyDescent="0.2">
      <c r="D2597" s="58"/>
      <c r="G2597" s="58"/>
      <c r="H2597" s="58"/>
      <c r="I2597" s="156"/>
      <c r="K2597" s="58"/>
      <c r="M2597" s="163"/>
      <c r="N2597" s="163"/>
    </row>
    <row r="2598" spans="4:19" ht="11.45" customHeight="1" x14ac:dyDescent="0.2">
      <c r="D2598" s="58"/>
      <c r="G2598" s="58"/>
      <c r="H2598" s="58"/>
      <c r="I2598" s="156"/>
      <c r="K2598" s="58"/>
      <c r="M2598" s="163"/>
      <c r="N2598" s="163"/>
    </row>
    <row r="2599" spans="4:19" ht="11.45" customHeight="1" x14ac:dyDescent="0.2">
      <c r="D2599" s="58"/>
      <c r="G2599" s="58"/>
      <c r="H2599" s="58"/>
      <c r="I2599" s="156"/>
      <c r="K2599" s="58"/>
      <c r="M2599" s="163"/>
      <c r="N2599" s="163"/>
    </row>
    <row r="2600" spans="4:19" ht="11.45" customHeight="1" x14ac:dyDescent="0.2">
      <c r="D2600" s="58"/>
      <c r="G2600" s="58"/>
      <c r="H2600" s="58"/>
      <c r="I2600" s="156"/>
      <c r="K2600" s="58"/>
      <c r="M2600" s="163"/>
      <c r="N2600" s="163"/>
    </row>
    <row r="2601" spans="4:19" ht="11.45" customHeight="1" x14ac:dyDescent="0.2">
      <c r="D2601" s="58"/>
      <c r="G2601" s="58"/>
      <c r="H2601" s="58"/>
      <c r="I2601" s="156"/>
      <c r="K2601" s="58"/>
      <c r="M2601" s="163"/>
      <c r="N2601" s="163"/>
    </row>
    <row r="2602" spans="4:19" ht="11.45" customHeight="1" x14ac:dyDescent="0.2">
      <c r="D2602" s="58"/>
      <c r="G2602" s="58"/>
      <c r="H2602" s="58"/>
      <c r="I2602" s="156"/>
      <c r="K2602" s="58"/>
      <c r="M2602" s="163"/>
      <c r="N2602" s="163"/>
    </row>
    <row r="2603" spans="4:19" ht="11.45" customHeight="1" x14ac:dyDescent="0.2">
      <c r="D2603" s="58"/>
      <c r="G2603" s="58"/>
      <c r="H2603" s="58"/>
      <c r="I2603" s="156"/>
      <c r="K2603" s="58"/>
      <c r="M2603" s="163"/>
      <c r="N2603" s="163"/>
    </row>
    <row r="2604" spans="4:19" ht="11.45" customHeight="1" x14ac:dyDescent="0.2">
      <c r="D2604" s="58"/>
      <c r="G2604" s="58"/>
      <c r="H2604" s="58"/>
      <c r="I2604" s="156"/>
      <c r="K2604" s="58"/>
      <c r="M2604" s="163"/>
      <c r="N2604" s="163"/>
    </row>
    <row r="2605" spans="4:19" ht="11.45" customHeight="1" x14ac:dyDescent="0.2">
      <c r="D2605" s="58"/>
      <c r="G2605" s="58"/>
      <c r="H2605" s="58"/>
      <c r="I2605" s="156"/>
      <c r="K2605" s="58"/>
      <c r="M2605" s="163"/>
      <c r="N2605" s="163"/>
    </row>
    <row r="2606" spans="4:19" ht="11.45" customHeight="1" x14ac:dyDescent="0.2">
      <c r="D2606" s="58"/>
      <c r="G2606" s="58"/>
      <c r="H2606" s="58"/>
      <c r="I2606" s="156"/>
      <c r="K2606" s="58"/>
      <c r="M2606" s="163"/>
      <c r="N2606" s="163"/>
    </row>
    <row r="2607" spans="4:19" ht="11.45" customHeight="1" x14ac:dyDescent="0.2">
      <c r="D2607" s="58"/>
      <c r="G2607" s="58"/>
      <c r="H2607" s="58"/>
      <c r="I2607" s="156"/>
      <c r="K2607" s="58"/>
      <c r="M2607" s="163"/>
      <c r="N2607" s="163"/>
    </row>
    <row r="2608" spans="4:19" ht="11.45" customHeight="1" x14ac:dyDescent="0.2">
      <c r="D2608" s="58"/>
      <c r="G2608" s="58"/>
      <c r="H2608" s="58"/>
      <c r="I2608" s="156"/>
      <c r="K2608" s="58"/>
      <c r="M2608" s="163"/>
      <c r="N2608" s="163"/>
    </row>
    <row r="2609" spans="4:14" ht="11.45" customHeight="1" x14ac:dyDescent="0.2">
      <c r="D2609" s="58"/>
      <c r="G2609" s="58"/>
      <c r="H2609" s="58"/>
      <c r="I2609" s="156"/>
      <c r="K2609" s="58"/>
      <c r="M2609" s="163"/>
      <c r="N2609" s="163"/>
    </row>
    <row r="2610" spans="4:14" ht="11.45" customHeight="1" x14ac:dyDescent="0.2">
      <c r="D2610" s="58"/>
      <c r="G2610" s="58"/>
      <c r="H2610" s="58"/>
      <c r="I2610" s="156"/>
      <c r="K2610" s="58"/>
      <c r="M2610" s="163"/>
      <c r="N2610" s="163"/>
    </row>
    <row r="2611" spans="4:14" ht="11.45" customHeight="1" x14ac:dyDescent="0.2">
      <c r="D2611" s="58"/>
      <c r="G2611" s="58"/>
      <c r="H2611" s="58"/>
      <c r="I2611" s="156"/>
      <c r="K2611" s="58"/>
      <c r="M2611" s="163"/>
      <c r="N2611" s="163"/>
    </row>
    <row r="2612" spans="4:14" ht="11.45" customHeight="1" x14ac:dyDescent="0.2">
      <c r="D2612" s="58"/>
      <c r="G2612" s="58"/>
      <c r="H2612" s="58"/>
      <c r="I2612" s="156"/>
      <c r="K2612" s="58"/>
      <c r="M2612" s="163"/>
      <c r="N2612" s="163"/>
    </row>
    <row r="2613" spans="4:14" ht="11.45" customHeight="1" x14ac:dyDescent="0.2">
      <c r="D2613" s="58"/>
      <c r="G2613" s="58"/>
      <c r="H2613" s="58"/>
      <c r="I2613" s="156"/>
      <c r="K2613" s="58"/>
      <c r="M2613" s="163"/>
      <c r="N2613" s="163"/>
    </row>
    <row r="2614" spans="4:14" ht="11.45" customHeight="1" x14ac:dyDescent="0.2">
      <c r="D2614" s="58"/>
      <c r="G2614" s="58"/>
      <c r="H2614" s="58"/>
      <c r="I2614" s="156"/>
      <c r="K2614" s="58"/>
      <c r="M2614" s="163"/>
      <c r="N2614" s="163"/>
    </row>
    <row r="2615" spans="4:14" ht="11.45" customHeight="1" x14ac:dyDescent="0.2">
      <c r="D2615" s="58"/>
      <c r="G2615" s="58"/>
      <c r="H2615" s="58"/>
      <c r="I2615" s="156"/>
      <c r="K2615" s="58"/>
      <c r="M2615" s="163"/>
      <c r="N2615" s="163"/>
    </row>
    <row r="2616" spans="4:14" ht="11.45" customHeight="1" x14ac:dyDescent="0.2">
      <c r="D2616" s="58"/>
      <c r="G2616" s="58"/>
      <c r="H2616" s="58"/>
      <c r="I2616" s="156"/>
      <c r="K2616" s="58"/>
      <c r="M2616" s="163"/>
      <c r="N2616" s="163"/>
    </row>
    <row r="2617" spans="4:14" ht="11.45" customHeight="1" x14ac:dyDescent="0.2">
      <c r="D2617" s="58"/>
      <c r="G2617" s="58"/>
      <c r="H2617" s="58"/>
      <c r="I2617" s="156"/>
      <c r="K2617" s="58"/>
      <c r="M2617" s="163"/>
      <c r="N2617" s="163"/>
    </row>
    <row r="2618" spans="4:14" ht="11.45" customHeight="1" x14ac:dyDescent="0.2">
      <c r="D2618" s="58"/>
      <c r="G2618" s="58"/>
      <c r="H2618" s="58"/>
      <c r="I2618" s="156"/>
      <c r="K2618" s="58"/>
      <c r="M2618" s="163"/>
      <c r="N2618" s="163"/>
    </row>
    <row r="2619" spans="4:14" ht="11.45" customHeight="1" x14ac:dyDescent="0.2">
      <c r="D2619" s="58"/>
      <c r="G2619" s="58"/>
      <c r="H2619" s="58"/>
      <c r="I2619" s="156"/>
      <c r="K2619" s="58"/>
      <c r="M2619" s="163"/>
      <c r="N2619" s="163"/>
    </row>
    <row r="2620" spans="4:14" ht="11.45" customHeight="1" x14ac:dyDescent="0.2">
      <c r="D2620" s="58"/>
      <c r="G2620" s="58"/>
      <c r="H2620" s="58"/>
      <c r="I2620" s="156"/>
      <c r="K2620" s="58"/>
      <c r="M2620" s="163"/>
      <c r="N2620" s="163"/>
    </row>
    <row r="2621" spans="4:14" ht="11.45" customHeight="1" x14ac:dyDescent="0.2">
      <c r="D2621" s="58"/>
      <c r="G2621" s="58"/>
      <c r="H2621" s="58"/>
      <c r="I2621" s="156"/>
      <c r="K2621" s="58"/>
      <c r="M2621" s="163"/>
      <c r="N2621" s="163"/>
    </row>
    <row r="2622" spans="4:14" ht="11.45" customHeight="1" x14ac:dyDescent="0.2">
      <c r="D2622" s="58"/>
      <c r="G2622" s="58"/>
      <c r="H2622" s="58"/>
      <c r="I2622" s="156"/>
      <c r="K2622" s="58"/>
      <c r="M2622" s="163"/>
      <c r="N2622" s="163"/>
    </row>
    <row r="2623" spans="4:14" ht="11.45" customHeight="1" x14ac:dyDescent="0.2">
      <c r="D2623" s="58"/>
      <c r="G2623" s="58"/>
      <c r="H2623" s="58"/>
      <c r="I2623" s="156"/>
      <c r="K2623" s="58"/>
      <c r="M2623" s="163"/>
      <c r="N2623" s="163"/>
    </row>
    <row r="2624" spans="4:14" ht="11.45" customHeight="1" x14ac:dyDescent="0.2">
      <c r="D2624" s="58"/>
      <c r="G2624" s="58"/>
      <c r="H2624" s="58"/>
      <c r="I2624" s="156"/>
      <c r="K2624" s="58"/>
      <c r="M2624" s="163"/>
      <c r="N2624" s="163"/>
    </row>
    <row r="2625" spans="4:14" ht="11.45" customHeight="1" x14ac:dyDescent="0.2">
      <c r="D2625" s="58"/>
      <c r="G2625" s="58"/>
      <c r="H2625" s="58"/>
      <c r="I2625" s="156"/>
      <c r="K2625" s="58"/>
      <c r="M2625" s="163"/>
      <c r="N2625" s="163"/>
    </row>
    <row r="2626" spans="4:14" ht="11.45" customHeight="1" x14ac:dyDescent="0.2">
      <c r="D2626" s="58"/>
      <c r="G2626" s="58"/>
      <c r="H2626" s="58"/>
      <c r="I2626" s="156"/>
      <c r="K2626" s="58"/>
      <c r="M2626" s="163"/>
      <c r="N2626" s="163"/>
    </row>
    <row r="2627" spans="4:14" ht="11.45" customHeight="1" x14ac:dyDescent="0.2">
      <c r="D2627" s="58"/>
      <c r="G2627" s="58"/>
      <c r="H2627" s="58"/>
      <c r="I2627" s="156"/>
      <c r="K2627" s="58"/>
      <c r="M2627" s="163"/>
      <c r="N2627" s="163"/>
    </row>
    <row r="2628" spans="4:14" ht="11.45" customHeight="1" x14ac:dyDescent="0.2">
      <c r="D2628" s="58"/>
      <c r="G2628" s="58"/>
      <c r="H2628" s="58"/>
      <c r="I2628" s="156"/>
      <c r="K2628" s="58"/>
      <c r="M2628" s="163"/>
      <c r="N2628" s="163"/>
    </row>
    <row r="2629" spans="4:14" ht="11.45" customHeight="1" x14ac:dyDescent="0.2">
      <c r="D2629" s="58"/>
      <c r="G2629" s="58"/>
      <c r="H2629" s="58"/>
      <c r="I2629" s="156"/>
      <c r="K2629" s="58"/>
      <c r="M2629" s="163"/>
      <c r="N2629" s="163"/>
    </row>
    <row r="2630" spans="4:14" ht="11.45" customHeight="1" x14ac:dyDescent="0.2">
      <c r="D2630" s="58"/>
      <c r="G2630" s="58"/>
      <c r="H2630" s="58"/>
      <c r="I2630" s="156"/>
      <c r="K2630" s="58"/>
      <c r="M2630" s="163"/>
      <c r="N2630" s="163"/>
    </row>
    <row r="2631" spans="4:14" ht="11.45" customHeight="1" x14ac:dyDescent="0.2">
      <c r="D2631" s="58"/>
      <c r="G2631" s="58"/>
      <c r="H2631" s="58"/>
      <c r="I2631" s="156"/>
      <c r="K2631" s="58"/>
      <c r="M2631" s="163"/>
      <c r="N2631" s="163"/>
    </row>
    <row r="2632" spans="4:14" ht="11.45" customHeight="1" x14ac:dyDescent="0.2">
      <c r="D2632" s="58"/>
      <c r="G2632" s="58"/>
      <c r="H2632" s="58"/>
      <c r="I2632" s="156"/>
      <c r="K2632" s="58"/>
      <c r="M2632" s="163"/>
      <c r="N2632" s="163"/>
    </row>
    <row r="2633" spans="4:14" ht="11.45" customHeight="1" x14ac:dyDescent="0.2">
      <c r="D2633" s="58"/>
      <c r="G2633" s="58"/>
      <c r="H2633" s="58"/>
      <c r="I2633" s="156"/>
      <c r="K2633" s="58"/>
      <c r="M2633" s="163"/>
      <c r="N2633" s="163"/>
    </row>
    <row r="2634" spans="4:14" ht="11.45" customHeight="1" x14ac:dyDescent="0.2">
      <c r="D2634" s="58"/>
      <c r="G2634" s="58"/>
      <c r="H2634" s="58"/>
      <c r="I2634" s="156"/>
      <c r="K2634" s="58"/>
      <c r="M2634" s="163"/>
      <c r="N2634" s="163"/>
    </row>
    <row r="2635" spans="4:14" ht="11.45" customHeight="1" x14ac:dyDescent="0.2">
      <c r="D2635" s="58"/>
      <c r="G2635" s="58"/>
      <c r="H2635" s="58"/>
      <c r="I2635" s="156"/>
      <c r="K2635" s="58"/>
      <c r="M2635" s="163"/>
      <c r="N2635" s="163"/>
    </row>
    <row r="2636" spans="4:14" ht="11.45" customHeight="1" x14ac:dyDescent="0.2">
      <c r="D2636" s="58"/>
      <c r="G2636" s="58"/>
      <c r="H2636" s="58"/>
      <c r="I2636" s="156"/>
      <c r="K2636" s="58"/>
      <c r="M2636" s="163"/>
      <c r="N2636" s="163"/>
    </row>
    <row r="2637" spans="4:14" ht="11.45" customHeight="1" x14ac:dyDescent="0.2">
      <c r="D2637" s="58"/>
      <c r="G2637" s="58"/>
      <c r="H2637" s="58"/>
      <c r="I2637" s="156"/>
      <c r="K2637" s="58"/>
      <c r="M2637" s="163"/>
      <c r="N2637" s="163"/>
    </row>
    <row r="2638" spans="4:14" ht="11.45" customHeight="1" x14ac:dyDescent="0.2">
      <c r="D2638" s="58"/>
      <c r="G2638" s="58"/>
      <c r="H2638" s="58"/>
      <c r="I2638" s="156"/>
      <c r="K2638" s="58"/>
      <c r="M2638" s="163"/>
      <c r="N2638" s="163"/>
    </row>
    <row r="2639" spans="4:14" ht="11.45" customHeight="1" x14ac:dyDescent="0.2">
      <c r="D2639" s="58"/>
      <c r="G2639" s="58"/>
      <c r="H2639" s="58"/>
      <c r="I2639" s="156"/>
      <c r="K2639" s="58"/>
      <c r="M2639" s="163"/>
      <c r="N2639" s="163"/>
    </row>
    <row r="2640" spans="4:14" ht="11.45" customHeight="1" x14ac:dyDescent="0.2">
      <c r="D2640" s="58"/>
      <c r="G2640" s="58"/>
      <c r="H2640" s="58"/>
      <c r="I2640" s="156"/>
      <c r="K2640" s="58"/>
      <c r="M2640" s="163"/>
      <c r="N2640" s="163"/>
    </row>
    <row r="2641" spans="4:14" ht="11.45" customHeight="1" x14ac:dyDescent="0.2">
      <c r="D2641" s="58"/>
      <c r="G2641" s="58"/>
      <c r="H2641" s="58"/>
      <c r="I2641" s="156"/>
      <c r="K2641" s="58"/>
      <c r="M2641" s="163"/>
      <c r="N2641" s="163"/>
    </row>
    <row r="2642" spans="4:14" ht="11.45" customHeight="1" x14ac:dyDescent="0.2">
      <c r="D2642" s="58"/>
      <c r="G2642" s="58"/>
      <c r="H2642" s="58"/>
      <c r="I2642" s="156"/>
      <c r="K2642" s="58"/>
      <c r="M2642" s="163"/>
      <c r="N2642" s="163"/>
    </row>
    <row r="2643" spans="4:14" ht="11.45" customHeight="1" x14ac:dyDescent="0.2">
      <c r="D2643" s="58"/>
      <c r="G2643" s="58"/>
      <c r="H2643" s="58"/>
      <c r="I2643" s="156"/>
      <c r="K2643" s="58"/>
      <c r="M2643" s="163"/>
      <c r="N2643" s="163"/>
    </row>
    <row r="2644" spans="4:14" ht="11.45" customHeight="1" x14ac:dyDescent="0.2">
      <c r="D2644" s="58"/>
      <c r="G2644" s="58"/>
      <c r="H2644" s="58"/>
      <c r="I2644" s="156"/>
      <c r="K2644" s="58"/>
      <c r="M2644" s="163"/>
      <c r="N2644" s="163"/>
    </row>
    <row r="2645" spans="4:14" ht="11.45" customHeight="1" x14ac:dyDescent="0.2">
      <c r="D2645" s="58"/>
      <c r="G2645" s="58"/>
      <c r="H2645" s="58"/>
      <c r="I2645" s="156"/>
      <c r="K2645" s="58"/>
      <c r="M2645" s="163"/>
      <c r="N2645" s="163"/>
    </row>
    <row r="2646" spans="4:14" ht="11.45" customHeight="1" x14ac:dyDescent="0.2">
      <c r="D2646" s="58"/>
      <c r="G2646" s="58"/>
      <c r="H2646" s="58"/>
      <c r="I2646" s="156"/>
      <c r="K2646" s="58"/>
      <c r="M2646" s="163"/>
      <c r="N2646" s="163"/>
    </row>
    <row r="2647" spans="4:14" ht="11.45" customHeight="1" x14ac:dyDescent="0.2">
      <c r="D2647" s="58"/>
      <c r="G2647" s="58"/>
      <c r="H2647" s="58"/>
      <c r="I2647" s="156"/>
      <c r="K2647" s="58"/>
      <c r="M2647" s="163"/>
      <c r="N2647" s="163"/>
    </row>
    <row r="2648" spans="4:14" ht="11.45" customHeight="1" x14ac:dyDescent="0.2">
      <c r="D2648" s="58"/>
      <c r="G2648" s="58"/>
      <c r="H2648" s="58"/>
      <c r="I2648" s="156"/>
      <c r="K2648" s="58"/>
      <c r="M2648" s="163"/>
      <c r="N2648" s="163"/>
    </row>
    <row r="2649" spans="4:14" ht="11.45" customHeight="1" x14ac:dyDescent="0.2">
      <c r="D2649" s="58"/>
      <c r="G2649" s="58"/>
      <c r="H2649" s="58"/>
      <c r="I2649" s="156"/>
      <c r="K2649" s="58"/>
      <c r="M2649" s="163"/>
      <c r="N2649" s="163"/>
    </row>
    <row r="2650" spans="4:14" ht="11.45" customHeight="1" x14ac:dyDescent="0.2">
      <c r="D2650" s="58"/>
      <c r="G2650" s="58"/>
      <c r="H2650" s="58"/>
      <c r="I2650" s="156"/>
      <c r="K2650" s="58"/>
      <c r="M2650" s="163"/>
      <c r="N2650" s="163"/>
    </row>
    <row r="2651" spans="4:14" ht="11.45" customHeight="1" x14ac:dyDescent="0.2">
      <c r="D2651" s="58"/>
      <c r="G2651" s="58"/>
      <c r="H2651" s="58"/>
      <c r="I2651" s="156"/>
      <c r="K2651" s="58"/>
      <c r="M2651" s="163"/>
      <c r="N2651" s="163"/>
    </row>
    <row r="2652" spans="4:14" ht="11.45" customHeight="1" x14ac:dyDescent="0.2">
      <c r="D2652" s="58"/>
      <c r="G2652" s="58"/>
      <c r="H2652" s="58"/>
      <c r="I2652" s="156"/>
      <c r="K2652" s="58"/>
      <c r="M2652" s="163"/>
      <c r="N2652" s="163"/>
    </row>
    <row r="2653" spans="4:14" ht="11.45" customHeight="1" x14ac:dyDescent="0.2">
      <c r="D2653" s="58"/>
      <c r="G2653" s="58"/>
      <c r="H2653" s="58"/>
      <c r="I2653" s="156"/>
      <c r="K2653" s="58"/>
      <c r="M2653" s="163"/>
      <c r="N2653" s="163"/>
    </row>
    <row r="2654" spans="4:14" ht="11.45" customHeight="1" x14ac:dyDescent="0.2">
      <c r="D2654" s="58"/>
      <c r="G2654" s="58"/>
      <c r="H2654" s="58"/>
      <c r="I2654" s="156"/>
      <c r="K2654" s="58"/>
      <c r="M2654" s="163"/>
      <c r="N2654" s="163"/>
    </row>
    <row r="2655" spans="4:14" ht="11.45" customHeight="1" x14ac:dyDescent="0.2">
      <c r="D2655" s="58"/>
      <c r="G2655" s="58"/>
      <c r="H2655" s="58"/>
      <c r="I2655" s="156"/>
      <c r="K2655" s="58"/>
      <c r="M2655" s="163"/>
      <c r="N2655" s="163"/>
    </row>
    <row r="2656" spans="4:14" ht="11.45" customHeight="1" x14ac:dyDescent="0.2">
      <c r="D2656" s="58"/>
      <c r="G2656" s="58"/>
      <c r="H2656" s="58"/>
      <c r="I2656" s="156"/>
      <c r="K2656" s="58"/>
      <c r="M2656" s="163"/>
      <c r="N2656" s="163"/>
    </row>
    <row r="2657" spans="4:14" ht="11.45" customHeight="1" x14ac:dyDescent="0.2">
      <c r="D2657" s="58"/>
      <c r="G2657" s="58"/>
      <c r="H2657" s="58"/>
      <c r="I2657" s="156"/>
      <c r="K2657" s="58"/>
      <c r="M2657" s="163"/>
      <c r="N2657" s="163"/>
    </row>
    <row r="2658" spans="4:14" ht="11.45" customHeight="1" x14ac:dyDescent="0.2">
      <c r="D2658" s="58"/>
      <c r="G2658" s="58"/>
      <c r="H2658" s="58"/>
      <c r="I2658" s="156"/>
      <c r="K2658" s="58"/>
      <c r="M2658" s="163"/>
      <c r="N2658" s="163"/>
    </row>
    <row r="2659" spans="4:14" ht="11.45" customHeight="1" x14ac:dyDescent="0.2">
      <c r="D2659" s="58"/>
      <c r="G2659" s="58"/>
      <c r="H2659" s="58"/>
      <c r="I2659" s="156"/>
      <c r="K2659" s="58"/>
      <c r="M2659" s="163"/>
      <c r="N2659" s="163"/>
    </row>
    <row r="2660" spans="4:14" ht="11.45" customHeight="1" x14ac:dyDescent="0.2">
      <c r="D2660" s="58"/>
      <c r="G2660" s="58"/>
      <c r="H2660" s="58"/>
      <c r="I2660" s="156"/>
      <c r="K2660" s="58"/>
      <c r="M2660" s="163"/>
      <c r="N2660" s="163"/>
    </row>
    <row r="2661" spans="4:14" ht="11.45" customHeight="1" x14ac:dyDescent="0.2">
      <c r="D2661" s="58"/>
      <c r="G2661" s="58"/>
      <c r="H2661" s="58"/>
      <c r="I2661" s="156"/>
      <c r="K2661" s="58"/>
      <c r="M2661" s="163"/>
      <c r="N2661" s="163"/>
    </row>
    <row r="2662" spans="4:14" ht="11.45" customHeight="1" x14ac:dyDescent="0.2">
      <c r="D2662" s="58"/>
      <c r="G2662" s="58"/>
      <c r="H2662" s="58"/>
      <c r="I2662" s="156"/>
      <c r="K2662" s="58"/>
      <c r="M2662" s="163"/>
      <c r="N2662" s="163"/>
    </row>
    <row r="2663" spans="4:14" ht="11.45" customHeight="1" x14ac:dyDescent="0.2">
      <c r="D2663" s="58"/>
      <c r="G2663" s="58"/>
      <c r="H2663" s="58"/>
      <c r="I2663" s="156"/>
      <c r="K2663" s="58"/>
      <c r="M2663" s="163"/>
      <c r="N2663" s="163"/>
    </row>
    <row r="2664" spans="4:14" ht="11.45" customHeight="1" x14ac:dyDescent="0.2">
      <c r="D2664" s="58"/>
      <c r="G2664" s="58"/>
      <c r="H2664" s="58"/>
      <c r="I2664" s="156"/>
      <c r="K2664" s="58"/>
      <c r="M2664" s="163"/>
      <c r="N2664" s="163"/>
    </row>
    <row r="2665" spans="4:14" ht="11.45" customHeight="1" x14ac:dyDescent="0.2">
      <c r="D2665" s="58"/>
      <c r="G2665" s="58"/>
      <c r="H2665" s="58"/>
      <c r="I2665" s="156"/>
      <c r="K2665" s="58"/>
      <c r="M2665" s="163"/>
      <c r="N2665" s="163"/>
    </row>
    <row r="2666" spans="4:14" ht="11.45" customHeight="1" x14ac:dyDescent="0.2">
      <c r="D2666" s="58"/>
      <c r="G2666" s="58"/>
      <c r="H2666" s="58"/>
      <c r="I2666" s="156"/>
      <c r="K2666" s="58"/>
      <c r="M2666" s="163"/>
      <c r="N2666" s="163"/>
    </row>
    <row r="2667" spans="4:14" ht="11.45" customHeight="1" x14ac:dyDescent="0.2">
      <c r="D2667" s="58"/>
      <c r="G2667" s="58"/>
      <c r="H2667" s="58"/>
      <c r="I2667" s="156"/>
      <c r="K2667" s="58"/>
      <c r="M2667" s="163"/>
      <c r="N2667" s="163"/>
    </row>
    <row r="2668" spans="4:14" ht="11.45" customHeight="1" x14ac:dyDescent="0.2">
      <c r="D2668" s="58"/>
      <c r="G2668" s="58"/>
      <c r="H2668" s="58"/>
      <c r="I2668" s="156"/>
      <c r="K2668" s="58"/>
      <c r="M2668" s="163"/>
      <c r="N2668" s="163"/>
    </row>
    <row r="2669" spans="4:14" ht="11.45" customHeight="1" x14ac:dyDescent="0.2">
      <c r="D2669" s="58"/>
      <c r="G2669" s="58"/>
      <c r="H2669" s="58"/>
      <c r="I2669" s="156"/>
      <c r="K2669" s="58"/>
      <c r="M2669" s="163"/>
      <c r="N2669" s="163"/>
    </row>
    <row r="2670" spans="4:14" ht="11.45" customHeight="1" x14ac:dyDescent="0.2">
      <c r="D2670" s="58"/>
      <c r="G2670" s="58"/>
      <c r="H2670" s="58"/>
      <c r="I2670" s="156"/>
      <c r="K2670" s="58"/>
      <c r="M2670" s="163"/>
      <c r="N2670" s="163"/>
    </row>
    <row r="2671" spans="4:14" ht="11.45" customHeight="1" x14ac:dyDescent="0.2">
      <c r="D2671" s="58"/>
      <c r="G2671" s="58"/>
      <c r="H2671" s="58"/>
      <c r="I2671" s="156"/>
      <c r="K2671" s="58"/>
      <c r="M2671" s="163"/>
      <c r="N2671" s="163"/>
    </row>
    <row r="2672" spans="4:14" ht="11.45" customHeight="1" x14ac:dyDescent="0.2">
      <c r="D2672" s="58"/>
      <c r="G2672" s="58"/>
      <c r="H2672" s="58"/>
      <c r="I2672" s="156"/>
      <c r="K2672" s="58"/>
      <c r="M2672" s="163"/>
      <c r="N2672" s="163"/>
    </row>
    <row r="2673" spans="4:14" ht="11.45" customHeight="1" x14ac:dyDescent="0.2">
      <c r="D2673" s="58"/>
      <c r="G2673" s="58"/>
      <c r="H2673" s="58"/>
      <c r="I2673" s="156"/>
      <c r="K2673" s="58"/>
      <c r="M2673" s="163"/>
      <c r="N2673" s="163"/>
    </row>
    <row r="2674" spans="4:14" ht="11.45" customHeight="1" x14ac:dyDescent="0.2">
      <c r="D2674" s="58"/>
      <c r="G2674" s="58"/>
      <c r="H2674" s="58"/>
      <c r="I2674" s="156"/>
      <c r="K2674" s="58"/>
      <c r="M2674" s="163"/>
      <c r="N2674" s="163"/>
    </row>
    <row r="2675" spans="4:14" ht="11.45" customHeight="1" x14ac:dyDescent="0.2">
      <c r="D2675" s="58"/>
      <c r="G2675" s="58"/>
      <c r="H2675" s="58"/>
      <c r="I2675" s="156"/>
      <c r="K2675" s="58"/>
      <c r="M2675" s="163"/>
      <c r="N2675" s="163"/>
    </row>
    <row r="2676" spans="4:14" ht="11.45" customHeight="1" x14ac:dyDescent="0.2">
      <c r="D2676" s="58"/>
      <c r="G2676" s="58"/>
      <c r="H2676" s="58"/>
      <c r="I2676" s="156"/>
      <c r="K2676" s="58"/>
      <c r="M2676" s="163"/>
      <c r="N2676" s="163"/>
    </row>
    <row r="2677" spans="4:14" ht="11.45" customHeight="1" x14ac:dyDescent="0.2">
      <c r="D2677" s="58"/>
      <c r="G2677" s="58"/>
      <c r="H2677" s="58"/>
      <c r="I2677" s="156"/>
      <c r="K2677" s="58"/>
      <c r="M2677" s="163"/>
      <c r="N2677" s="163"/>
    </row>
    <row r="2678" spans="4:14" ht="11.45" customHeight="1" x14ac:dyDescent="0.2">
      <c r="D2678" s="58"/>
      <c r="G2678" s="58"/>
      <c r="H2678" s="58"/>
      <c r="I2678" s="156"/>
      <c r="K2678" s="58"/>
      <c r="M2678" s="163"/>
      <c r="N2678" s="163"/>
    </row>
    <row r="2679" spans="4:14" ht="11.45" customHeight="1" x14ac:dyDescent="0.2">
      <c r="D2679" s="58"/>
      <c r="G2679" s="58"/>
      <c r="H2679" s="58"/>
      <c r="I2679" s="156"/>
      <c r="K2679" s="58"/>
      <c r="M2679" s="163"/>
      <c r="N2679" s="163"/>
    </row>
    <row r="2680" spans="4:14" ht="11.45" customHeight="1" x14ac:dyDescent="0.2">
      <c r="D2680" s="58"/>
      <c r="G2680" s="58"/>
      <c r="H2680" s="58"/>
      <c r="I2680" s="156"/>
      <c r="K2680" s="58"/>
      <c r="M2680" s="163"/>
      <c r="N2680" s="163"/>
    </row>
    <row r="2681" spans="4:14" ht="11.45" customHeight="1" x14ac:dyDescent="0.2">
      <c r="D2681" s="58"/>
      <c r="G2681" s="58"/>
      <c r="H2681" s="58"/>
      <c r="I2681" s="156"/>
      <c r="K2681" s="58"/>
      <c r="M2681" s="163"/>
      <c r="N2681" s="163"/>
    </row>
    <row r="2682" spans="4:14" ht="11.45" customHeight="1" x14ac:dyDescent="0.2">
      <c r="D2682" s="58"/>
      <c r="G2682" s="58"/>
      <c r="H2682" s="58"/>
      <c r="I2682" s="156"/>
      <c r="K2682" s="58"/>
      <c r="M2682" s="163"/>
      <c r="N2682" s="163"/>
    </row>
    <row r="2683" spans="4:14" ht="11.45" customHeight="1" x14ac:dyDescent="0.2">
      <c r="D2683" s="58"/>
      <c r="G2683" s="58"/>
      <c r="H2683" s="58"/>
      <c r="I2683" s="156"/>
      <c r="K2683" s="58"/>
      <c r="M2683" s="163"/>
      <c r="N2683" s="163"/>
    </row>
    <row r="2684" spans="4:14" ht="11.45" customHeight="1" x14ac:dyDescent="0.2">
      <c r="D2684" s="58"/>
      <c r="G2684" s="58"/>
      <c r="H2684" s="58"/>
      <c r="I2684" s="156"/>
      <c r="K2684" s="58"/>
      <c r="M2684" s="163"/>
      <c r="N2684" s="163"/>
    </row>
    <row r="2685" spans="4:14" ht="11.45" customHeight="1" x14ac:dyDescent="0.2">
      <c r="D2685" s="58"/>
      <c r="G2685" s="58"/>
      <c r="H2685" s="58"/>
      <c r="I2685" s="156"/>
      <c r="K2685" s="58"/>
      <c r="M2685" s="163"/>
      <c r="N2685" s="163"/>
    </row>
    <row r="2686" spans="4:14" ht="11.45" customHeight="1" x14ac:dyDescent="0.2">
      <c r="D2686" s="58"/>
      <c r="G2686" s="58"/>
      <c r="H2686" s="58"/>
      <c r="I2686" s="156"/>
      <c r="K2686" s="58"/>
      <c r="M2686" s="163"/>
      <c r="N2686" s="163"/>
    </row>
    <row r="2687" spans="4:14" ht="11.45" customHeight="1" x14ac:dyDescent="0.2">
      <c r="D2687" s="58"/>
      <c r="G2687" s="58"/>
      <c r="H2687" s="58"/>
      <c r="I2687" s="156"/>
      <c r="K2687" s="58"/>
      <c r="M2687" s="163"/>
      <c r="N2687" s="163"/>
    </row>
    <row r="2688" spans="4:14" ht="11.45" customHeight="1" x14ac:dyDescent="0.2">
      <c r="D2688" s="58"/>
      <c r="G2688" s="58"/>
      <c r="H2688" s="58"/>
      <c r="I2688" s="156"/>
      <c r="K2688" s="58"/>
      <c r="M2688" s="163"/>
      <c r="N2688" s="163"/>
    </row>
    <row r="2689" spans="4:14" ht="11.45" customHeight="1" x14ac:dyDescent="0.2">
      <c r="D2689" s="58"/>
      <c r="G2689" s="58"/>
      <c r="H2689" s="58"/>
      <c r="I2689" s="156"/>
      <c r="K2689" s="58"/>
      <c r="M2689" s="163"/>
      <c r="N2689" s="163"/>
    </row>
    <row r="2690" spans="4:14" ht="11.45" customHeight="1" x14ac:dyDescent="0.2">
      <c r="D2690" s="58"/>
      <c r="G2690" s="58"/>
      <c r="H2690" s="58"/>
      <c r="I2690" s="156"/>
      <c r="K2690" s="58"/>
      <c r="M2690" s="163"/>
      <c r="N2690" s="163"/>
    </row>
    <row r="2691" spans="4:14" ht="11.45" customHeight="1" x14ac:dyDescent="0.2">
      <c r="D2691" s="58"/>
      <c r="G2691" s="58"/>
      <c r="H2691" s="58"/>
      <c r="I2691" s="156"/>
      <c r="K2691" s="58"/>
      <c r="M2691" s="163"/>
      <c r="N2691" s="163"/>
    </row>
    <row r="2692" spans="4:14" ht="11.45" customHeight="1" x14ac:dyDescent="0.2">
      <c r="D2692" s="58"/>
      <c r="G2692" s="58"/>
      <c r="H2692" s="58"/>
      <c r="I2692" s="156"/>
      <c r="K2692" s="58"/>
      <c r="M2692" s="163"/>
      <c r="N2692" s="163"/>
    </row>
    <row r="2693" spans="4:14" ht="11.45" customHeight="1" x14ac:dyDescent="0.2">
      <c r="D2693" s="58"/>
      <c r="G2693" s="58"/>
      <c r="H2693" s="58"/>
      <c r="I2693" s="156"/>
      <c r="K2693" s="58"/>
      <c r="M2693" s="163"/>
      <c r="N2693" s="163"/>
    </row>
    <row r="2694" spans="4:14" ht="11.45" customHeight="1" x14ac:dyDescent="0.2">
      <c r="D2694" s="58"/>
      <c r="G2694" s="58"/>
      <c r="H2694" s="58"/>
      <c r="I2694" s="156"/>
      <c r="K2694" s="58"/>
      <c r="M2694" s="163"/>
      <c r="N2694" s="163"/>
    </row>
    <row r="2695" spans="4:14" ht="11.45" customHeight="1" x14ac:dyDescent="0.2">
      <c r="D2695" s="58"/>
      <c r="G2695" s="58"/>
      <c r="H2695" s="58"/>
      <c r="I2695" s="156"/>
      <c r="K2695" s="58"/>
      <c r="M2695" s="163"/>
      <c r="N2695" s="163"/>
    </row>
    <row r="2696" spans="4:14" ht="11.45" customHeight="1" x14ac:dyDescent="0.2">
      <c r="D2696" s="58"/>
      <c r="G2696" s="58"/>
      <c r="H2696" s="58"/>
      <c r="I2696" s="156"/>
      <c r="K2696" s="58"/>
      <c r="M2696" s="163"/>
      <c r="N2696" s="163"/>
    </row>
    <row r="2697" spans="4:14" ht="11.45" customHeight="1" x14ac:dyDescent="0.2">
      <c r="D2697" s="58"/>
      <c r="G2697" s="58"/>
      <c r="H2697" s="58"/>
      <c r="I2697" s="156"/>
      <c r="K2697" s="58"/>
      <c r="M2697" s="163"/>
      <c r="N2697" s="163"/>
    </row>
    <row r="2698" spans="4:14" ht="11.45" customHeight="1" x14ac:dyDescent="0.2">
      <c r="D2698" s="58"/>
      <c r="G2698" s="58"/>
      <c r="H2698" s="58"/>
      <c r="I2698" s="156"/>
      <c r="K2698" s="58"/>
      <c r="M2698" s="163"/>
      <c r="N2698" s="163"/>
    </row>
    <row r="2699" spans="4:14" ht="11.45" customHeight="1" x14ac:dyDescent="0.2">
      <c r="D2699" s="58"/>
      <c r="G2699" s="58"/>
      <c r="H2699" s="58"/>
      <c r="I2699" s="156"/>
      <c r="K2699" s="58"/>
      <c r="M2699" s="163"/>
      <c r="N2699" s="163"/>
    </row>
    <row r="2700" spans="4:14" ht="11.45" customHeight="1" x14ac:dyDescent="0.2">
      <c r="D2700" s="58"/>
      <c r="G2700" s="58"/>
      <c r="H2700" s="58"/>
      <c r="I2700" s="156"/>
      <c r="K2700" s="58"/>
      <c r="M2700" s="163"/>
      <c r="N2700" s="163"/>
    </row>
    <row r="2701" spans="4:14" ht="11.45" customHeight="1" x14ac:dyDescent="0.2">
      <c r="D2701" s="58"/>
      <c r="G2701" s="58"/>
      <c r="H2701" s="58"/>
      <c r="I2701" s="156"/>
      <c r="K2701" s="58"/>
      <c r="M2701" s="163"/>
      <c r="N2701" s="163"/>
    </row>
    <row r="2702" spans="4:14" ht="11.45" customHeight="1" x14ac:dyDescent="0.2">
      <c r="D2702" s="58"/>
      <c r="G2702" s="58"/>
      <c r="H2702" s="58"/>
      <c r="I2702" s="156"/>
      <c r="K2702" s="58"/>
      <c r="M2702" s="163"/>
      <c r="N2702" s="163"/>
    </row>
    <row r="2703" spans="4:14" ht="11.45" customHeight="1" x14ac:dyDescent="0.2">
      <c r="D2703" s="58"/>
      <c r="G2703" s="58"/>
      <c r="H2703" s="58"/>
      <c r="I2703" s="156"/>
      <c r="K2703" s="58"/>
      <c r="M2703" s="163"/>
      <c r="N2703" s="163"/>
    </row>
    <row r="2704" spans="4:14" ht="11.45" customHeight="1" x14ac:dyDescent="0.2">
      <c r="D2704" s="58"/>
      <c r="G2704" s="58"/>
      <c r="H2704" s="58"/>
      <c r="I2704" s="156"/>
      <c r="K2704" s="58"/>
      <c r="M2704" s="163"/>
      <c r="N2704" s="163"/>
    </row>
    <row r="2705" spans="4:14" ht="11.45" customHeight="1" x14ac:dyDescent="0.2">
      <c r="D2705" s="58"/>
      <c r="G2705" s="58"/>
      <c r="H2705" s="58"/>
      <c r="I2705" s="156"/>
      <c r="K2705" s="58"/>
      <c r="M2705" s="163"/>
      <c r="N2705" s="163"/>
    </row>
    <row r="2706" spans="4:14" ht="11.45" customHeight="1" x14ac:dyDescent="0.2">
      <c r="D2706" s="58"/>
      <c r="G2706" s="58"/>
      <c r="H2706" s="58"/>
      <c r="I2706" s="156"/>
      <c r="K2706" s="58"/>
      <c r="M2706" s="163"/>
      <c r="N2706" s="163"/>
    </row>
    <row r="2707" spans="4:14" ht="11.45" customHeight="1" x14ac:dyDescent="0.2">
      <c r="D2707" s="58"/>
      <c r="G2707" s="58"/>
      <c r="H2707" s="58"/>
      <c r="I2707" s="156"/>
      <c r="K2707" s="58"/>
      <c r="M2707" s="163"/>
      <c r="N2707" s="163"/>
    </row>
    <row r="2708" spans="4:14" ht="11.45" customHeight="1" x14ac:dyDescent="0.2">
      <c r="D2708" s="58"/>
      <c r="G2708" s="58"/>
      <c r="H2708" s="58"/>
      <c r="I2708" s="156"/>
      <c r="K2708" s="58"/>
      <c r="M2708" s="163"/>
      <c r="N2708" s="163"/>
    </row>
    <row r="2709" spans="4:14" ht="11.45" customHeight="1" x14ac:dyDescent="0.2">
      <c r="D2709" s="58"/>
      <c r="G2709" s="58"/>
      <c r="H2709" s="58"/>
      <c r="I2709" s="156"/>
      <c r="K2709" s="58"/>
      <c r="M2709" s="163"/>
      <c r="N2709" s="163"/>
    </row>
    <row r="2710" spans="4:14" ht="11.45" customHeight="1" x14ac:dyDescent="0.2">
      <c r="D2710" s="58"/>
      <c r="G2710" s="58"/>
      <c r="H2710" s="58"/>
      <c r="I2710" s="156"/>
      <c r="K2710" s="58"/>
      <c r="M2710" s="163"/>
      <c r="N2710" s="163"/>
    </row>
    <row r="2711" spans="4:14" ht="11.45" customHeight="1" x14ac:dyDescent="0.2">
      <c r="D2711" s="58"/>
      <c r="G2711" s="58"/>
      <c r="H2711" s="58"/>
      <c r="I2711" s="156"/>
      <c r="K2711" s="58"/>
      <c r="M2711" s="163"/>
      <c r="N2711" s="163"/>
    </row>
    <row r="2712" spans="4:14" ht="11.45" customHeight="1" x14ac:dyDescent="0.2">
      <c r="D2712" s="58"/>
      <c r="G2712" s="58"/>
      <c r="H2712" s="58"/>
      <c r="I2712" s="156"/>
      <c r="K2712" s="58"/>
      <c r="M2712" s="163"/>
      <c r="N2712" s="163"/>
    </row>
    <row r="2713" spans="4:14" ht="11.45" customHeight="1" x14ac:dyDescent="0.2">
      <c r="D2713" s="58"/>
      <c r="G2713" s="58"/>
      <c r="H2713" s="58"/>
      <c r="I2713" s="156"/>
      <c r="K2713" s="58"/>
      <c r="M2713" s="163"/>
      <c r="N2713" s="163"/>
    </row>
    <row r="2714" spans="4:14" ht="11.45" customHeight="1" x14ac:dyDescent="0.2">
      <c r="D2714" s="58"/>
      <c r="G2714" s="58"/>
      <c r="H2714" s="58"/>
      <c r="I2714" s="156"/>
      <c r="K2714" s="58"/>
      <c r="M2714" s="163"/>
      <c r="N2714" s="163"/>
    </row>
    <row r="2715" spans="4:14" ht="11.45" customHeight="1" x14ac:dyDescent="0.2">
      <c r="D2715" s="58"/>
      <c r="G2715" s="58"/>
      <c r="H2715" s="58"/>
      <c r="I2715" s="156"/>
      <c r="K2715" s="58"/>
      <c r="M2715" s="163"/>
      <c r="N2715" s="163"/>
    </row>
    <row r="2716" spans="4:14" ht="11.45" customHeight="1" x14ac:dyDescent="0.2">
      <c r="D2716" s="58"/>
      <c r="G2716" s="58"/>
      <c r="H2716" s="58"/>
      <c r="I2716" s="156"/>
      <c r="K2716" s="58"/>
      <c r="M2716" s="163"/>
      <c r="N2716" s="163"/>
    </row>
    <row r="2717" spans="4:14" ht="11.45" customHeight="1" x14ac:dyDescent="0.2">
      <c r="D2717" s="58"/>
      <c r="G2717" s="58"/>
      <c r="H2717" s="58"/>
      <c r="I2717" s="156"/>
      <c r="K2717" s="58"/>
      <c r="M2717" s="163"/>
      <c r="N2717" s="163"/>
    </row>
    <row r="2718" spans="4:14" ht="11.45" customHeight="1" x14ac:dyDescent="0.2">
      <c r="D2718" s="58"/>
      <c r="G2718" s="58"/>
      <c r="H2718" s="58"/>
      <c r="I2718" s="156"/>
      <c r="K2718" s="58"/>
      <c r="M2718" s="163"/>
      <c r="N2718" s="163"/>
    </row>
    <row r="2719" spans="4:14" ht="11.45" customHeight="1" x14ac:dyDescent="0.2">
      <c r="D2719" s="58"/>
      <c r="G2719" s="58"/>
      <c r="H2719" s="58"/>
      <c r="I2719" s="156"/>
      <c r="K2719" s="58"/>
      <c r="M2719" s="163"/>
      <c r="N2719" s="163"/>
    </row>
    <row r="2720" spans="4:14" ht="11.45" customHeight="1" x14ac:dyDescent="0.2">
      <c r="D2720" s="58"/>
      <c r="G2720" s="58"/>
      <c r="H2720" s="58"/>
      <c r="I2720" s="156"/>
      <c r="K2720" s="58"/>
      <c r="M2720" s="163"/>
      <c r="N2720" s="163"/>
    </row>
    <row r="2721" spans="4:14" ht="11.45" customHeight="1" x14ac:dyDescent="0.2">
      <c r="D2721" s="58"/>
      <c r="G2721" s="58"/>
      <c r="H2721" s="58"/>
      <c r="I2721" s="156"/>
      <c r="K2721" s="58"/>
      <c r="M2721" s="163"/>
      <c r="N2721" s="163"/>
    </row>
    <row r="2722" spans="4:14" ht="11.45" customHeight="1" x14ac:dyDescent="0.2">
      <c r="D2722" s="58"/>
      <c r="G2722" s="58"/>
      <c r="H2722" s="58"/>
      <c r="I2722" s="156"/>
      <c r="K2722" s="58"/>
      <c r="M2722" s="163"/>
      <c r="N2722" s="163"/>
    </row>
    <row r="2723" spans="4:14" ht="11.45" customHeight="1" x14ac:dyDescent="0.2">
      <c r="D2723" s="58"/>
      <c r="G2723" s="58"/>
      <c r="H2723" s="58"/>
      <c r="I2723" s="156"/>
      <c r="K2723" s="58"/>
      <c r="M2723" s="163"/>
      <c r="N2723" s="163"/>
    </row>
    <row r="2724" spans="4:14" ht="11.45" customHeight="1" x14ac:dyDescent="0.2">
      <c r="D2724" s="58"/>
      <c r="G2724" s="58"/>
      <c r="H2724" s="58"/>
      <c r="I2724" s="156"/>
      <c r="K2724" s="58"/>
      <c r="M2724" s="163"/>
      <c r="N2724" s="163"/>
    </row>
    <row r="2725" spans="4:14" ht="11.45" customHeight="1" x14ac:dyDescent="0.2">
      <c r="D2725" s="58"/>
      <c r="G2725" s="58"/>
      <c r="H2725" s="58"/>
      <c r="I2725" s="156"/>
      <c r="K2725" s="58"/>
      <c r="M2725" s="163"/>
      <c r="N2725" s="163"/>
    </row>
    <row r="2726" spans="4:14" ht="11.45" customHeight="1" x14ac:dyDescent="0.2">
      <c r="D2726" s="58"/>
      <c r="G2726" s="58"/>
      <c r="H2726" s="58"/>
      <c r="I2726" s="156"/>
      <c r="K2726" s="58"/>
      <c r="M2726" s="163"/>
      <c r="N2726" s="163"/>
    </row>
    <row r="2727" spans="4:14" ht="11.45" customHeight="1" x14ac:dyDescent="0.2">
      <c r="D2727" s="58"/>
      <c r="G2727" s="58"/>
      <c r="H2727" s="58"/>
      <c r="I2727" s="156"/>
      <c r="K2727" s="58"/>
      <c r="M2727" s="163"/>
      <c r="N2727" s="163"/>
    </row>
    <row r="2728" spans="4:14" ht="11.45" customHeight="1" x14ac:dyDescent="0.2">
      <c r="D2728" s="58"/>
      <c r="G2728" s="58"/>
      <c r="H2728" s="58"/>
      <c r="I2728" s="156"/>
      <c r="K2728" s="58"/>
      <c r="M2728" s="163"/>
      <c r="N2728" s="163"/>
    </row>
    <row r="2729" spans="4:14" ht="11.45" customHeight="1" x14ac:dyDescent="0.2">
      <c r="D2729" s="58"/>
      <c r="G2729" s="58"/>
      <c r="H2729" s="58"/>
      <c r="I2729" s="156"/>
      <c r="K2729" s="58"/>
      <c r="M2729" s="163"/>
      <c r="N2729" s="163"/>
    </row>
    <row r="2730" spans="4:14" ht="11.45" customHeight="1" x14ac:dyDescent="0.2">
      <c r="D2730" s="58"/>
      <c r="G2730" s="58"/>
      <c r="H2730" s="58"/>
      <c r="I2730" s="156"/>
      <c r="K2730" s="58"/>
      <c r="M2730" s="163"/>
      <c r="N2730" s="163"/>
    </row>
    <row r="2731" spans="4:14" ht="11.45" customHeight="1" x14ac:dyDescent="0.2">
      <c r="D2731" s="58"/>
      <c r="G2731" s="58"/>
      <c r="H2731" s="58"/>
      <c r="I2731" s="156"/>
      <c r="K2731" s="58"/>
      <c r="M2731" s="163"/>
      <c r="N2731" s="163"/>
    </row>
    <row r="2732" spans="4:14" ht="11.45" customHeight="1" x14ac:dyDescent="0.2">
      <c r="D2732" s="58"/>
      <c r="G2732" s="58"/>
      <c r="H2732" s="58"/>
      <c r="I2732" s="156"/>
      <c r="K2732" s="58"/>
      <c r="M2732" s="163"/>
      <c r="N2732" s="163"/>
    </row>
    <row r="2733" spans="4:14" ht="11.45" customHeight="1" x14ac:dyDescent="0.2">
      <c r="D2733" s="58"/>
      <c r="G2733" s="58"/>
      <c r="H2733" s="58"/>
      <c r="I2733" s="156"/>
      <c r="K2733" s="58"/>
      <c r="M2733" s="163"/>
      <c r="N2733" s="163"/>
    </row>
    <row r="2734" spans="4:14" ht="11.45" customHeight="1" x14ac:dyDescent="0.2">
      <c r="D2734" s="58"/>
      <c r="G2734" s="58"/>
      <c r="H2734" s="58"/>
      <c r="I2734" s="156"/>
      <c r="K2734" s="58"/>
      <c r="M2734" s="163"/>
      <c r="N2734" s="163"/>
    </row>
    <row r="2735" spans="4:14" ht="11.45" customHeight="1" x14ac:dyDescent="0.2">
      <c r="D2735" s="58"/>
      <c r="G2735" s="58"/>
      <c r="H2735" s="58"/>
      <c r="I2735" s="156"/>
      <c r="K2735" s="58"/>
      <c r="M2735" s="163"/>
      <c r="N2735" s="163"/>
    </row>
    <row r="2736" spans="4:14" ht="11.45" customHeight="1" x14ac:dyDescent="0.2">
      <c r="D2736" s="58"/>
      <c r="G2736" s="58"/>
      <c r="H2736" s="58"/>
      <c r="I2736" s="156"/>
      <c r="K2736" s="58"/>
      <c r="M2736" s="163"/>
      <c r="N2736" s="163"/>
    </row>
    <row r="2737" spans="4:14" ht="11.45" customHeight="1" x14ac:dyDescent="0.2">
      <c r="D2737" s="58"/>
      <c r="G2737" s="58"/>
      <c r="H2737" s="58"/>
      <c r="I2737" s="156"/>
      <c r="K2737" s="58"/>
      <c r="M2737" s="163"/>
      <c r="N2737" s="163"/>
    </row>
    <row r="2738" spans="4:14" ht="11.45" customHeight="1" x14ac:dyDescent="0.2">
      <c r="D2738" s="58"/>
      <c r="G2738" s="58"/>
      <c r="H2738" s="58"/>
      <c r="I2738" s="156"/>
      <c r="K2738" s="58"/>
      <c r="M2738" s="163"/>
      <c r="N2738" s="163"/>
    </row>
    <row r="2739" spans="4:14" ht="11.45" customHeight="1" x14ac:dyDescent="0.2">
      <c r="D2739" s="58"/>
      <c r="G2739" s="58"/>
      <c r="H2739" s="58"/>
      <c r="I2739" s="156"/>
      <c r="K2739" s="58"/>
      <c r="M2739" s="163"/>
      <c r="N2739" s="163"/>
    </row>
    <row r="2740" spans="4:14" ht="11.45" customHeight="1" x14ac:dyDescent="0.2">
      <c r="D2740" s="58"/>
      <c r="G2740" s="58"/>
      <c r="H2740" s="58"/>
      <c r="I2740" s="156"/>
      <c r="K2740" s="58"/>
      <c r="M2740" s="163"/>
      <c r="N2740" s="163"/>
    </row>
    <row r="2741" spans="4:14" ht="11.45" customHeight="1" x14ac:dyDescent="0.2">
      <c r="D2741" s="58"/>
      <c r="G2741" s="58"/>
      <c r="H2741" s="58"/>
      <c r="I2741" s="156"/>
      <c r="K2741" s="58"/>
      <c r="M2741" s="163"/>
      <c r="N2741" s="163"/>
    </row>
    <row r="2742" spans="4:14" ht="11.45" customHeight="1" x14ac:dyDescent="0.2">
      <c r="D2742" s="58"/>
      <c r="G2742" s="58"/>
      <c r="H2742" s="58"/>
      <c r="I2742" s="156"/>
      <c r="K2742" s="58"/>
      <c r="M2742" s="163"/>
      <c r="N2742" s="163"/>
    </row>
    <row r="2743" spans="4:14" ht="11.45" customHeight="1" x14ac:dyDescent="0.2">
      <c r="D2743" s="58"/>
      <c r="G2743" s="58"/>
      <c r="H2743" s="58"/>
      <c r="I2743" s="156"/>
      <c r="K2743" s="58"/>
      <c r="M2743" s="163"/>
      <c r="N2743" s="163"/>
    </row>
    <row r="2744" spans="4:14" ht="11.45" customHeight="1" x14ac:dyDescent="0.2">
      <c r="D2744" s="58"/>
      <c r="G2744" s="58"/>
      <c r="H2744" s="58"/>
      <c r="I2744" s="156"/>
      <c r="K2744" s="58"/>
      <c r="M2744" s="163"/>
      <c r="N2744" s="163"/>
    </row>
    <row r="2745" spans="4:14" ht="11.45" customHeight="1" x14ac:dyDescent="0.2">
      <c r="D2745" s="58"/>
      <c r="G2745" s="58"/>
      <c r="H2745" s="58"/>
      <c r="I2745" s="156"/>
      <c r="K2745" s="58"/>
      <c r="M2745" s="163"/>
      <c r="N2745" s="163"/>
    </row>
    <row r="2746" spans="4:14" ht="11.45" customHeight="1" x14ac:dyDescent="0.2">
      <c r="D2746" s="58"/>
      <c r="G2746" s="58"/>
      <c r="H2746" s="58"/>
      <c r="I2746" s="156"/>
      <c r="K2746" s="58"/>
      <c r="M2746" s="163"/>
      <c r="N2746" s="163"/>
    </row>
    <row r="2747" spans="4:14" ht="11.45" customHeight="1" x14ac:dyDescent="0.2">
      <c r="D2747" s="58"/>
      <c r="G2747" s="58"/>
      <c r="H2747" s="58"/>
      <c r="I2747" s="156"/>
      <c r="K2747" s="58"/>
      <c r="M2747" s="163"/>
      <c r="N2747" s="163"/>
    </row>
    <row r="2748" spans="4:14" ht="11.45" customHeight="1" x14ac:dyDescent="0.2">
      <c r="D2748" s="58"/>
      <c r="G2748" s="58"/>
      <c r="H2748" s="58"/>
      <c r="I2748" s="156"/>
      <c r="K2748" s="58"/>
      <c r="M2748" s="163"/>
      <c r="N2748" s="163"/>
    </row>
    <row r="2749" spans="4:14" ht="11.45" customHeight="1" x14ac:dyDescent="0.2">
      <c r="D2749" s="58"/>
      <c r="G2749" s="58"/>
      <c r="H2749" s="58"/>
      <c r="I2749" s="156"/>
      <c r="K2749" s="58"/>
      <c r="M2749" s="163"/>
      <c r="N2749" s="163"/>
    </row>
    <row r="2750" spans="4:14" ht="11.45" customHeight="1" x14ac:dyDescent="0.2">
      <c r="D2750" s="58"/>
      <c r="G2750" s="58"/>
      <c r="H2750" s="58"/>
      <c r="I2750" s="156"/>
      <c r="K2750" s="58"/>
      <c r="M2750" s="163"/>
      <c r="N2750" s="163"/>
    </row>
    <row r="2751" spans="4:14" ht="11.45" customHeight="1" x14ac:dyDescent="0.2">
      <c r="D2751" s="58"/>
      <c r="G2751" s="58"/>
      <c r="H2751" s="58"/>
      <c r="I2751" s="156"/>
      <c r="K2751" s="58"/>
      <c r="M2751" s="163"/>
      <c r="N2751" s="163"/>
    </row>
    <row r="2752" spans="4:14" ht="11.45" customHeight="1" x14ac:dyDescent="0.2">
      <c r="D2752" s="58"/>
      <c r="G2752" s="58"/>
      <c r="H2752" s="58"/>
      <c r="I2752" s="156"/>
      <c r="K2752" s="58"/>
      <c r="M2752" s="163"/>
      <c r="N2752" s="163"/>
    </row>
    <row r="2753" spans="4:14" ht="11.45" customHeight="1" x14ac:dyDescent="0.2">
      <c r="D2753" s="58"/>
      <c r="G2753" s="58"/>
      <c r="H2753" s="58"/>
      <c r="I2753" s="156"/>
      <c r="K2753" s="58"/>
      <c r="M2753" s="163"/>
      <c r="N2753" s="163"/>
    </row>
    <row r="2754" spans="4:14" ht="11.45" customHeight="1" x14ac:dyDescent="0.2">
      <c r="D2754" s="58"/>
      <c r="G2754" s="58"/>
      <c r="H2754" s="58"/>
      <c r="I2754" s="156"/>
      <c r="K2754" s="58"/>
      <c r="M2754" s="163"/>
      <c r="N2754" s="163"/>
    </row>
    <row r="2755" spans="4:14" ht="11.45" customHeight="1" x14ac:dyDescent="0.2">
      <c r="D2755" s="58"/>
      <c r="G2755" s="58"/>
      <c r="H2755" s="58"/>
      <c r="I2755" s="156"/>
      <c r="K2755" s="58"/>
      <c r="M2755" s="163"/>
      <c r="N2755" s="163"/>
    </row>
    <row r="2756" spans="4:14" ht="11.45" customHeight="1" x14ac:dyDescent="0.2">
      <c r="D2756" s="58"/>
      <c r="G2756" s="58"/>
      <c r="H2756" s="58"/>
      <c r="I2756" s="156"/>
      <c r="K2756" s="58"/>
      <c r="M2756" s="163"/>
      <c r="N2756" s="163"/>
    </row>
    <row r="2757" spans="4:14" ht="11.45" customHeight="1" x14ac:dyDescent="0.2">
      <c r="D2757" s="58"/>
      <c r="G2757" s="58"/>
      <c r="H2757" s="58"/>
      <c r="I2757" s="156"/>
      <c r="K2757" s="58"/>
      <c r="M2757" s="163"/>
      <c r="N2757" s="163"/>
    </row>
    <row r="2758" spans="4:14" ht="11.45" customHeight="1" x14ac:dyDescent="0.2">
      <c r="D2758" s="58"/>
      <c r="G2758" s="58"/>
      <c r="H2758" s="58"/>
      <c r="I2758" s="156"/>
      <c r="K2758" s="58"/>
      <c r="M2758" s="163"/>
      <c r="N2758" s="163"/>
    </row>
    <row r="2759" spans="4:14" ht="11.45" customHeight="1" x14ac:dyDescent="0.2">
      <c r="D2759" s="58"/>
      <c r="G2759" s="58"/>
      <c r="H2759" s="58"/>
      <c r="I2759" s="156"/>
      <c r="K2759" s="58"/>
      <c r="M2759" s="163"/>
      <c r="N2759" s="163"/>
    </row>
    <row r="2760" spans="4:14" ht="11.45" customHeight="1" x14ac:dyDescent="0.2">
      <c r="D2760" s="58"/>
      <c r="G2760" s="58"/>
      <c r="H2760" s="58"/>
      <c r="I2760" s="156"/>
      <c r="K2760" s="58"/>
      <c r="M2760" s="163"/>
      <c r="N2760" s="163"/>
    </row>
    <row r="2761" spans="4:14" ht="11.45" customHeight="1" x14ac:dyDescent="0.2">
      <c r="D2761" s="58"/>
      <c r="G2761" s="58"/>
      <c r="H2761" s="58"/>
      <c r="I2761" s="156"/>
      <c r="K2761" s="58"/>
      <c r="M2761" s="163"/>
      <c r="N2761" s="163"/>
    </row>
    <row r="2762" spans="4:14" ht="11.45" customHeight="1" x14ac:dyDescent="0.2">
      <c r="D2762" s="58"/>
      <c r="G2762" s="58"/>
      <c r="H2762" s="58"/>
      <c r="I2762" s="156"/>
      <c r="K2762" s="58"/>
      <c r="M2762" s="163"/>
      <c r="N2762" s="163"/>
    </row>
    <row r="2763" spans="4:14" ht="11.45" customHeight="1" x14ac:dyDescent="0.2">
      <c r="D2763" s="58"/>
      <c r="G2763" s="58"/>
      <c r="H2763" s="58"/>
      <c r="I2763" s="156"/>
      <c r="K2763" s="58"/>
      <c r="M2763" s="163"/>
      <c r="N2763" s="163"/>
    </row>
    <row r="2764" spans="4:14" ht="11.45" customHeight="1" x14ac:dyDescent="0.2">
      <c r="D2764" s="58"/>
      <c r="G2764" s="58"/>
      <c r="H2764" s="58"/>
      <c r="I2764" s="156"/>
      <c r="K2764" s="58"/>
      <c r="M2764" s="163"/>
      <c r="N2764" s="163"/>
    </row>
    <row r="2765" spans="4:14" ht="11.45" customHeight="1" x14ac:dyDescent="0.2">
      <c r="D2765" s="58"/>
      <c r="G2765" s="58"/>
      <c r="H2765" s="58"/>
      <c r="I2765" s="156"/>
      <c r="K2765" s="58"/>
      <c r="M2765" s="163"/>
      <c r="N2765" s="163"/>
    </row>
    <row r="2766" spans="4:14" ht="11.45" customHeight="1" x14ac:dyDescent="0.2">
      <c r="D2766" s="58"/>
      <c r="G2766" s="58"/>
      <c r="H2766" s="58"/>
      <c r="I2766" s="156"/>
      <c r="K2766" s="58"/>
      <c r="M2766" s="163"/>
      <c r="N2766" s="163"/>
    </row>
    <row r="2767" spans="4:14" ht="11.45" customHeight="1" x14ac:dyDescent="0.2">
      <c r="D2767" s="58"/>
      <c r="G2767" s="58"/>
      <c r="H2767" s="58"/>
      <c r="I2767" s="156"/>
      <c r="K2767" s="58"/>
      <c r="M2767" s="163"/>
      <c r="N2767" s="163"/>
    </row>
    <row r="2768" spans="4:14" ht="11.45" customHeight="1" x14ac:dyDescent="0.2">
      <c r="D2768" s="58"/>
      <c r="G2768" s="58"/>
      <c r="H2768" s="58"/>
      <c r="I2768" s="156"/>
      <c r="K2768" s="58"/>
      <c r="M2768" s="163"/>
      <c r="N2768" s="163"/>
    </row>
    <row r="2769" spans="4:14" ht="11.45" customHeight="1" x14ac:dyDescent="0.2">
      <c r="D2769" s="58"/>
      <c r="G2769" s="58"/>
      <c r="H2769" s="58"/>
      <c r="I2769" s="156"/>
      <c r="K2769" s="58"/>
      <c r="M2769" s="163"/>
      <c r="N2769" s="163"/>
    </row>
    <row r="2770" spans="4:14" ht="11.45" customHeight="1" x14ac:dyDescent="0.2">
      <c r="D2770" s="58"/>
      <c r="G2770" s="58"/>
      <c r="H2770" s="58"/>
      <c r="I2770" s="156"/>
      <c r="K2770" s="58"/>
      <c r="M2770" s="163"/>
      <c r="N2770" s="163"/>
    </row>
    <row r="2771" spans="4:14" ht="11.45" customHeight="1" x14ac:dyDescent="0.2">
      <c r="D2771" s="58"/>
      <c r="G2771" s="58"/>
      <c r="H2771" s="58"/>
      <c r="I2771" s="156"/>
      <c r="K2771" s="58"/>
      <c r="M2771" s="163"/>
      <c r="N2771" s="163"/>
    </row>
    <row r="2772" spans="4:14" ht="11.45" customHeight="1" x14ac:dyDescent="0.2">
      <c r="D2772" s="58"/>
      <c r="G2772" s="58"/>
      <c r="H2772" s="58"/>
      <c r="I2772" s="156"/>
      <c r="K2772" s="58"/>
      <c r="M2772" s="163"/>
      <c r="N2772" s="163"/>
    </row>
    <row r="2773" spans="4:14" ht="11.45" customHeight="1" x14ac:dyDescent="0.2">
      <c r="D2773" s="58"/>
      <c r="G2773" s="58"/>
      <c r="H2773" s="58"/>
      <c r="I2773" s="156"/>
      <c r="K2773" s="58"/>
      <c r="M2773" s="163"/>
      <c r="N2773" s="163"/>
    </row>
    <row r="2774" spans="4:14" ht="11.45" customHeight="1" x14ac:dyDescent="0.2">
      <c r="D2774" s="58"/>
      <c r="G2774" s="58"/>
      <c r="H2774" s="58"/>
      <c r="I2774" s="156"/>
      <c r="K2774" s="58"/>
      <c r="M2774" s="163"/>
      <c r="N2774" s="163"/>
    </row>
    <row r="2775" spans="4:14" ht="11.45" customHeight="1" x14ac:dyDescent="0.2">
      <c r="D2775" s="58"/>
      <c r="G2775" s="58"/>
      <c r="H2775" s="58"/>
      <c r="I2775" s="156"/>
      <c r="K2775" s="58"/>
      <c r="M2775" s="163"/>
      <c r="N2775" s="163"/>
    </row>
    <row r="2776" spans="4:14" ht="11.45" customHeight="1" x14ac:dyDescent="0.2">
      <c r="D2776" s="58"/>
      <c r="G2776" s="58"/>
      <c r="H2776" s="58"/>
      <c r="I2776" s="156"/>
      <c r="K2776" s="58"/>
      <c r="M2776" s="163"/>
      <c r="N2776" s="163"/>
    </row>
    <row r="2777" spans="4:14" ht="11.45" customHeight="1" x14ac:dyDescent="0.2">
      <c r="D2777" s="58"/>
      <c r="G2777" s="58"/>
      <c r="H2777" s="58"/>
      <c r="I2777" s="156"/>
      <c r="K2777" s="58"/>
      <c r="M2777" s="163"/>
      <c r="N2777" s="163"/>
    </row>
    <row r="2778" spans="4:14" ht="11.45" customHeight="1" x14ac:dyDescent="0.2">
      <c r="D2778" s="58"/>
      <c r="G2778" s="58"/>
      <c r="H2778" s="58"/>
      <c r="I2778" s="156"/>
      <c r="K2778" s="58"/>
      <c r="M2778" s="163"/>
      <c r="N2778" s="163"/>
    </row>
    <row r="2779" spans="4:14" ht="11.45" customHeight="1" x14ac:dyDescent="0.2">
      <c r="D2779" s="58"/>
      <c r="G2779" s="58"/>
      <c r="H2779" s="58"/>
      <c r="I2779" s="156"/>
      <c r="K2779" s="58"/>
      <c r="M2779" s="163"/>
      <c r="N2779" s="163"/>
    </row>
    <row r="2780" spans="4:14" ht="11.45" customHeight="1" x14ac:dyDescent="0.2">
      <c r="D2780" s="58"/>
      <c r="G2780" s="58"/>
      <c r="H2780" s="58"/>
      <c r="I2780" s="156"/>
      <c r="K2780" s="58"/>
      <c r="M2780" s="163"/>
      <c r="N2780" s="163"/>
    </row>
    <row r="2781" spans="4:14" ht="11.45" customHeight="1" x14ac:dyDescent="0.2">
      <c r="D2781" s="58"/>
      <c r="G2781" s="58"/>
      <c r="H2781" s="58"/>
      <c r="I2781" s="156"/>
      <c r="K2781" s="58"/>
      <c r="M2781" s="163"/>
      <c r="N2781" s="163"/>
    </row>
    <row r="2782" spans="4:14" ht="11.45" customHeight="1" x14ac:dyDescent="0.2">
      <c r="D2782" s="58"/>
      <c r="G2782" s="58"/>
      <c r="H2782" s="58"/>
      <c r="I2782" s="156"/>
      <c r="K2782" s="58"/>
      <c r="M2782" s="163"/>
      <c r="N2782" s="163"/>
    </row>
    <row r="2783" spans="4:14" ht="11.45" customHeight="1" x14ac:dyDescent="0.2">
      <c r="D2783" s="58"/>
      <c r="G2783" s="58"/>
      <c r="H2783" s="58"/>
      <c r="I2783" s="156"/>
      <c r="K2783" s="58"/>
      <c r="M2783" s="163"/>
      <c r="N2783" s="163"/>
    </row>
    <row r="2784" spans="4:14" ht="11.45" customHeight="1" x14ac:dyDescent="0.2">
      <c r="D2784" s="58"/>
      <c r="G2784" s="58"/>
      <c r="H2784" s="58"/>
      <c r="I2784" s="156"/>
      <c r="K2784" s="58"/>
      <c r="M2784" s="163"/>
      <c r="N2784" s="163"/>
    </row>
    <row r="2785" spans="4:14" ht="11.45" customHeight="1" x14ac:dyDescent="0.2">
      <c r="D2785" s="58"/>
      <c r="G2785" s="58"/>
      <c r="H2785" s="58"/>
      <c r="I2785" s="156"/>
      <c r="K2785" s="58"/>
      <c r="M2785" s="163"/>
      <c r="N2785" s="163"/>
    </row>
    <row r="2786" spans="4:14" ht="11.45" customHeight="1" x14ac:dyDescent="0.2">
      <c r="D2786" s="58"/>
      <c r="G2786" s="58"/>
      <c r="H2786" s="58"/>
      <c r="I2786" s="156"/>
      <c r="K2786" s="58"/>
      <c r="M2786" s="163"/>
      <c r="N2786" s="163"/>
    </row>
    <row r="2787" spans="4:14" ht="11.45" customHeight="1" x14ac:dyDescent="0.2">
      <c r="D2787" s="58"/>
      <c r="G2787" s="58"/>
      <c r="H2787" s="58"/>
      <c r="I2787" s="156"/>
      <c r="K2787" s="58"/>
      <c r="M2787" s="163"/>
      <c r="N2787" s="163"/>
    </row>
    <row r="2788" spans="4:14" ht="11.45" customHeight="1" x14ac:dyDescent="0.2">
      <c r="D2788" s="58"/>
      <c r="G2788" s="58"/>
      <c r="H2788" s="58"/>
      <c r="I2788" s="156"/>
      <c r="K2788" s="58"/>
      <c r="M2788" s="163"/>
      <c r="N2788" s="163"/>
    </row>
    <row r="2789" spans="4:14" ht="11.45" customHeight="1" x14ac:dyDescent="0.2">
      <c r="D2789" s="58"/>
      <c r="G2789" s="58"/>
      <c r="H2789" s="58"/>
      <c r="I2789" s="156"/>
      <c r="K2789" s="58"/>
      <c r="M2789" s="163"/>
      <c r="N2789" s="163"/>
    </row>
    <row r="2790" spans="4:14" ht="11.45" customHeight="1" x14ac:dyDescent="0.2">
      <c r="D2790" s="58"/>
      <c r="G2790" s="58"/>
      <c r="H2790" s="58"/>
      <c r="I2790" s="156"/>
      <c r="K2790" s="58"/>
      <c r="M2790" s="163"/>
      <c r="N2790" s="163"/>
    </row>
    <row r="2791" spans="4:14" ht="11.45" customHeight="1" x14ac:dyDescent="0.2">
      <c r="D2791" s="58"/>
      <c r="G2791" s="58"/>
      <c r="H2791" s="58"/>
      <c r="I2791" s="156"/>
      <c r="K2791" s="58"/>
      <c r="M2791" s="163"/>
      <c r="N2791" s="163"/>
    </row>
    <row r="2792" spans="4:14" ht="11.45" customHeight="1" x14ac:dyDescent="0.2">
      <c r="D2792" s="58"/>
      <c r="G2792" s="58"/>
      <c r="H2792" s="58"/>
      <c r="I2792" s="156"/>
      <c r="K2792" s="58"/>
      <c r="M2792" s="163"/>
      <c r="N2792" s="163"/>
    </row>
    <row r="2793" spans="4:14" ht="11.45" customHeight="1" x14ac:dyDescent="0.2">
      <c r="D2793" s="58"/>
      <c r="G2793" s="58"/>
      <c r="H2793" s="58"/>
      <c r="I2793" s="156"/>
      <c r="K2793" s="58"/>
      <c r="M2793" s="163"/>
      <c r="N2793" s="163"/>
    </row>
    <row r="2794" spans="4:14" ht="11.45" customHeight="1" x14ac:dyDescent="0.2">
      <c r="D2794" s="58"/>
      <c r="G2794" s="58"/>
      <c r="H2794" s="58"/>
      <c r="I2794" s="156"/>
      <c r="K2794" s="58"/>
      <c r="M2794" s="163"/>
      <c r="N2794" s="163"/>
    </row>
    <row r="2795" spans="4:14" ht="11.45" customHeight="1" x14ac:dyDescent="0.2">
      <c r="D2795" s="58"/>
      <c r="G2795" s="58"/>
      <c r="H2795" s="58"/>
      <c r="I2795" s="156"/>
      <c r="K2795" s="58"/>
      <c r="M2795" s="163"/>
      <c r="N2795" s="163"/>
    </row>
    <row r="2796" spans="4:14" ht="11.45" customHeight="1" x14ac:dyDescent="0.2">
      <c r="D2796" s="58"/>
      <c r="G2796" s="58"/>
      <c r="H2796" s="58"/>
      <c r="I2796" s="156"/>
      <c r="K2796" s="58"/>
      <c r="M2796" s="163"/>
      <c r="N2796" s="163"/>
    </row>
    <row r="2797" spans="4:14" ht="11.45" customHeight="1" x14ac:dyDescent="0.2">
      <c r="D2797" s="58"/>
      <c r="G2797" s="58"/>
      <c r="H2797" s="58"/>
      <c r="I2797" s="156"/>
      <c r="K2797" s="58"/>
      <c r="M2797" s="163"/>
      <c r="N2797" s="163"/>
    </row>
    <row r="2798" spans="4:14" ht="11.45" customHeight="1" x14ac:dyDescent="0.2">
      <c r="D2798" s="58"/>
      <c r="G2798" s="58"/>
      <c r="H2798" s="58"/>
      <c r="I2798" s="156"/>
      <c r="K2798" s="58"/>
      <c r="M2798" s="163"/>
      <c r="N2798" s="163"/>
    </row>
    <row r="2799" spans="4:14" ht="11.45" customHeight="1" x14ac:dyDescent="0.2">
      <c r="D2799" s="58"/>
      <c r="G2799" s="58"/>
      <c r="H2799" s="58"/>
      <c r="I2799" s="156"/>
      <c r="K2799" s="58"/>
      <c r="M2799" s="163"/>
      <c r="N2799" s="163"/>
    </row>
    <row r="2800" spans="4:14" ht="11.45" customHeight="1" x14ac:dyDescent="0.2">
      <c r="D2800" s="58"/>
      <c r="G2800" s="58"/>
      <c r="H2800" s="58"/>
      <c r="I2800" s="156"/>
      <c r="K2800" s="58"/>
      <c r="M2800" s="163"/>
      <c r="N2800" s="163"/>
    </row>
    <row r="2801" spans="4:14" ht="11.45" customHeight="1" x14ac:dyDescent="0.2">
      <c r="D2801" s="58"/>
      <c r="G2801" s="58"/>
      <c r="H2801" s="58"/>
      <c r="I2801" s="156"/>
      <c r="K2801" s="58"/>
      <c r="M2801" s="163"/>
      <c r="N2801" s="163"/>
    </row>
    <row r="2802" spans="4:14" ht="11.45" customHeight="1" x14ac:dyDescent="0.2">
      <c r="D2802" s="58"/>
      <c r="G2802" s="58"/>
      <c r="H2802" s="58"/>
      <c r="I2802" s="156"/>
      <c r="K2802" s="58"/>
      <c r="M2802" s="163"/>
      <c r="N2802" s="163"/>
    </row>
    <row r="2803" spans="4:14" ht="11.45" customHeight="1" x14ac:dyDescent="0.2">
      <c r="D2803" s="58"/>
      <c r="G2803" s="58"/>
      <c r="H2803" s="58"/>
      <c r="I2803" s="156"/>
      <c r="K2803" s="58"/>
      <c r="M2803" s="163"/>
      <c r="N2803" s="163"/>
    </row>
    <row r="2804" spans="4:14" ht="11.45" customHeight="1" x14ac:dyDescent="0.2">
      <c r="D2804" s="58"/>
      <c r="G2804" s="58"/>
      <c r="H2804" s="58"/>
      <c r="I2804" s="156"/>
      <c r="K2804" s="58"/>
      <c r="M2804" s="163"/>
      <c r="N2804" s="163"/>
    </row>
    <row r="2805" spans="4:14" ht="11.45" customHeight="1" x14ac:dyDescent="0.2">
      <c r="D2805" s="58"/>
      <c r="G2805" s="58"/>
      <c r="H2805" s="58"/>
      <c r="I2805" s="156"/>
      <c r="K2805" s="58"/>
      <c r="M2805" s="163"/>
      <c r="N2805" s="163"/>
    </row>
    <row r="2806" spans="4:14" ht="11.45" customHeight="1" x14ac:dyDescent="0.2">
      <c r="D2806" s="58"/>
      <c r="G2806" s="58"/>
      <c r="H2806" s="58"/>
      <c r="I2806" s="156"/>
      <c r="K2806" s="58"/>
      <c r="M2806" s="163"/>
      <c r="N2806" s="163"/>
    </row>
    <row r="2807" spans="4:14" ht="11.45" customHeight="1" x14ac:dyDescent="0.2">
      <c r="D2807" s="58"/>
      <c r="G2807" s="58"/>
      <c r="H2807" s="58"/>
      <c r="I2807" s="156"/>
      <c r="K2807" s="58"/>
      <c r="M2807" s="163"/>
      <c r="N2807" s="163"/>
    </row>
    <row r="2808" spans="4:14" ht="11.45" customHeight="1" x14ac:dyDescent="0.2">
      <c r="D2808" s="58"/>
      <c r="G2808" s="58"/>
      <c r="H2808" s="58"/>
      <c r="I2808" s="156"/>
      <c r="K2808" s="58"/>
      <c r="M2808" s="163"/>
      <c r="N2808" s="163"/>
    </row>
    <row r="2809" spans="4:14" ht="11.45" customHeight="1" x14ac:dyDescent="0.2">
      <c r="D2809" s="58"/>
      <c r="G2809" s="58"/>
      <c r="H2809" s="58"/>
      <c r="I2809" s="156"/>
      <c r="K2809" s="58"/>
      <c r="M2809" s="163"/>
      <c r="N2809" s="163"/>
    </row>
    <row r="2810" spans="4:14" ht="11.45" customHeight="1" x14ac:dyDescent="0.2">
      <c r="D2810" s="58"/>
      <c r="G2810" s="58"/>
      <c r="H2810" s="58"/>
      <c r="I2810" s="156"/>
      <c r="K2810" s="58"/>
      <c r="M2810" s="163"/>
      <c r="N2810" s="163"/>
    </row>
    <row r="2811" spans="4:14" ht="11.45" customHeight="1" x14ac:dyDescent="0.2">
      <c r="D2811" s="58"/>
      <c r="G2811" s="58"/>
      <c r="H2811" s="58"/>
      <c r="I2811" s="156"/>
      <c r="K2811" s="58"/>
      <c r="M2811" s="163"/>
      <c r="N2811" s="163"/>
    </row>
    <row r="2812" spans="4:14" ht="11.45" customHeight="1" x14ac:dyDescent="0.2">
      <c r="D2812" s="58"/>
      <c r="G2812" s="58"/>
      <c r="H2812" s="58"/>
      <c r="I2812" s="156"/>
      <c r="K2812" s="58"/>
      <c r="M2812" s="163"/>
      <c r="N2812" s="163"/>
    </row>
    <row r="2813" spans="4:14" ht="11.45" customHeight="1" x14ac:dyDescent="0.2">
      <c r="D2813" s="58"/>
      <c r="G2813" s="58"/>
      <c r="H2813" s="58"/>
      <c r="I2813" s="156"/>
      <c r="K2813" s="58"/>
      <c r="M2813" s="163"/>
      <c r="N2813" s="163"/>
    </row>
    <row r="2814" spans="4:14" ht="11.45" customHeight="1" x14ac:dyDescent="0.2">
      <c r="D2814" s="58"/>
      <c r="G2814" s="58"/>
      <c r="H2814" s="58"/>
      <c r="I2814" s="156"/>
      <c r="K2814" s="58"/>
      <c r="M2814" s="163"/>
      <c r="N2814" s="163"/>
    </row>
    <row r="2815" spans="4:14" ht="11.45" customHeight="1" x14ac:dyDescent="0.2">
      <c r="D2815" s="58"/>
      <c r="G2815" s="58"/>
      <c r="H2815" s="58"/>
      <c r="I2815" s="156"/>
      <c r="K2815" s="58"/>
      <c r="M2815" s="163"/>
      <c r="N2815" s="163"/>
    </row>
    <row r="2816" spans="4:14" ht="11.45" customHeight="1" x14ac:dyDescent="0.2">
      <c r="D2816" s="58"/>
      <c r="G2816" s="58"/>
      <c r="H2816" s="58"/>
      <c r="I2816" s="156"/>
      <c r="K2816" s="58"/>
      <c r="M2816" s="163"/>
      <c r="N2816" s="163"/>
    </row>
    <row r="2817" spans="4:14" ht="11.45" customHeight="1" x14ac:dyDescent="0.2">
      <c r="D2817" s="58"/>
      <c r="G2817" s="58"/>
      <c r="H2817" s="58"/>
      <c r="I2817" s="156"/>
      <c r="K2817" s="58"/>
      <c r="M2817" s="163"/>
      <c r="N2817" s="163"/>
    </row>
    <row r="2818" spans="4:14" ht="11.45" customHeight="1" x14ac:dyDescent="0.2">
      <c r="D2818" s="58"/>
      <c r="G2818" s="58"/>
      <c r="H2818" s="58"/>
      <c r="I2818" s="156"/>
      <c r="K2818" s="58"/>
      <c r="M2818" s="163"/>
      <c r="N2818" s="163"/>
    </row>
    <row r="2819" spans="4:14" ht="11.45" customHeight="1" x14ac:dyDescent="0.2">
      <c r="D2819" s="58"/>
      <c r="G2819" s="58"/>
      <c r="H2819" s="58"/>
      <c r="I2819" s="156"/>
      <c r="K2819" s="58"/>
      <c r="M2819" s="163"/>
      <c r="N2819" s="163"/>
    </row>
    <row r="2820" spans="4:14" ht="11.45" customHeight="1" x14ac:dyDescent="0.2">
      <c r="D2820" s="58"/>
      <c r="G2820" s="58"/>
      <c r="H2820" s="58"/>
      <c r="I2820" s="156"/>
      <c r="K2820" s="58"/>
      <c r="M2820" s="163"/>
      <c r="N2820" s="163"/>
    </row>
    <row r="2821" spans="4:14" ht="11.45" customHeight="1" x14ac:dyDescent="0.2">
      <c r="D2821" s="58"/>
      <c r="G2821" s="58"/>
      <c r="H2821" s="58"/>
      <c r="I2821" s="156"/>
      <c r="K2821" s="58"/>
      <c r="M2821" s="163"/>
      <c r="N2821" s="163"/>
    </row>
    <row r="2822" spans="4:14" ht="11.45" customHeight="1" x14ac:dyDescent="0.2">
      <c r="D2822" s="58"/>
      <c r="G2822" s="58"/>
      <c r="H2822" s="58"/>
      <c r="I2822" s="156"/>
      <c r="K2822" s="58"/>
      <c r="M2822" s="163"/>
      <c r="N2822" s="163"/>
    </row>
    <row r="2823" spans="4:14" ht="11.45" customHeight="1" x14ac:dyDescent="0.2">
      <c r="D2823" s="58"/>
      <c r="G2823" s="58"/>
      <c r="H2823" s="58"/>
      <c r="I2823" s="156"/>
      <c r="K2823" s="58"/>
      <c r="M2823" s="163"/>
      <c r="N2823" s="163"/>
    </row>
    <row r="2824" spans="4:14" ht="11.45" customHeight="1" x14ac:dyDescent="0.2">
      <c r="D2824" s="58"/>
      <c r="G2824" s="58"/>
      <c r="H2824" s="58"/>
      <c r="I2824" s="156"/>
      <c r="K2824" s="58"/>
      <c r="M2824" s="163"/>
      <c r="N2824" s="163"/>
    </row>
    <row r="2825" spans="4:14" ht="11.45" customHeight="1" x14ac:dyDescent="0.2">
      <c r="D2825" s="58"/>
      <c r="G2825" s="58"/>
      <c r="H2825" s="58"/>
      <c r="I2825" s="156"/>
      <c r="K2825" s="58"/>
      <c r="M2825" s="163"/>
      <c r="N2825" s="163"/>
    </row>
    <row r="2826" spans="4:14" ht="11.45" customHeight="1" x14ac:dyDescent="0.2">
      <c r="D2826" s="58"/>
      <c r="G2826" s="58"/>
      <c r="H2826" s="58"/>
      <c r="I2826" s="156"/>
      <c r="K2826" s="58"/>
      <c r="M2826" s="163"/>
      <c r="N2826" s="163"/>
    </row>
    <row r="2827" spans="4:14" ht="11.45" customHeight="1" x14ac:dyDescent="0.2">
      <c r="D2827" s="58"/>
      <c r="G2827" s="58"/>
      <c r="H2827" s="58"/>
      <c r="I2827" s="156"/>
      <c r="K2827" s="58"/>
      <c r="M2827" s="163"/>
      <c r="N2827" s="163"/>
    </row>
    <row r="2828" spans="4:14" ht="11.45" customHeight="1" x14ac:dyDescent="0.2">
      <c r="D2828" s="58"/>
      <c r="G2828" s="58"/>
      <c r="H2828" s="58"/>
      <c r="I2828" s="156"/>
      <c r="K2828" s="58"/>
      <c r="M2828" s="163"/>
      <c r="N2828" s="163"/>
    </row>
    <row r="2829" spans="4:14" ht="11.45" customHeight="1" x14ac:dyDescent="0.2">
      <c r="D2829" s="58"/>
      <c r="G2829" s="58"/>
      <c r="H2829" s="58"/>
      <c r="I2829" s="156"/>
      <c r="K2829" s="58"/>
      <c r="M2829" s="163"/>
      <c r="N2829" s="163"/>
    </row>
    <row r="2830" spans="4:14" ht="11.45" customHeight="1" x14ac:dyDescent="0.2">
      <c r="D2830" s="58"/>
      <c r="G2830" s="58"/>
      <c r="H2830" s="58"/>
      <c r="I2830" s="156"/>
      <c r="K2830" s="58"/>
      <c r="M2830" s="163"/>
      <c r="N2830" s="163"/>
    </row>
    <row r="2831" spans="4:14" ht="11.45" customHeight="1" x14ac:dyDescent="0.2">
      <c r="D2831" s="58"/>
      <c r="G2831" s="58"/>
      <c r="H2831" s="58"/>
      <c r="I2831" s="156"/>
      <c r="K2831" s="58"/>
      <c r="M2831" s="163"/>
      <c r="N2831" s="163"/>
    </row>
    <row r="2832" spans="4:14" ht="11.45" customHeight="1" x14ac:dyDescent="0.2">
      <c r="D2832" s="58"/>
      <c r="G2832" s="58"/>
      <c r="H2832" s="58"/>
      <c r="I2832" s="156"/>
      <c r="K2832" s="58"/>
      <c r="M2832" s="163"/>
      <c r="N2832" s="163"/>
    </row>
    <row r="2833" spans="4:14" ht="11.45" customHeight="1" x14ac:dyDescent="0.2">
      <c r="D2833" s="58"/>
      <c r="G2833" s="58"/>
      <c r="H2833" s="58"/>
      <c r="I2833" s="156"/>
      <c r="K2833" s="58"/>
      <c r="M2833" s="163"/>
      <c r="N2833" s="163"/>
    </row>
    <row r="2834" spans="4:14" ht="11.45" customHeight="1" x14ac:dyDescent="0.2">
      <c r="D2834" s="58"/>
      <c r="G2834" s="58"/>
      <c r="H2834" s="58"/>
      <c r="I2834" s="156"/>
      <c r="K2834" s="58"/>
      <c r="M2834" s="163"/>
      <c r="N2834" s="163"/>
    </row>
    <row r="2835" spans="4:14" ht="11.45" customHeight="1" x14ac:dyDescent="0.2">
      <c r="D2835" s="58"/>
      <c r="G2835" s="58"/>
      <c r="H2835" s="58"/>
      <c r="I2835" s="156"/>
      <c r="K2835" s="58"/>
      <c r="M2835" s="163"/>
      <c r="N2835" s="163"/>
    </row>
    <row r="2836" spans="4:14" ht="11.45" customHeight="1" x14ac:dyDescent="0.2">
      <c r="D2836" s="58"/>
      <c r="G2836" s="58"/>
      <c r="H2836" s="58"/>
      <c r="I2836" s="156"/>
      <c r="K2836" s="58"/>
      <c r="M2836" s="163"/>
      <c r="N2836" s="163"/>
    </row>
    <row r="2837" spans="4:14" ht="11.45" customHeight="1" x14ac:dyDescent="0.2">
      <c r="D2837" s="58"/>
      <c r="G2837" s="58"/>
      <c r="H2837" s="58"/>
      <c r="I2837" s="156"/>
      <c r="K2837" s="58"/>
      <c r="M2837" s="163"/>
      <c r="N2837" s="163"/>
    </row>
    <row r="2838" spans="4:14" ht="11.45" customHeight="1" x14ac:dyDescent="0.2">
      <c r="D2838" s="58"/>
      <c r="G2838" s="58"/>
      <c r="H2838" s="58"/>
      <c r="I2838" s="156"/>
      <c r="K2838" s="58"/>
      <c r="M2838" s="163"/>
      <c r="N2838" s="163"/>
    </row>
    <row r="2839" spans="4:14" ht="11.45" customHeight="1" x14ac:dyDescent="0.2">
      <c r="D2839" s="58"/>
      <c r="G2839" s="58"/>
      <c r="H2839" s="58"/>
      <c r="I2839" s="156"/>
      <c r="K2839" s="58"/>
      <c r="M2839" s="163"/>
      <c r="N2839" s="163"/>
    </row>
    <row r="2840" spans="4:14" ht="11.45" customHeight="1" x14ac:dyDescent="0.2">
      <c r="D2840" s="58"/>
      <c r="G2840" s="58"/>
      <c r="H2840" s="58"/>
      <c r="I2840" s="156"/>
      <c r="K2840" s="58"/>
      <c r="M2840" s="163"/>
      <c r="N2840" s="163"/>
    </row>
    <row r="2841" spans="4:14" ht="11.45" customHeight="1" x14ac:dyDescent="0.2">
      <c r="D2841" s="58"/>
      <c r="G2841" s="58"/>
      <c r="H2841" s="58"/>
      <c r="I2841" s="156"/>
      <c r="K2841" s="58"/>
      <c r="M2841" s="163"/>
      <c r="N2841" s="163"/>
    </row>
    <row r="2842" spans="4:14" ht="11.45" customHeight="1" x14ac:dyDescent="0.2">
      <c r="D2842" s="58"/>
      <c r="G2842" s="58"/>
      <c r="H2842" s="58"/>
      <c r="I2842" s="156"/>
      <c r="K2842" s="58"/>
      <c r="M2842" s="163"/>
      <c r="N2842" s="163"/>
    </row>
    <row r="2843" spans="4:14" ht="11.45" customHeight="1" x14ac:dyDescent="0.2">
      <c r="D2843" s="58"/>
      <c r="G2843" s="58"/>
      <c r="H2843" s="58"/>
      <c r="I2843" s="156"/>
      <c r="K2843" s="58"/>
      <c r="M2843" s="163"/>
      <c r="N2843" s="163"/>
    </row>
    <row r="2844" spans="4:14" ht="11.45" customHeight="1" x14ac:dyDescent="0.2">
      <c r="D2844" s="58"/>
      <c r="G2844" s="58"/>
      <c r="H2844" s="58"/>
      <c r="I2844" s="156"/>
      <c r="K2844" s="58"/>
      <c r="M2844" s="163"/>
      <c r="N2844" s="163"/>
    </row>
    <row r="2845" spans="4:14" ht="11.45" customHeight="1" x14ac:dyDescent="0.2">
      <c r="D2845" s="58"/>
      <c r="G2845" s="58"/>
      <c r="H2845" s="58"/>
      <c r="I2845" s="156"/>
      <c r="K2845" s="58"/>
      <c r="M2845" s="163"/>
      <c r="N2845" s="163"/>
    </row>
    <row r="2846" spans="4:14" ht="11.45" customHeight="1" x14ac:dyDescent="0.2">
      <c r="D2846" s="58"/>
      <c r="G2846" s="58"/>
      <c r="H2846" s="58"/>
      <c r="I2846" s="156"/>
      <c r="K2846" s="58"/>
      <c r="M2846" s="163"/>
      <c r="N2846" s="163"/>
    </row>
    <row r="2847" spans="4:14" ht="11.45" customHeight="1" x14ac:dyDescent="0.2">
      <c r="D2847" s="58"/>
      <c r="G2847" s="58"/>
      <c r="H2847" s="58"/>
      <c r="I2847" s="156"/>
      <c r="K2847" s="58"/>
      <c r="M2847" s="163"/>
      <c r="N2847" s="163"/>
    </row>
    <row r="2848" spans="4:14" ht="11.45" customHeight="1" x14ac:dyDescent="0.2">
      <c r="D2848" s="58"/>
      <c r="G2848" s="58"/>
      <c r="H2848" s="58"/>
      <c r="I2848" s="156"/>
      <c r="K2848" s="58"/>
      <c r="M2848" s="163"/>
      <c r="N2848" s="163"/>
    </row>
    <row r="2849" spans="4:14" ht="11.45" customHeight="1" x14ac:dyDescent="0.2">
      <c r="D2849" s="58"/>
      <c r="G2849" s="58"/>
      <c r="H2849" s="58"/>
      <c r="I2849" s="156"/>
      <c r="K2849" s="58"/>
      <c r="M2849" s="163"/>
      <c r="N2849" s="163"/>
    </row>
    <row r="2850" spans="4:14" ht="11.45" customHeight="1" x14ac:dyDescent="0.2">
      <c r="D2850" s="58"/>
      <c r="G2850" s="58"/>
      <c r="H2850" s="58"/>
      <c r="I2850" s="156"/>
      <c r="K2850" s="58"/>
      <c r="M2850" s="163"/>
      <c r="N2850" s="163"/>
    </row>
    <row r="2851" spans="4:14" ht="11.45" customHeight="1" x14ac:dyDescent="0.2">
      <c r="D2851" s="58"/>
      <c r="G2851" s="58"/>
      <c r="H2851" s="58"/>
      <c r="I2851" s="156"/>
      <c r="K2851" s="58"/>
      <c r="M2851" s="163"/>
      <c r="N2851" s="163"/>
    </row>
    <row r="2852" spans="4:14" ht="11.45" customHeight="1" x14ac:dyDescent="0.2">
      <c r="D2852" s="58"/>
      <c r="G2852" s="58"/>
      <c r="H2852" s="58"/>
      <c r="I2852" s="156"/>
      <c r="K2852" s="58"/>
      <c r="M2852" s="163"/>
      <c r="N2852" s="163"/>
    </row>
    <row r="2853" spans="4:14" ht="11.45" customHeight="1" x14ac:dyDescent="0.2">
      <c r="D2853" s="58"/>
      <c r="G2853" s="58"/>
      <c r="H2853" s="58"/>
      <c r="I2853" s="156"/>
      <c r="K2853" s="58"/>
      <c r="M2853" s="163"/>
      <c r="N2853" s="163"/>
    </row>
    <row r="2854" spans="4:14" ht="11.45" customHeight="1" x14ac:dyDescent="0.2">
      <c r="D2854" s="58"/>
      <c r="G2854" s="58"/>
      <c r="H2854" s="58"/>
      <c r="I2854" s="156"/>
      <c r="K2854" s="58"/>
      <c r="M2854" s="163"/>
      <c r="N2854" s="163"/>
    </row>
    <row r="2855" spans="4:14" ht="11.45" customHeight="1" x14ac:dyDescent="0.2">
      <c r="D2855" s="58"/>
      <c r="G2855" s="58"/>
      <c r="H2855" s="58"/>
      <c r="I2855" s="156"/>
      <c r="K2855" s="58"/>
      <c r="M2855" s="163"/>
      <c r="N2855" s="163"/>
    </row>
    <row r="2856" spans="4:14" ht="11.45" customHeight="1" x14ac:dyDescent="0.2">
      <c r="D2856" s="58"/>
      <c r="G2856" s="58"/>
      <c r="H2856" s="58"/>
      <c r="I2856" s="156"/>
      <c r="K2856" s="58"/>
      <c r="M2856" s="163"/>
      <c r="N2856" s="163"/>
    </row>
    <row r="2857" spans="4:14" ht="11.45" customHeight="1" x14ac:dyDescent="0.2">
      <c r="D2857" s="58"/>
      <c r="G2857" s="58"/>
      <c r="H2857" s="58"/>
      <c r="I2857" s="156"/>
      <c r="K2857" s="58"/>
      <c r="M2857" s="163"/>
      <c r="N2857" s="163"/>
    </row>
    <row r="2858" spans="4:14" ht="11.45" customHeight="1" x14ac:dyDescent="0.2">
      <c r="D2858" s="58"/>
      <c r="G2858" s="58"/>
      <c r="H2858" s="58"/>
      <c r="I2858" s="156"/>
      <c r="K2858" s="58"/>
      <c r="M2858" s="163"/>
      <c r="N2858" s="163"/>
    </row>
    <row r="2859" spans="4:14" ht="11.45" customHeight="1" x14ac:dyDescent="0.2">
      <c r="D2859" s="58"/>
      <c r="G2859" s="58"/>
      <c r="H2859" s="58"/>
      <c r="I2859" s="156"/>
      <c r="K2859" s="58"/>
      <c r="M2859" s="163"/>
      <c r="N2859" s="163"/>
    </row>
    <row r="2860" spans="4:14" ht="11.45" customHeight="1" x14ac:dyDescent="0.2">
      <c r="D2860" s="58"/>
      <c r="G2860" s="58"/>
      <c r="H2860" s="58"/>
      <c r="I2860" s="156"/>
      <c r="K2860" s="58"/>
      <c r="M2860" s="163"/>
      <c r="N2860" s="163"/>
    </row>
    <row r="2861" spans="4:14" ht="11.45" customHeight="1" x14ac:dyDescent="0.2">
      <c r="D2861" s="58"/>
      <c r="G2861" s="58"/>
      <c r="H2861" s="58"/>
      <c r="I2861" s="156"/>
      <c r="K2861" s="58"/>
      <c r="M2861" s="163"/>
      <c r="N2861" s="163"/>
    </row>
    <row r="2862" spans="4:14" ht="11.45" customHeight="1" x14ac:dyDescent="0.2">
      <c r="D2862" s="58"/>
      <c r="G2862" s="58"/>
      <c r="H2862" s="58"/>
      <c r="I2862" s="156"/>
      <c r="K2862" s="58"/>
      <c r="M2862" s="163"/>
      <c r="N2862" s="163"/>
    </row>
    <row r="2863" spans="4:14" ht="11.45" customHeight="1" x14ac:dyDescent="0.2">
      <c r="D2863" s="58"/>
      <c r="G2863" s="58"/>
      <c r="H2863" s="58"/>
      <c r="I2863" s="156"/>
      <c r="K2863" s="58"/>
      <c r="M2863" s="163"/>
      <c r="N2863" s="163"/>
    </row>
    <row r="2864" spans="4:14" ht="11.45" customHeight="1" x14ac:dyDescent="0.2">
      <c r="D2864" s="58"/>
      <c r="G2864" s="58"/>
      <c r="H2864" s="58"/>
      <c r="I2864" s="156"/>
      <c r="K2864" s="58"/>
      <c r="M2864" s="163"/>
      <c r="N2864" s="163"/>
    </row>
    <row r="2865" spans="4:14" ht="11.45" customHeight="1" x14ac:dyDescent="0.2">
      <c r="D2865" s="58"/>
      <c r="G2865" s="58"/>
      <c r="H2865" s="58"/>
      <c r="I2865" s="156"/>
      <c r="K2865" s="58"/>
      <c r="M2865" s="163"/>
      <c r="N2865" s="163"/>
    </row>
    <row r="2866" spans="4:14" ht="11.45" customHeight="1" x14ac:dyDescent="0.2">
      <c r="D2866" s="58"/>
      <c r="G2866" s="58"/>
      <c r="H2866" s="58"/>
      <c r="I2866" s="156"/>
      <c r="K2866" s="58"/>
      <c r="M2866" s="163"/>
      <c r="N2866" s="163"/>
    </row>
    <row r="2867" spans="4:14" ht="11.45" customHeight="1" x14ac:dyDescent="0.2">
      <c r="D2867" s="58"/>
      <c r="G2867" s="58"/>
      <c r="H2867" s="58"/>
      <c r="I2867" s="156"/>
      <c r="K2867" s="58"/>
      <c r="M2867" s="163"/>
      <c r="N2867" s="163"/>
    </row>
    <row r="2868" spans="4:14" ht="11.45" customHeight="1" x14ac:dyDescent="0.2">
      <c r="D2868" s="58"/>
      <c r="G2868" s="58"/>
      <c r="H2868" s="58"/>
      <c r="I2868" s="156"/>
      <c r="K2868" s="58"/>
      <c r="M2868" s="163"/>
      <c r="N2868" s="163"/>
    </row>
    <row r="2869" spans="4:14" ht="11.45" customHeight="1" x14ac:dyDescent="0.2">
      <c r="D2869" s="58"/>
      <c r="G2869" s="58"/>
      <c r="H2869" s="58"/>
      <c r="I2869" s="156"/>
      <c r="K2869" s="58"/>
      <c r="M2869" s="163"/>
      <c r="N2869" s="163"/>
    </row>
    <row r="2870" spans="4:14" ht="11.45" customHeight="1" x14ac:dyDescent="0.2">
      <c r="D2870" s="58"/>
      <c r="G2870" s="58"/>
      <c r="H2870" s="58"/>
      <c r="I2870" s="156"/>
      <c r="K2870" s="58"/>
      <c r="M2870" s="163"/>
      <c r="N2870" s="163"/>
    </row>
    <row r="2871" spans="4:14" ht="11.45" customHeight="1" x14ac:dyDescent="0.2">
      <c r="D2871" s="58"/>
      <c r="G2871" s="58"/>
      <c r="H2871" s="58"/>
      <c r="I2871" s="156"/>
      <c r="K2871" s="58"/>
      <c r="M2871" s="163"/>
      <c r="N2871" s="163"/>
    </row>
    <row r="2872" spans="4:14" ht="11.45" customHeight="1" x14ac:dyDescent="0.2">
      <c r="D2872" s="58"/>
      <c r="G2872" s="58"/>
      <c r="H2872" s="58"/>
      <c r="I2872" s="156"/>
      <c r="K2872" s="58"/>
      <c r="M2872" s="163"/>
      <c r="N2872" s="163"/>
    </row>
    <row r="2873" spans="4:14" ht="11.45" customHeight="1" x14ac:dyDescent="0.2">
      <c r="D2873" s="58"/>
      <c r="G2873" s="58"/>
      <c r="H2873" s="58"/>
      <c r="I2873" s="156"/>
      <c r="K2873" s="58"/>
      <c r="M2873" s="163"/>
      <c r="N2873" s="163"/>
    </row>
    <row r="2874" spans="4:14" ht="11.45" customHeight="1" x14ac:dyDescent="0.2">
      <c r="D2874" s="58"/>
      <c r="G2874" s="58"/>
      <c r="H2874" s="58"/>
      <c r="I2874" s="156"/>
      <c r="K2874" s="58"/>
      <c r="M2874" s="163"/>
      <c r="N2874" s="163"/>
    </row>
    <row r="2875" spans="4:14" ht="11.45" customHeight="1" x14ac:dyDescent="0.2">
      <c r="D2875" s="58"/>
      <c r="G2875" s="58"/>
      <c r="H2875" s="58"/>
      <c r="I2875" s="156"/>
      <c r="K2875" s="58"/>
      <c r="M2875" s="163"/>
      <c r="N2875" s="163"/>
    </row>
    <row r="2876" spans="4:14" ht="11.45" customHeight="1" x14ac:dyDescent="0.2">
      <c r="D2876" s="58"/>
      <c r="G2876" s="58"/>
      <c r="H2876" s="58"/>
      <c r="I2876" s="156"/>
      <c r="K2876" s="58"/>
      <c r="M2876" s="163"/>
      <c r="N2876" s="163"/>
    </row>
    <row r="2877" spans="4:14" ht="11.45" customHeight="1" x14ac:dyDescent="0.2">
      <c r="D2877" s="58"/>
      <c r="G2877" s="58"/>
      <c r="H2877" s="58"/>
      <c r="I2877" s="156"/>
      <c r="K2877" s="58"/>
      <c r="M2877" s="163"/>
      <c r="N2877" s="163"/>
    </row>
    <row r="2878" spans="4:14" ht="11.45" customHeight="1" x14ac:dyDescent="0.2">
      <c r="D2878" s="58"/>
      <c r="G2878" s="58"/>
      <c r="H2878" s="58"/>
      <c r="I2878" s="156"/>
      <c r="K2878" s="58"/>
      <c r="M2878" s="163"/>
      <c r="N2878" s="163"/>
    </row>
    <row r="2879" spans="4:14" ht="11.45" customHeight="1" x14ac:dyDescent="0.2">
      <c r="D2879" s="58"/>
      <c r="G2879" s="58"/>
      <c r="H2879" s="58"/>
      <c r="I2879" s="156"/>
      <c r="K2879" s="58"/>
      <c r="M2879" s="163"/>
      <c r="N2879" s="163"/>
    </row>
    <row r="2880" spans="4:14" ht="11.45" customHeight="1" x14ac:dyDescent="0.2">
      <c r="D2880" s="58"/>
      <c r="G2880" s="58"/>
      <c r="H2880" s="58"/>
      <c r="I2880" s="156"/>
      <c r="K2880" s="58"/>
      <c r="M2880" s="163"/>
      <c r="N2880" s="163"/>
    </row>
    <row r="2881" spans="4:14" ht="11.45" customHeight="1" x14ac:dyDescent="0.2">
      <c r="D2881" s="58"/>
      <c r="G2881" s="58"/>
      <c r="H2881" s="58"/>
      <c r="I2881" s="156"/>
      <c r="K2881" s="58"/>
      <c r="M2881" s="163"/>
      <c r="N2881" s="163"/>
    </row>
    <row r="2882" spans="4:14" ht="11.45" customHeight="1" x14ac:dyDescent="0.2">
      <c r="D2882" s="58"/>
      <c r="G2882" s="58"/>
      <c r="H2882" s="58"/>
      <c r="I2882" s="156"/>
      <c r="K2882" s="58"/>
      <c r="M2882" s="163"/>
      <c r="N2882" s="163"/>
    </row>
    <row r="2883" spans="4:14" ht="11.45" customHeight="1" x14ac:dyDescent="0.2">
      <c r="D2883" s="58"/>
      <c r="G2883" s="58"/>
      <c r="H2883" s="58"/>
      <c r="I2883" s="156"/>
      <c r="K2883" s="58"/>
      <c r="M2883" s="163"/>
      <c r="N2883" s="163"/>
    </row>
    <row r="2884" spans="4:14" ht="11.45" customHeight="1" x14ac:dyDescent="0.2">
      <c r="D2884" s="58"/>
      <c r="G2884" s="58"/>
      <c r="H2884" s="58"/>
      <c r="I2884" s="156"/>
      <c r="K2884" s="58"/>
      <c r="M2884" s="163"/>
      <c r="N2884" s="163"/>
    </row>
    <row r="2885" spans="4:14" ht="11.45" customHeight="1" x14ac:dyDescent="0.2">
      <c r="D2885" s="58"/>
      <c r="G2885" s="58"/>
      <c r="H2885" s="58"/>
      <c r="I2885" s="156"/>
      <c r="K2885" s="58"/>
      <c r="M2885" s="163"/>
      <c r="N2885" s="163"/>
    </row>
    <row r="2886" spans="4:14" ht="11.45" customHeight="1" x14ac:dyDescent="0.2">
      <c r="D2886" s="58"/>
      <c r="G2886" s="58"/>
      <c r="H2886" s="58"/>
      <c r="I2886" s="156"/>
      <c r="K2886" s="58"/>
      <c r="M2886" s="163"/>
      <c r="N2886" s="163"/>
    </row>
    <row r="2887" spans="4:14" ht="11.45" customHeight="1" x14ac:dyDescent="0.2">
      <c r="D2887" s="58"/>
      <c r="G2887" s="58"/>
      <c r="H2887" s="58"/>
      <c r="I2887" s="156"/>
      <c r="K2887" s="58"/>
      <c r="M2887" s="163"/>
      <c r="N2887" s="163"/>
    </row>
    <row r="2888" spans="4:14" ht="11.45" customHeight="1" x14ac:dyDescent="0.2">
      <c r="D2888" s="58"/>
      <c r="G2888" s="58"/>
      <c r="H2888" s="58"/>
      <c r="I2888" s="156"/>
      <c r="K2888" s="58"/>
      <c r="M2888" s="163"/>
      <c r="N2888" s="163"/>
    </row>
    <row r="2889" spans="4:14" ht="11.45" customHeight="1" x14ac:dyDescent="0.2">
      <c r="D2889" s="58"/>
      <c r="G2889" s="58"/>
      <c r="H2889" s="58"/>
      <c r="I2889" s="156"/>
      <c r="K2889" s="58"/>
      <c r="M2889" s="163"/>
      <c r="N2889" s="163"/>
    </row>
    <row r="2890" spans="4:14" ht="11.45" customHeight="1" x14ac:dyDescent="0.2">
      <c r="D2890" s="58"/>
      <c r="G2890" s="58"/>
      <c r="H2890" s="58"/>
      <c r="I2890" s="156"/>
      <c r="K2890" s="58"/>
      <c r="M2890" s="163"/>
      <c r="N2890" s="163"/>
    </row>
    <row r="2891" spans="4:14" ht="11.45" customHeight="1" x14ac:dyDescent="0.2">
      <c r="D2891" s="58"/>
      <c r="G2891" s="58"/>
      <c r="H2891" s="58"/>
      <c r="I2891" s="156"/>
      <c r="K2891" s="58"/>
      <c r="M2891" s="163"/>
      <c r="N2891" s="163"/>
    </row>
    <row r="2892" spans="4:14" ht="11.45" customHeight="1" x14ac:dyDescent="0.2">
      <c r="D2892" s="58"/>
      <c r="G2892" s="58"/>
      <c r="H2892" s="58"/>
      <c r="I2892" s="156"/>
      <c r="K2892" s="58"/>
      <c r="M2892" s="163"/>
      <c r="N2892" s="163"/>
    </row>
    <row r="2893" spans="4:14" ht="11.45" customHeight="1" x14ac:dyDescent="0.2">
      <c r="D2893" s="58"/>
      <c r="G2893" s="58"/>
      <c r="H2893" s="58"/>
      <c r="I2893" s="156"/>
      <c r="K2893" s="58"/>
      <c r="M2893" s="163"/>
      <c r="N2893" s="163"/>
    </row>
    <row r="2894" spans="4:14" ht="11.45" customHeight="1" x14ac:dyDescent="0.2">
      <c r="D2894" s="58"/>
      <c r="G2894" s="58"/>
      <c r="H2894" s="58"/>
      <c r="I2894" s="156"/>
      <c r="K2894" s="58"/>
      <c r="M2894" s="163"/>
      <c r="N2894" s="163"/>
    </row>
    <row r="2895" spans="4:14" ht="11.45" customHeight="1" x14ac:dyDescent="0.2">
      <c r="D2895" s="58"/>
      <c r="G2895" s="58"/>
      <c r="H2895" s="58"/>
      <c r="I2895" s="156"/>
      <c r="K2895" s="58"/>
      <c r="M2895" s="163"/>
      <c r="N2895" s="163"/>
    </row>
    <row r="2896" spans="4:14" ht="11.45" customHeight="1" x14ac:dyDescent="0.2">
      <c r="D2896" s="58"/>
      <c r="G2896" s="58"/>
      <c r="H2896" s="58"/>
      <c r="I2896" s="156"/>
      <c r="K2896" s="58"/>
      <c r="M2896" s="163"/>
      <c r="N2896" s="163"/>
    </row>
    <row r="2897" spans="4:14" ht="11.45" customHeight="1" x14ac:dyDescent="0.2">
      <c r="D2897" s="58"/>
      <c r="G2897" s="58"/>
      <c r="H2897" s="58"/>
      <c r="I2897" s="156"/>
      <c r="K2897" s="58"/>
      <c r="M2897" s="163"/>
      <c r="N2897" s="163"/>
    </row>
    <row r="2898" spans="4:14" ht="11.45" customHeight="1" x14ac:dyDescent="0.2">
      <c r="D2898" s="58"/>
      <c r="G2898" s="58"/>
      <c r="H2898" s="58"/>
      <c r="I2898" s="156"/>
      <c r="K2898" s="58"/>
      <c r="M2898" s="163"/>
      <c r="N2898" s="163"/>
    </row>
    <row r="2899" spans="4:14" ht="11.45" customHeight="1" x14ac:dyDescent="0.2">
      <c r="D2899" s="58"/>
      <c r="G2899" s="58"/>
      <c r="H2899" s="58"/>
      <c r="I2899" s="156"/>
      <c r="K2899" s="58"/>
      <c r="M2899" s="163"/>
      <c r="N2899" s="163"/>
    </row>
    <row r="2900" spans="4:14" ht="11.45" customHeight="1" x14ac:dyDescent="0.2">
      <c r="D2900" s="58"/>
      <c r="G2900" s="58"/>
      <c r="H2900" s="58"/>
      <c r="I2900" s="156"/>
      <c r="K2900" s="58"/>
      <c r="M2900" s="163"/>
      <c r="N2900" s="163"/>
    </row>
    <row r="2901" spans="4:14" ht="11.45" customHeight="1" x14ac:dyDescent="0.2">
      <c r="D2901" s="58"/>
      <c r="G2901" s="58"/>
      <c r="H2901" s="58"/>
      <c r="I2901" s="156"/>
      <c r="K2901" s="58"/>
      <c r="M2901" s="163"/>
      <c r="N2901" s="163"/>
    </row>
    <row r="2902" spans="4:14" ht="11.45" customHeight="1" x14ac:dyDescent="0.2">
      <c r="D2902" s="58"/>
      <c r="G2902" s="58"/>
      <c r="H2902" s="58"/>
      <c r="I2902" s="156"/>
      <c r="K2902" s="58"/>
      <c r="M2902" s="163"/>
      <c r="N2902" s="163"/>
    </row>
    <row r="2903" spans="4:14" ht="11.45" customHeight="1" x14ac:dyDescent="0.2">
      <c r="D2903" s="58"/>
      <c r="G2903" s="58"/>
      <c r="H2903" s="58"/>
      <c r="I2903" s="156"/>
      <c r="K2903" s="58"/>
      <c r="M2903" s="163"/>
      <c r="N2903" s="163"/>
    </row>
    <row r="2904" spans="4:14" ht="11.45" customHeight="1" x14ac:dyDescent="0.2">
      <c r="D2904" s="58"/>
      <c r="G2904" s="58"/>
      <c r="H2904" s="58"/>
      <c r="I2904" s="156"/>
      <c r="K2904" s="58"/>
      <c r="M2904" s="163"/>
      <c r="N2904" s="163"/>
    </row>
    <row r="2905" spans="4:14" ht="11.45" customHeight="1" x14ac:dyDescent="0.2">
      <c r="D2905" s="58"/>
      <c r="G2905" s="58"/>
      <c r="H2905" s="58"/>
      <c r="I2905" s="156"/>
      <c r="K2905" s="58"/>
      <c r="M2905" s="163"/>
      <c r="N2905" s="163"/>
    </row>
    <row r="2906" spans="4:14" ht="11.45" customHeight="1" x14ac:dyDescent="0.2">
      <c r="D2906" s="58"/>
      <c r="G2906" s="58"/>
      <c r="H2906" s="58"/>
      <c r="I2906" s="156"/>
      <c r="K2906" s="58"/>
      <c r="M2906" s="163"/>
      <c r="N2906" s="163"/>
    </row>
    <row r="2907" spans="4:14" ht="11.45" customHeight="1" x14ac:dyDescent="0.2">
      <c r="D2907" s="58"/>
      <c r="G2907" s="58"/>
      <c r="H2907" s="58"/>
      <c r="I2907" s="156"/>
      <c r="K2907" s="58"/>
      <c r="M2907" s="163"/>
      <c r="N2907" s="163"/>
    </row>
    <row r="2908" spans="4:14" ht="11.45" customHeight="1" x14ac:dyDescent="0.2">
      <c r="D2908" s="58"/>
      <c r="G2908" s="58"/>
      <c r="H2908" s="58"/>
      <c r="I2908" s="156"/>
      <c r="K2908" s="58"/>
      <c r="M2908" s="163"/>
      <c r="N2908" s="163"/>
    </row>
    <row r="2909" spans="4:14" ht="11.45" customHeight="1" x14ac:dyDescent="0.2">
      <c r="D2909" s="58"/>
      <c r="G2909" s="58"/>
      <c r="H2909" s="58"/>
      <c r="I2909" s="156"/>
      <c r="K2909" s="58"/>
      <c r="M2909" s="163"/>
      <c r="N2909" s="163"/>
    </row>
    <row r="2910" spans="4:14" ht="11.45" customHeight="1" x14ac:dyDescent="0.2">
      <c r="D2910" s="58"/>
      <c r="G2910" s="58"/>
      <c r="H2910" s="58"/>
      <c r="I2910" s="156"/>
      <c r="K2910" s="58"/>
      <c r="M2910" s="163"/>
      <c r="N2910" s="163"/>
    </row>
    <row r="2911" spans="4:14" ht="11.45" customHeight="1" x14ac:dyDescent="0.2">
      <c r="D2911" s="58"/>
      <c r="G2911" s="58"/>
      <c r="H2911" s="58"/>
      <c r="I2911" s="156"/>
      <c r="K2911" s="58"/>
      <c r="M2911" s="163"/>
      <c r="N2911" s="163"/>
    </row>
    <row r="2912" spans="4:14" ht="11.45" customHeight="1" x14ac:dyDescent="0.2">
      <c r="D2912" s="58"/>
      <c r="G2912" s="58"/>
      <c r="H2912" s="58"/>
      <c r="I2912" s="156"/>
      <c r="K2912" s="58"/>
      <c r="M2912" s="163"/>
      <c r="N2912" s="163"/>
    </row>
    <row r="2913" spans="4:14" ht="11.45" customHeight="1" x14ac:dyDescent="0.2">
      <c r="D2913" s="58"/>
      <c r="G2913" s="58"/>
      <c r="H2913" s="58"/>
      <c r="I2913" s="156"/>
      <c r="K2913" s="58"/>
      <c r="M2913" s="163"/>
      <c r="N2913" s="163"/>
    </row>
    <row r="2914" spans="4:14" ht="11.45" customHeight="1" x14ac:dyDescent="0.2">
      <c r="D2914" s="58"/>
      <c r="G2914" s="58"/>
      <c r="H2914" s="58"/>
      <c r="I2914" s="156"/>
      <c r="K2914" s="58"/>
      <c r="M2914" s="163"/>
      <c r="N2914" s="163"/>
    </row>
    <row r="2915" spans="4:14" ht="11.45" customHeight="1" x14ac:dyDescent="0.2">
      <c r="D2915" s="58"/>
      <c r="G2915" s="58"/>
      <c r="H2915" s="58"/>
      <c r="I2915" s="156"/>
      <c r="K2915" s="58"/>
      <c r="M2915" s="163"/>
      <c r="N2915" s="163"/>
    </row>
    <row r="2916" spans="4:14" ht="11.45" customHeight="1" x14ac:dyDescent="0.2">
      <c r="D2916" s="58"/>
      <c r="G2916" s="58"/>
      <c r="H2916" s="58"/>
      <c r="I2916" s="156"/>
      <c r="K2916" s="58"/>
      <c r="M2916" s="163"/>
      <c r="N2916" s="163"/>
    </row>
    <row r="2917" spans="4:14" ht="11.45" customHeight="1" x14ac:dyDescent="0.2">
      <c r="D2917" s="58"/>
      <c r="G2917" s="58"/>
      <c r="H2917" s="58"/>
      <c r="I2917" s="156"/>
      <c r="K2917" s="58"/>
      <c r="M2917" s="163"/>
      <c r="N2917" s="163"/>
    </row>
    <row r="2918" spans="4:14" ht="11.45" customHeight="1" x14ac:dyDescent="0.2">
      <c r="D2918" s="58"/>
      <c r="G2918" s="58"/>
      <c r="H2918" s="58"/>
      <c r="I2918" s="156"/>
      <c r="K2918" s="58"/>
      <c r="M2918" s="163"/>
      <c r="N2918" s="163"/>
    </row>
    <row r="2919" spans="4:14" ht="11.45" customHeight="1" x14ac:dyDescent="0.2">
      <c r="D2919" s="58"/>
      <c r="G2919" s="58"/>
      <c r="H2919" s="58"/>
      <c r="I2919" s="156"/>
      <c r="K2919" s="58"/>
      <c r="M2919" s="163"/>
      <c r="N2919" s="163"/>
    </row>
    <row r="2920" spans="4:14" ht="11.45" customHeight="1" x14ac:dyDescent="0.2">
      <c r="D2920" s="58"/>
      <c r="G2920" s="58"/>
      <c r="H2920" s="58"/>
      <c r="I2920" s="156"/>
      <c r="K2920" s="58"/>
      <c r="M2920" s="163"/>
      <c r="N2920" s="163"/>
    </row>
    <row r="2921" spans="4:14" ht="11.45" customHeight="1" x14ac:dyDescent="0.2">
      <c r="D2921" s="58"/>
      <c r="G2921" s="58"/>
      <c r="H2921" s="58"/>
      <c r="I2921" s="156"/>
      <c r="K2921" s="58"/>
      <c r="M2921" s="163"/>
      <c r="N2921" s="163"/>
    </row>
    <row r="2922" spans="4:14" ht="11.45" customHeight="1" x14ac:dyDescent="0.2">
      <c r="D2922" s="58"/>
      <c r="G2922" s="58"/>
      <c r="H2922" s="58"/>
      <c r="I2922" s="156"/>
      <c r="K2922" s="58"/>
      <c r="M2922" s="163"/>
      <c r="N2922" s="163"/>
    </row>
    <row r="2923" spans="4:14" ht="11.45" customHeight="1" x14ac:dyDescent="0.2">
      <c r="D2923" s="58"/>
      <c r="G2923" s="58"/>
      <c r="H2923" s="58"/>
      <c r="I2923" s="156"/>
      <c r="K2923" s="58"/>
      <c r="M2923" s="163"/>
      <c r="N2923" s="163"/>
    </row>
    <row r="2924" spans="4:14" ht="11.45" customHeight="1" x14ac:dyDescent="0.2">
      <c r="D2924" s="58"/>
      <c r="G2924" s="58"/>
      <c r="H2924" s="58"/>
      <c r="I2924" s="156"/>
      <c r="K2924" s="58"/>
      <c r="M2924" s="163"/>
      <c r="N2924" s="163"/>
    </row>
    <row r="2925" spans="4:14" ht="11.45" customHeight="1" x14ac:dyDescent="0.2">
      <c r="D2925" s="58"/>
      <c r="G2925" s="58"/>
      <c r="H2925" s="58"/>
      <c r="I2925" s="156"/>
      <c r="K2925" s="58"/>
      <c r="M2925" s="163"/>
      <c r="N2925" s="163"/>
    </row>
    <row r="2926" spans="4:14" ht="11.45" customHeight="1" x14ac:dyDescent="0.2">
      <c r="D2926" s="58"/>
      <c r="G2926" s="58"/>
      <c r="H2926" s="58"/>
      <c r="I2926" s="156"/>
      <c r="K2926" s="58"/>
      <c r="M2926" s="163"/>
      <c r="N2926" s="163"/>
    </row>
    <row r="2927" spans="4:14" ht="11.45" customHeight="1" x14ac:dyDescent="0.2">
      <c r="D2927" s="58"/>
      <c r="G2927" s="58"/>
      <c r="H2927" s="58"/>
      <c r="I2927" s="156"/>
      <c r="K2927" s="58"/>
      <c r="M2927" s="163"/>
      <c r="N2927" s="163"/>
    </row>
    <row r="2928" spans="4:14" ht="11.45" customHeight="1" x14ac:dyDescent="0.2">
      <c r="D2928" s="58"/>
      <c r="G2928" s="58"/>
      <c r="H2928" s="58"/>
      <c r="I2928" s="156"/>
      <c r="K2928" s="58"/>
      <c r="M2928" s="163"/>
      <c r="N2928" s="163"/>
    </row>
    <row r="2929" spans="4:14" ht="11.45" customHeight="1" x14ac:dyDescent="0.2">
      <c r="D2929" s="58"/>
      <c r="G2929" s="58"/>
      <c r="H2929" s="58"/>
      <c r="I2929" s="156"/>
      <c r="K2929" s="58"/>
      <c r="M2929" s="163"/>
      <c r="N2929" s="163"/>
    </row>
    <row r="2930" spans="4:14" ht="11.45" customHeight="1" x14ac:dyDescent="0.2">
      <c r="D2930" s="58"/>
      <c r="G2930" s="58"/>
      <c r="H2930" s="58"/>
      <c r="I2930" s="156"/>
      <c r="K2930" s="58"/>
      <c r="M2930" s="163"/>
      <c r="N2930" s="163"/>
    </row>
    <row r="2931" spans="4:14" ht="11.45" customHeight="1" x14ac:dyDescent="0.2">
      <c r="D2931" s="58"/>
      <c r="G2931" s="58"/>
      <c r="H2931" s="58"/>
      <c r="I2931" s="156"/>
      <c r="K2931" s="58"/>
      <c r="M2931" s="163"/>
      <c r="N2931" s="163"/>
    </row>
    <row r="2932" spans="4:14" ht="11.45" customHeight="1" x14ac:dyDescent="0.2">
      <c r="D2932" s="58"/>
      <c r="G2932" s="58"/>
      <c r="H2932" s="58"/>
      <c r="I2932" s="156"/>
      <c r="K2932" s="58"/>
      <c r="M2932" s="163"/>
      <c r="N2932" s="163"/>
    </row>
    <row r="2933" spans="4:14" ht="11.45" customHeight="1" x14ac:dyDescent="0.2">
      <c r="D2933" s="58"/>
      <c r="G2933" s="58"/>
      <c r="H2933" s="58"/>
      <c r="I2933" s="156"/>
      <c r="K2933" s="58"/>
      <c r="M2933" s="163"/>
      <c r="N2933" s="163"/>
    </row>
    <row r="2934" spans="4:14" ht="11.45" customHeight="1" x14ac:dyDescent="0.2">
      <c r="D2934" s="58"/>
      <c r="G2934" s="58"/>
      <c r="H2934" s="58"/>
      <c r="I2934" s="156"/>
      <c r="K2934" s="58"/>
      <c r="M2934" s="163"/>
      <c r="N2934" s="163"/>
    </row>
    <row r="2935" spans="4:14" ht="11.45" customHeight="1" x14ac:dyDescent="0.2">
      <c r="D2935" s="58"/>
      <c r="G2935" s="58"/>
      <c r="H2935" s="58"/>
      <c r="I2935" s="156"/>
      <c r="K2935" s="58"/>
      <c r="M2935" s="163"/>
      <c r="N2935" s="163"/>
    </row>
    <row r="2936" spans="4:14" ht="11.45" customHeight="1" x14ac:dyDescent="0.2">
      <c r="D2936" s="58"/>
      <c r="G2936" s="58"/>
      <c r="H2936" s="58"/>
      <c r="I2936" s="156"/>
      <c r="K2936" s="58"/>
      <c r="M2936" s="163"/>
      <c r="N2936" s="163"/>
    </row>
    <row r="2937" spans="4:14" ht="11.45" customHeight="1" x14ac:dyDescent="0.2">
      <c r="D2937" s="58"/>
      <c r="G2937" s="58"/>
      <c r="H2937" s="58"/>
      <c r="I2937" s="156"/>
      <c r="K2937" s="58"/>
      <c r="M2937" s="163"/>
      <c r="N2937" s="163"/>
    </row>
    <row r="2938" spans="4:14" ht="11.45" customHeight="1" x14ac:dyDescent="0.2">
      <c r="D2938" s="58"/>
      <c r="G2938" s="58"/>
      <c r="H2938" s="58"/>
      <c r="I2938" s="156"/>
      <c r="K2938" s="58"/>
      <c r="M2938" s="163"/>
      <c r="N2938" s="163"/>
    </row>
    <row r="2939" spans="4:14" ht="11.45" customHeight="1" x14ac:dyDescent="0.2">
      <c r="D2939" s="58"/>
      <c r="G2939" s="58"/>
      <c r="H2939" s="58"/>
      <c r="I2939" s="156"/>
      <c r="K2939" s="58"/>
      <c r="M2939" s="163"/>
      <c r="N2939" s="163"/>
    </row>
    <row r="2940" spans="4:14" ht="11.45" customHeight="1" x14ac:dyDescent="0.2">
      <c r="D2940" s="58"/>
      <c r="G2940" s="58"/>
      <c r="H2940" s="58"/>
      <c r="I2940" s="156"/>
      <c r="K2940" s="58"/>
      <c r="M2940" s="163"/>
      <c r="N2940" s="163"/>
    </row>
    <row r="2941" spans="4:14" ht="11.45" customHeight="1" x14ac:dyDescent="0.2">
      <c r="D2941" s="58"/>
      <c r="G2941" s="58"/>
      <c r="H2941" s="58"/>
      <c r="I2941" s="156"/>
      <c r="K2941" s="58"/>
      <c r="M2941" s="163"/>
      <c r="N2941" s="163"/>
    </row>
    <row r="2942" spans="4:14" ht="11.45" customHeight="1" x14ac:dyDescent="0.2">
      <c r="D2942" s="58"/>
      <c r="G2942" s="58"/>
      <c r="H2942" s="58"/>
      <c r="I2942" s="156"/>
      <c r="K2942" s="58"/>
      <c r="M2942" s="163"/>
      <c r="N2942" s="163"/>
    </row>
    <row r="2943" spans="4:14" ht="11.45" customHeight="1" x14ac:dyDescent="0.2">
      <c r="D2943" s="58"/>
      <c r="G2943" s="58"/>
      <c r="H2943" s="58"/>
      <c r="I2943" s="156"/>
      <c r="K2943" s="58"/>
      <c r="M2943" s="163"/>
      <c r="N2943" s="163"/>
    </row>
    <row r="2944" spans="4:14" ht="11.45" customHeight="1" x14ac:dyDescent="0.2">
      <c r="D2944" s="58"/>
      <c r="G2944" s="58"/>
      <c r="H2944" s="58"/>
      <c r="I2944" s="156"/>
      <c r="K2944" s="58"/>
      <c r="M2944" s="163"/>
      <c r="N2944" s="163"/>
    </row>
    <row r="2945" spans="4:14" ht="11.45" customHeight="1" x14ac:dyDescent="0.2">
      <c r="D2945" s="58"/>
      <c r="G2945" s="58"/>
      <c r="H2945" s="58"/>
      <c r="I2945" s="156"/>
      <c r="K2945" s="58"/>
      <c r="M2945" s="163"/>
      <c r="N2945" s="163"/>
    </row>
    <row r="2946" spans="4:14" ht="11.45" customHeight="1" x14ac:dyDescent="0.2">
      <c r="D2946" s="58"/>
      <c r="G2946" s="58"/>
      <c r="H2946" s="58"/>
      <c r="I2946" s="156"/>
      <c r="K2946" s="58"/>
      <c r="M2946" s="163"/>
      <c r="N2946" s="163"/>
    </row>
    <row r="2947" spans="4:14" ht="11.45" customHeight="1" x14ac:dyDescent="0.2">
      <c r="D2947" s="58"/>
      <c r="G2947" s="58"/>
      <c r="H2947" s="58"/>
      <c r="I2947" s="156"/>
      <c r="K2947" s="58"/>
      <c r="M2947" s="163"/>
      <c r="N2947" s="163"/>
    </row>
    <row r="2948" spans="4:14" ht="11.45" customHeight="1" x14ac:dyDescent="0.2">
      <c r="D2948" s="58"/>
      <c r="G2948" s="58"/>
      <c r="H2948" s="58"/>
      <c r="I2948" s="156"/>
      <c r="K2948" s="58"/>
      <c r="M2948" s="163"/>
      <c r="N2948" s="163"/>
    </row>
    <row r="2949" spans="4:14" ht="11.45" customHeight="1" x14ac:dyDescent="0.2">
      <c r="D2949" s="58"/>
      <c r="G2949" s="58"/>
      <c r="H2949" s="58"/>
      <c r="I2949" s="156"/>
      <c r="K2949" s="58"/>
      <c r="M2949" s="163"/>
      <c r="N2949" s="163"/>
    </row>
    <row r="2950" spans="4:14" ht="11.45" customHeight="1" x14ac:dyDescent="0.2">
      <c r="D2950" s="58"/>
      <c r="G2950" s="58"/>
      <c r="H2950" s="58"/>
      <c r="I2950" s="156"/>
      <c r="K2950" s="58"/>
      <c r="M2950" s="163"/>
      <c r="N2950" s="163"/>
    </row>
    <row r="2951" spans="4:14" ht="11.45" customHeight="1" x14ac:dyDescent="0.2">
      <c r="D2951" s="58"/>
      <c r="G2951" s="58"/>
      <c r="H2951" s="58"/>
      <c r="I2951" s="156"/>
      <c r="K2951" s="58"/>
      <c r="M2951" s="163"/>
      <c r="N2951" s="163"/>
    </row>
    <row r="2952" spans="4:14" ht="11.45" customHeight="1" x14ac:dyDescent="0.2">
      <c r="D2952" s="58"/>
      <c r="G2952" s="58"/>
      <c r="H2952" s="58"/>
      <c r="I2952" s="156"/>
      <c r="K2952" s="58"/>
      <c r="M2952" s="163"/>
      <c r="N2952" s="163"/>
    </row>
    <row r="2953" spans="4:14" ht="11.45" customHeight="1" x14ac:dyDescent="0.2">
      <c r="D2953" s="58"/>
      <c r="G2953" s="58"/>
      <c r="H2953" s="58"/>
      <c r="I2953" s="156"/>
      <c r="K2953" s="58"/>
      <c r="M2953" s="163"/>
      <c r="N2953" s="163"/>
    </row>
    <row r="2954" spans="4:14" ht="11.45" customHeight="1" x14ac:dyDescent="0.2">
      <c r="D2954" s="58"/>
      <c r="G2954" s="58"/>
      <c r="H2954" s="58"/>
      <c r="I2954" s="156"/>
      <c r="K2954" s="58"/>
      <c r="M2954" s="163"/>
      <c r="N2954" s="163"/>
    </row>
    <row r="2955" spans="4:14" ht="11.45" customHeight="1" x14ac:dyDescent="0.2">
      <c r="D2955" s="58"/>
      <c r="G2955" s="58"/>
      <c r="H2955" s="58"/>
      <c r="I2955" s="156"/>
      <c r="K2955" s="58"/>
      <c r="M2955" s="163"/>
      <c r="N2955" s="163"/>
    </row>
    <row r="2956" spans="4:14" ht="11.45" customHeight="1" x14ac:dyDescent="0.2">
      <c r="D2956" s="58"/>
      <c r="G2956" s="58"/>
      <c r="H2956" s="58"/>
      <c r="I2956" s="156"/>
      <c r="K2956" s="58"/>
      <c r="M2956" s="163"/>
      <c r="N2956" s="163"/>
    </row>
    <row r="2957" spans="4:14" ht="11.45" customHeight="1" x14ac:dyDescent="0.2">
      <c r="D2957" s="58"/>
      <c r="G2957" s="58"/>
      <c r="H2957" s="58"/>
      <c r="I2957" s="156"/>
      <c r="K2957" s="58"/>
      <c r="M2957" s="163"/>
      <c r="N2957" s="163"/>
    </row>
    <row r="2958" spans="4:14" ht="11.45" customHeight="1" x14ac:dyDescent="0.2">
      <c r="D2958" s="58"/>
      <c r="G2958" s="58"/>
      <c r="H2958" s="58"/>
      <c r="I2958" s="156"/>
      <c r="K2958" s="58"/>
      <c r="M2958" s="163"/>
      <c r="N2958" s="163"/>
    </row>
    <row r="2959" spans="4:14" ht="11.45" customHeight="1" x14ac:dyDescent="0.2">
      <c r="D2959" s="58"/>
      <c r="G2959" s="58"/>
      <c r="H2959" s="58"/>
      <c r="I2959" s="156"/>
      <c r="K2959" s="58"/>
      <c r="M2959" s="163"/>
      <c r="N2959" s="163"/>
    </row>
    <row r="2960" spans="4:14" ht="11.45" customHeight="1" x14ac:dyDescent="0.2">
      <c r="D2960" s="58"/>
      <c r="G2960" s="58"/>
      <c r="H2960" s="58"/>
      <c r="I2960" s="156"/>
      <c r="K2960" s="58"/>
      <c r="M2960" s="163"/>
      <c r="N2960" s="163"/>
    </row>
    <row r="2961" spans="4:14" ht="11.45" customHeight="1" x14ac:dyDescent="0.2">
      <c r="D2961" s="58"/>
      <c r="G2961" s="58"/>
      <c r="H2961" s="58"/>
      <c r="I2961" s="156"/>
      <c r="K2961" s="58"/>
      <c r="M2961" s="163"/>
      <c r="N2961" s="163"/>
    </row>
    <row r="2962" spans="4:14" ht="11.45" customHeight="1" x14ac:dyDescent="0.2">
      <c r="D2962" s="58"/>
      <c r="G2962" s="58"/>
      <c r="H2962" s="58"/>
      <c r="I2962" s="156"/>
      <c r="K2962" s="58"/>
      <c r="M2962" s="163"/>
      <c r="N2962" s="163"/>
    </row>
    <row r="2963" spans="4:14" ht="11.45" customHeight="1" x14ac:dyDescent="0.2">
      <c r="D2963" s="58"/>
      <c r="G2963" s="58"/>
      <c r="H2963" s="58"/>
      <c r="I2963" s="156"/>
      <c r="K2963" s="58"/>
      <c r="M2963" s="163"/>
      <c r="N2963" s="163"/>
    </row>
    <row r="2964" spans="4:14" ht="11.45" customHeight="1" x14ac:dyDescent="0.2">
      <c r="D2964" s="58"/>
      <c r="G2964" s="58"/>
      <c r="H2964" s="58"/>
      <c r="I2964" s="156"/>
      <c r="K2964" s="58"/>
      <c r="M2964" s="163"/>
      <c r="N2964" s="163"/>
    </row>
    <row r="2965" spans="4:14" ht="11.45" customHeight="1" x14ac:dyDescent="0.2">
      <c r="D2965" s="58"/>
      <c r="G2965" s="58"/>
      <c r="H2965" s="58"/>
      <c r="I2965" s="156"/>
      <c r="K2965" s="58"/>
      <c r="M2965" s="163"/>
      <c r="N2965" s="163"/>
    </row>
    <row r="2966" spans="4:14" ht="11.45" customHeight="1" x14ac:dyDescent="0.2">
      <c r="D2966" s="58"/>
      <c r="G2966" s="58"/>
      <c r="H2966" s="58"/>
      <c r="I2966" s="156"/>
      <c r="K2966" s="58"/>
      <c r="M2966" s="163"/>
      <c r="N2966" s="163"/>
    </row>
    <row r="2967" spans="4:14" ht="11.45" customHeight="1" x14ac:dyDescent="0.2">
      <c r="D2967" s="58"/>
      <c r="G2967" s="58"/>
      <c r="H2967" s="58"/>
      <c r="I2967" s="156"/>
      <c r="K2967" s="58"/>
      <c r="M2967" s="163"/>
      <c r="N2967" s="163"/>
    </row>
    <row r="2968" spans="4:14" ht="11.45" customHeight="1" x14ac:dyDescent="0.2">
      <c r="D2968" s="58"/>
      <c r="G2968" s="58"/>
      <c r="H2968" s="58"/>
      <c r="I2968" s="156"/>
      <c r="K2968" s="58"/>
      <c r="M2968" s="163"/>
      <c r="N2968" s="163"/>
    </row>
    <row r="2969" spans="4:14" ht="11.45" customHeight="1" x14ac:dyDescent="0.2">
      <c r="D2969" s="58"/>
      <c r="G2969" s="58"/>
      <c r="H2969" s="58"/>
      <c r="I2969" s="156"/>
      <c r="K2969" s="58"/>
      <c r="M2969" s="163"/>
      <c r="N2969" s="163"/>
    </row>
    <row r="2970" spans="4:14" ht="11.45" customHeight="1" x14ac:dyDescent="0.2">
      <c r="D2970" s="58"/>
      <c r="G2970" s="58"/>
      <c r="H2970" s="58"/>
      <c r="I2970" s="156"/>
      <c r="K2970" s="58"/>
      <c r="M2970" s="163"/>
      <c r="N2970" s="163"/>
    </row>
    <row r="2971" spans="4:14" ht="11.45" customHeight="1" x14ac:dyDescent="0.2">
      <c r="D2971" s="58"/>
      <c r="G2971" s="58"/>
      <c r="H2971" s="58"/>
      <c r="I2971" s="156"/>
      <c r="K2971" s="58"/>
      <c r="M2971" s="163"/>
      <c r="N2971" s="163"/>
    </row>
    <row r="2972" spans="4:14" ht="11.45" customHeight="1" x14ac:dyDescent="0.2">
      <c r="D2972" s="58"/>
      <c r="G2972" s="58"/>
      <c r="H2972" s="58"/>
      <c r="I2972" s="156"/>
      <c r="K2972" s="58"/>
      <c r="M2972" s="163"/>
      <c r="N2972" s="163"/>
    </row>
    <row r="2973" spans="4:14" ht="11.45" customHeight="1" x14ac:dyDescent="0.2">
      <c r="D2973" s="58"/>
      <c r="G2973" s="58"/>
      <c r="H2973" s="58"/>
      <c r="I2973" s="156"/>
      <c r="K2973" s="58"/>
      <c r="M2973" s="163"/>
      <c r="N2973" s="163"/>
    </row>
    <row r="2974" spans="4:14" ht="11.45" customHeight="1" x14ac:dyDescent="0.2">
      <c r="D2974" s="58"/>
      <c r="G2974" s="58"/>
      <c r="H2974" s="58"/>
      <c r="I2974" s="156"/>
      <c r="K2974" s="58"/>
      <c r="M2974" s="163"/>
      <c r="N2974" s="163"/>
    </row>
    <row r="2975" spans="4:14" ht="11.45" customHeight="1" x14ac:dyDescent="0.2">
      <c r="D2975" s="58"/>
      <c r="G2975" s="58"/>
      <c r="H2975" s="58"/>
      <c r="I2975" s="156"/>
      <c r="K2975" s="58"/>
      <c r="M2975" s="163"/>
      <c r="N2975" s="163"/>
    </row>
    <row r="2976" spans="4:14" ht="11.45" customHeight="1" x14ac:dyDescent="0.2">
      <c r="D2976" s="58"/>
      <c r="G2976" s="58"/>
      <c r="H2976" s="58"/>
      <c r="I2976" s="156"/>
      <c r="K2976" s="58"/>
      <c r="M2976" s="163"/>
      <c r="N2976" s="163"/>
    </row>
    <row r="2977" spans="4:14" ht="11.45" customHeight="1" x14ac:dyDescent="0.2">
      <c r="D2977" s="58"/>
      <c r="G2977" s="58"/>
      <c r="H2977" s="58"/>
      <c r="I2977" s="156"/>
      <c r="K2977" s="58"/>
      <c r="M2977" s="163"/>
      <c r="N2977" s="163"/>
    </row>
    <row r="2978" spans="4:14" ht="11.45" customHeight="1" x14ac:dyDescent="0.2">
      <c r="D2978" s="58"/>
      <c r="G2978" s="58"/>
      <c r="H2978" s="58"/>
      <c r="I2978" s="156"/>
      <c r="K2978" s="58"/>
      <c r="M2978" s="163"/>
      <c r="N2978" s="163"/>
    </row>
    <row r="2979" spans="4:14" ht="11.45" customHeight="1" x14ac:dyDescent="0.2">
      <c r="D2979" s="58"/>
      <c r="G2979" s="58"/>
      <c r="H2979" s="58"/>
      <c r="I2979" s="156"/>
      <c r="K2979" s="58"/>
      <c r="M2979" s="163"/>
      <c r="N2979" s="163"/>
    </row>
    <row r="2980" spans="4:14" ht="11.45" customHeight="1" x14ac:dyDescent="0.2">
      <c r="D2980" s="58"/>
      <c r="G2980" s="58"/>
      <c r="H2980" s="58"/>
      <c r="I2980" s="156"/>
      <c r="K2980" s="58"/>
      <c r="M2980" s="163"/>
      <c r="N2980" s="163"/>
    </row>
    <row r="2981" spans="4:14" ht="11.45" customHeight="1" x14ac:dyDescent="0.2">
      <c r="D2981" s="58"/>
      <c r="G2981" s="58"/>
      <c r="H2981" s="58"/>
      <c r="I2981" s="156"/>
      <c r="K2981" s="58"/>
      <c r="M2981" s="163"/>
      <c r="N2981" s="163"/>
    </row>
    <row r="2982" spans="4:14" ht="11.45" customHeight="1" x14ac:dyDescent="0.2">
      <c r="D2982" s="58"/>
      <c r="G2982" s="58"/>
      <c r="H2982" s="58"/>
      <c r="I2982" s="156"/>
      <c r="K2982" s="58"/>
      <c r="M2982" s="163"/>
      <c r="N2982" s="163"/>
    </row>
    <row r="2983" spans="4:14" ht="11.45" customHeight="1" x14ac:dyDescent="0.2">
      <c r="D2983" s="58"/>
      <c r="G2983" s="58"/>
      <c r="H2983" s="58"/>
      <c r="I2983" s="156"/>
      <c r="K2983" s="58"/>
      <c r="M2983" s="163"/>
      <c r="N2983" s="163"/>
    </row>
    <row r="2984" spans="4:14" ht="11.45" customHeight="1" x14ac:dyDescent="0.2">
      <c r="D2984" s="58"/>
      <c r="G2984" s="58"/>
      <c r="H2984" s="58"/>
      <c r="I2984" s="156"/>
      <c r="K2984" s="58"/>
      <c r="M2984" s="163"/>
      <c r="N2984" s="163"/>
    </row>
    <row r="2985" spans="4:14" ht="11.45" customHeight="1" x14ac:dyDescent="0.2">
      <c r="D2985" s="58"/>
      <c r="G2985" s="58"/>
      <c r="H2985" s="58"/>
      <c r="I2985" s="156"/>
      <c r="K2985" s="58"/>
      <c r="M2985" s="163"/>
      <c r="N2985" s="163"/>
    </row>
    <row r="2986" spans="4:14" ht="11.45" customHeight="1" x14ac:dyDescent="0.2">
      <c r="D2986" s="58"/>
      <c r="G2986" s="58"/>
      <c r="H2986" s="58"/>
      <c r="I2986" s="156"/>
      <c r="K2986" s="58"/>
      <c r="M2986" s="163"/>
      <c r="N2986" s="163"/>
    </row>
    <row r="2987" spans="4:14" ht="11.45" customHeight="1" x14ac:dyDescent="0.2">
      <c r="D2987" s="58"/>
      <c r="G2987" s="58"/>
      <c r="H2987" s="58"/>
      <c r="I2987" s="156"/>
      <c r="K2987" s="58"/>
      <c r="M2987" s="163"/>
      <c r="N2987" s="163"/>
    </row>
    <row r="2988" spans="4:14" ht="11.45" customHeight="1" x14ac:dyDescent="0.2">
      <c r="D2988" s="58"/>
      <c r="G2988" s="58"/>
      <c r="H2988" s="58"/>
      <c r="I2988" s="156"/>
      <c r="K2988" s="58"/>
      <c r="M2988" s="163"/>
      <c r="N2988" s="163"/>
    </row>
    <row r="2989" spans="4:14" ht="11.45" customHeight="1" x14ac:dyDescent="0.2">
      <c r="D2989" s="58"/>
      <c r="G2989" s="58"/>
      <c r="H2989" s="58"/>
      <c r="I2989" s="156"/>
      <c r="K2989" s="58"/>
      <c r="M2989" s="163"/>
      <c r="N2989" s="163"/>
    </row>
    <row r="2990" spans="4:14" ht="11.45" customHeight="1" x14ac:dyDescent="0.2">
      <c r="D2990" s="58"/>
      <c r="G2990" s="58"/>
      <c r="H2990" s="58"/>
      <c r="I2990" s="156"/>
      <c r="K2990" s="58"/>
      <c r="M2990" s="163"/>
      <c r="N2990" s="163"/>
    </row>
    <row r="2991" spans="4:14" ht="11.45" customHeight="1" x14ac:dyDescent="0.2">
      <c r="D2991" s="58"/>
      <c r="G2991" s="58"/>
      <c r="H2991" s="58"/>
      <c r="I2991" s="156"/>
      <c r="K2991" s="58"/>
      <c r="M2991" s="163"/>
      <c r="N2991" s="163"/>
    </row>
    <row r="2992" spans="4:14" ht="11.45" customHeight="1" x14ac:dyDescent="0.2">
      <c r="D2992" s="58"/>
      <c r="G2992" s="58"/>
      <c r="H2992" s="58"/>
      <c r="I2992" s="156"/>
      <c r="K2992" s="58"/>
      <c r="M2992" s="163"/>
      <c r="N2992" s="163"/>
    </row>
    <row r="2993" spans="4:14" ht="11.45" customHeight="1" x14ac:dyDescent="0.2">
      <c r="D2993" s="58"/>
      <c r="G2993" s="58"/>
      <c r="H2993" s="58"/>
      <c r="I2993" s="156"/>
      <c r="K2993" s="58"/>
      <c r="M2993" s="163"/>
      <c r="N2993" s="163"/>
    </row>
    <row r="2994" spans="4:14" ht="11.45" customHeight="1" x14ac:dyDescent="0.2">
      <c r="D2994" s="58"/>
      <c r="G2994" s="58"/>
      <c r="H2994" s="58"/>
      <c r="I2994" s="156"/>
      <c r="K2994" s="58"/>
      <c r="M2994" s="163"/>
      <c r="N2994" s="163"/>
    </row>
    <row r="2995" spans="4:14" ht="11.45" customHeight="1" x14ac:dyDescent="0.2">
      <c r="D2995" s="58"/>
      <c r="G2995" s="58"/>
      <c r="H2995" s="58"/>
      <c r="I2995" s="156"/>
      <c r="K2995" s="58"/>
      <c r="M2995" s="163"/>
      <c r="N2995" s="163"/>
    </row>
    <row r="2996" spans="4:14" ht="11.45" customHeight="1" x14ac:dyDescent="0.2">
      <c r="D2996" s="58"/>
      <c r="G2996" s="58"/>
      <c r="H2996" s="58"/>
      <c r="I2996" s="156"/>
      <c r="K2996" s="58"/>
      <c r="M2996" s="163"/>
      <c r="N2996" s="163"/>
    </row>
    <row r="2997" spans="4:14" ht="11.45" customHeight="1" x14ac:dyDescent="0.2">
      <c r="D2997" s="58"/>
      <c r="G2997" s="58"/>
      <c r="H2997" s="58"/>
      <c r="I2997" s="156"/>
      <c r="K2997" s="58"/>
      <c r="M2997" s="163"/>
      <c r="N2997" s="163"/>
    </row>
    <row r="2998" spans="4:14" ht="11.45" customHeight="1" x14ac:dyDescent="0.2">
      <c r="D2998" s="58"/>
      <c r="G2998" s="58"/>
      <c r="H2998" s="58"/>
      <c r="I2998" s="156"/>
      <c r="K2998" s="58"/>
      <c r="M2998" s="163"/>
      <c r="N2998" s="163"/>
    </row>
    <row r="2999" spans="4:14" ht="11.45" customHeight="1" x14ac:dyDescent="0.2">
      <c r="D2999" s="58"/>
      <c r="G2999" s="58"/>
      <c r="H2999" s="58"/>
      <c r="I2999" s="156"/>
      <c r="K2999" s="58"/>
      <c r="M2999" s="163"/>
      <c r="N2999" s="163"/>
    </row>
    <row r="3000" spans="4:14" ht="11.45" customHeight="1" x14ac:dyDescent="0.2">
      <c r="D3000" s="58"/>
      <c r="G3000" s="58"/>
      <c r="H3000" s="58"/>
      <c r="I3000" s="156"/>
      <c r="K3000" s="58"/>
      <c r="M3000" s="163"/>
      <c r="N3000" s="163"/>
    </row>
    <row r="3001" spans="4:14" ht="11.45" customHeight="1" x14ac:dyDescent="0.2">
      <c r="D3001" s="58"/>
      <c r="G3001" s="58"/>
      <c r="H3001" s="58"/>
      <c r="I3001" s="156"/>
      <c r="K3001" s="58"/>
      <c r="M3001" s="163"/>
      <c r="N3001" s="163"/>
    </row>
    <row r="3002" spans="4:14" ht="11.45" customHeight="1" x14ac:dyDescent="0.2">
      <c r="D3002" s="58"/>
      <c r="G3002" s="58"/>
      <c r="H3002" s="58"/>
      <c r="I3002" s="156"/>
      <c r="K3002" s="58"/>
      <c r="M3002" s="163"/>
      <c r="N3002" s="163"/>
    </row>
    <row r="3003" spans="4:14" ht="11.45" customHeight="1" x14ac:dyDescent="0.2">
      <c r="D3003" s="58"/>
      <c r="G3003" s="58"/>
      <c r="H3003" s="58"/>
      <c r="I3003" s="156"/>
      <c r="K3003" s="58"/>
      <c r="M3003" s="163"/>
      <c r="N3003" s="163"/>
    </row>
    <row r="3004" spans="4:14" ht="11.45" customHeight="1" x14ac:dyDescent="0.2">
      <c r="D3004" s="58"/>
      <c r="G3004" s="58"/>
      <c r="H3004" s="58"/>
      <c r="I3004" s="156"/>
      <c r="K3004" s="58"/>
      <c r="M3004" s="163"/>
      <c r="N3004" s="163"/>
    </row>
    <row r="3005" spans="4:14" ht="11.45" customHeight="1" x14ac:dyDescent="0.2">
      <c r="D3005" s="58"/>
      <c r="G3005" s="58"/>
      <c r="H3005" s="58"/>
      <c r="I3005" s="156"/>
      <c r="K3005" s="58"/>
      <c r="M3005" s="163"/>
      <c r="N3005" s="163"/>
    </row>
    <row r="3006" spans="4:14" ht="11.45" customHeight="1" x14ac:dyDescent="0.2">
      <c r="D3006" s="58"/>
      <c r="G3006" s="58"/>
      <c r="H3006" s="58"/>
      <c r="I3006" s="156"/>
      <c r="K3006" s="58"/>
      <c r="M3006" s="163"/>
      <c r="N3006" s="163"/>
    </row>
    <row r="3007" spans="4:14" ht="11.45" customHeight="1" x14ac:dyDescent="0.2">
      <c r="D3007" s="58"/>
      <c r="G3007" s="58"/>
      <c r="H3007" s="58"/>
      <c r="I3007" s="156"/>
      <c r="K3007" s="58"/>
      <c r="M3007" s="163"/>
      <c r="N3007" s="163"/>
    </row>
    <row r="3008" spans="4:14" ht="11.45" customHeight="1" x14ac:dyDescent="0.2">
      <c r="D3008" s="58"/>
      <c r="G3008" s="58"/>
      <c r="H3008" s="58"/>
      <c r="I3008" s="156"/>
      <c r="K3008" s="58"/>
      <c r="M3008" s="163"/>
      <c r="N3008" s="163"/>
    </row>
    <row r="3009" spans="4:14" ht="11.45" customHeight="1" x14ac:dyDescent="0.2">
      <c r="D3009" s="58"/>
      <c r="G3009" s="58"/>
      <c r="H3009" s="58"/>
      <c r="I3009" s="156"/>
      <c r="K3009" s="58"/>
      <c r="M3009" s="163"/>
      <c r="N3009" s="163"/>
    </row>
    <row r="3010" spans="4:14" ht="11.45" customHeight="1" x14ac:dyDescent="0.2">
      <c r="D3010" s="58"/>
      <c r="G3010" s="58"/>
      <c r="H3010" s="58"/>
      <c r="I3010" s="156"/>
      <c r="K3010" s="58"/>
      <c r="M3010" s="163"/>
      <c r="N3010" s="163"/>
    </row>
    <row r="3011" spans="4:14" ht="11.45" customHeight="1" x14ac:dyDescent="0.2">
      <c r="D3011" s="58"/>
      <c r="G3011" s="58"/>
      <c r="H3011" s="58"/>
      <c r="I3011" s="156"/>
      <c r="K3011" s="58"/>
      <c r="M3011" s="163"/>
      <c r="N3011" s="163"/>
    </row>
    <row r="3012" spans="4:14" ht="11.45" customHeight="1" x14ac:dyDescent="0.2">
      <c r="D3012" s="58"/>
      <c r="G3012" s="58"/>
      <c r="H3012" s="58"/>
      <c r="I3012" s="156"/>
      <c r="K3012" s="58"/>
      <c r="M3012" s="163"/>
      <c r="N3012" s="163"/>
    </row>
    <row r="3013" spans="4:14" ht="11.45" customHeight="1" x14ac:dyDescent="0.2">
      <c r="D3013" s="58"/>
      <c r="G3013" s="58"/>
      <c r="H3013" s="58"/>
      <c r="I3013" s="156"/>
      <c r="K3013" s="58"/>
      <c r="M3013" s="163"/>
      <c r="N3013" s="163"/>
    </row>
    <row r="3014" spans="4:14" ht="11.45" customHeight="1" x14ac:dyDescent="0.2">
      <c r="D3014" s="58"/>
      <c r="G3014" s="58"/>
      <c r="H3014" s="58"/>
      <c r="I3014" s="156"/>
      <c r="K3014" s="58"/>
      <c r="M3014" s="163"/>
      <c r="N3014" s="163"/>
    </row>
    <row r="3015" spans="4:14" ht="11.45" customHeight="1" x14ac:dyDescent="0.2">
      <c r="D3015" s="58"/>
      <c r="G3015" s="58"/>
      <c r="H3015" s="58"/>
      <c r="I3015" s="156"/>
      <c r="K3015" s="58"/>
      <c r="M3015" s="163"/>
      <c r="N3015" s="163"/>
    </row>
    <row r="3016" spans="4:14" ht="11.45" customHeight="1" x14ac:dyDescent="0.2">
      <c r="D3016" s="58"/>
      <c r="G3016" s="58"/>
      <c r="H3016" s="58"/>
      <c r="I3016" s="156"/>
      <c r="K3016" s="58"/>
      <c r="M3016" s="163"/>
      <c r="N3016" s="163"/>
    </row>
    <row r="3017" spans="4:14" ht="11.45" customHeight="1" x14ac:dyDescent="0.2">
      <c r="D3017" s="58"/>
      <c r="G3017" s="58"/>
      <c r="H3017" s="58"/>
      <c r="I3017" s="156"/>
      <c r="K3017" s="58"/>
      <c r="M3017" s="163"/>
      <c r="N3017" s="163"/>
    </row>
    <row r="3018" spans="4:14" ht="11.45" customHeight="1" x14ac:dyDescent="0.2">
      <c r="D3018" s="58"/>
      <c r="G3018" s="58"/>
      <c r="H3018" s="58"/>
      <c r="I3018" s="156"/>
      <c r="K3018" s="58"/>
      <c r="M3018" s="163"/>
      <c r="N3018" s="163"/>
    </row>
    <row r="3019" spans="4:14" ht="11.45" customHeight="1" x14ac:dyDescent="0.2">
      <c r="D3019" s="58"/>
      <c r="G3019" s="58"/>
      <c r="H3019" s="58"/>
      <c r="I3019" s="156"/>
      <c r="K3019" s="58"/>
      <c r="M3019" s="163"/>
      <c r="N3019" s="163"/>
    </row>
    <row r="3020" spans="4:14" ht="11.45" customHeight="1" x14ac:dyDescent="0.2">
      <c r="D3020" s="58"/>
      <c r="G3020" s="58"/>
      <c r="H3020" s="58"/>
      <c r="I3020" s="156"/>
      <c r="K3020" s="58"/>
      <c r="M3020" s="163"/>
      <c r="N3020" s="163"/>
    </row>
    <row r="3021" spans="4:14" ht="11.45" customHeight="1" x14ac:dyDescent="0.2">
      <c r="D3021" s="58"/>
      <c r="G3021" s="58"/>
      <c r="H3021" s="58"/>
      <c r="I3021" s="156"/>
      <c r="K3021" s="58"/>
      <c r="M3021" s="163"/>
      <c r="N3021" s="163"/>
    </row>
    <row r="3022" spans="4:14" ht="11.45" customHeight="1" x14ac:dyDescent="0.2">
      <c r="D3022" s="58"/>
      <c r="G3022" s="58"/>
      <c r="H3022" s="58"/>
      <c r="I3022" s="156"/>
      <c r="K3022" s="58"/>
      <c r="M3022" s="163"/>
      <c r="N3022" s="163"/>
    </row>
    <row r="3023" spans="4:14" ht="11.45" customHeight="1" x14ac:dyDescent="0.2">
      <c r="D3023" s="58"/>
      <c r="G3023" s="58"/>
      <c r="H3023" s="58"/>
      <c r="I3023" s="156"/>
      <c r="K3023" s="58"/>
      <c r="M3023" s="163"/>
      <c r="N3023" s="163"/>
    </row>
    <row r="3024" spans="4:14" ht="11.45" customHeight="1" x14ac:dyDescent="0.2">
      <c r="D3024" s="58"/>
      <c r="G3024" s="58"/>
      <c r="H3024" s="58"/>
      <c r="I3024" s="156"/>
      <c r="K3024" s="58"/>
      <c r="M3024" s="163"/>
      <c r="N3024" s="163"/>
    </row>
    <row r="3025" spans="4:14" ht="11.45" customHeight="1" x14ac:dyDescent="0.2">
      <c r="D3025" s="58"/>
      <c r="G3025" s="58"/>
      <c r="H3025" s="58"/>
      <c r="I3025" s="156"/>
      <c r="K3025" s="58"/>
      <c r="M3025" s="163"/>
      <c r="N3025" s="163"/>
    </row>
    <row r="3026" spans="4:14" ht="11.45" customHeight="1" x14ac:dyDescent="0.2">
      <c r="D3026" s="58"/>
      <c r="G3026" s="58"/>
      <c r="H3026" s="58"/>
      <c r="I3026" s="156"/>
      <c r="K3026" s="58"/>
      <c r="M3026" s="163"/>
      <c r="N3026" s="163"/>
    </row>
    <row r="3027" spans="4:14" ht="11.45" customHeight="1" x14ac:dyDescent="0.2">
      <c r="D3027" s="58"/>
      <c r="G3027" s="58"/>
      <c r="H3027" s="58"/>
      <c r="I3027" s="156"/>
      <c r="K3027" s="58"/>
      <c r="M3027" s="163"/>
      <c r="N3027" s="163"/>
    </row>
    <row r="3028" spans="4:14" ht="11.45" customHeight="1" x14ac:dyDescent="0.2">
      <c r="D3028" s="58"/>
      <c r="G3028" s="58"/>
      <c r="H3028" s="58"/>
      <c r="I3028" s="156"/>
      <c r="K3028" s="58"/>
      <c r="M3028" s="163"/>
      <c r="N3028" s="163"/>
    </row>
    <row r="3029" spans="4:14" ht="11.45" customHeight="1" x14ac:dyDescent="0.2">
      <c r="D3029" s="58"/>
      <c r="G3029" s="58"/>
      <c r="H3029" s="58"/>
      <c r="I3029" s="156"/>
      <c r="K3029" s="58"/>
      <c r="M3029" s="163"/>
      <c r="N3029" s="163"/>
    </row>
    <row r="3030" spans="4:14" ht="11.45" customHeight="1" x14ac:dyDescent="0.2">
      <c r="D3030" s="58"/>
      <c r="G3030" s="58"/>
      <c r="H3030" s="58"/>
      <c r="I3030" s="156"/>
      <c r="K3030" s="58"/>
      <c r="M3030" s="163"/>
      <c r="N3030" s="163"/>
    </row>
    <row r="3031" spans="4:14" ht="11.45" customHeight="1" x14ac:dyDescent="0.2">
      <c r="D3031" s="58"/>
      <c r="G3031" s="58"/>
      <c r="H3031" s="58"/>
      <c r="I3031" s="156"/>
      <c r="K3031" s="58"/>
      <c r="M3031" s="163"/>
      <c r="N3031" s="163"/>
    </row>
    <row r="3032" spans="4:14" ht="11.45" customHeight="1" x14ac:dyDescent="0.2">
      <c r="D3032" s="58"/>
      <c r="G3032" s="58"/>
      <c r="H3032" s="58"/>
      <c r="I3032" s="156"/>
      <c r="K3032" s="58"/>
      <c r="M3032" s="163"/>
      <c r="N3032" s="163"/>
    </row>
    <row r="3033" spans="4:14" ht="11.45" customHeight="1" x14ac:dyDescent="0.2">
      <c r="D3033" s="58"/>
      <c r="G3033" s="58"/>
      <c r="H3033" s="58"/>
      <c r="I3033" s="156"/>
      <c r="K3033" s="58"/>
      <c r="M3033" s="163"/>
      <c r="N3033" s="163"/>
    </row>
    <row r="3034" spans="4:14" ht="11.45" customHeight="1" x14ac:dyDescent="0.2">
      <c r="D3034" s="58"/>
      <c r="G3034" s="58"/>
      <c r="H3034" s="58"/>
      <c r="I3034" s="156"/>
      <c r="K3034" s="58"/>
      <c r="M3034" s="163"/>
      <c r="N3034" s="163"/>
    </row>
    <row r="3035" spans="4:14" ht="11.45" customHeight="1" x14ac:dyDescent="0.2">
      <c r="D3035" s="58"/>
      <c r="G3035" s="58"/>
      <c r="H3035" s="58"/>
      <c r="I3035" s="156"/>
      <c r="K3035" s="58"/>
      <c r="M3035" s="163"/>
      <c r="N3035" s="163"/>
    </row>
    <row r="3036" spans="4:14" ht="11.45" customHeight="1" x14ac:dyDescent="0.2">
      <c r="D3036" s="58"/>
      <c r="G3036" s="58"/>
      <c r="H3036" s="58"/>
      <c r="I3036" s="156"/>
      <c r="K3036" s="58"/>
      <c r="M3036" s="163"/>
      <c r="N3036" s="163"/>
    </row>
    <row r="3037" spans="4:14" ht="11.45" customHeight="1" x14ac:dyDescent="0.2">
      <c r="D3037" s="58"/>
      <c r="G3037" s="58"/>
      <c r="H3037" s="58"/>
      <c r="I3037" s="156"/>
      <c r="K3037" s="58"/>
      <c r="M3037" s="163"/>
      <c r="N3037" s="163"/>
    </row>
    <row r="3038" spans="4:14" ht="11.45" customHeight="1" x14ac:dyDescent="0.2">
      <c r="D3038" s="58"/>
      <c r="G3038" s="58"/>
      <c r="H3038" s="58"/>
      <c r="I3038" s="156"/>
      <c r="K3038" s="58"/>
      <c r="M3038" s="163"/>
      <c r="N3038" s="163"/>
    </row>
    <row r="3039" spans="4:14" ht="11.45" customHeight="1" x14ac:dyDescent="0.2">
      <c r="D3039" s="58"/>
      <c r="G3039" s="58"/>
      <c r="H3039" s="58"/>
      <c r="I3039" s="156"/>
      <c r="K3039" s="58"/>
      <c r="M3039" s="163"/>
      <c r="N3039" s="163"/>
    </row>
    <row r="3040" spans="4:14" ht="11.45" customHeight="1" x14ac:dyDescent="0.2">
      <c r="D3040" s="58"/>
      <c r="G3040" s="58"/>
      <c r="H3040" s="58"/>
      <c r="I3040" s="156"/>
      <c r="K3040" s="58"/>
      <c r="M3040" s="163"/>
      <c r="N3040" s="163"/>
    </row>
    <row r="3041" spans="4:14" ht="11.45" customHeight="1" x14ac:dyDescent="0.2">
      <c r="D3041" s="58"/>
      <c r="G3041" s="58"/>
      <c r="H3041" s="58"/>
      <c r="I3041" s="156"/>
      <c r="K3041" s="58"/>
      <c r="M3041" s="163"/>
      <c r="N3041" s="163"/>
    </row>
    <row r="3042" spans="4:14" ht="11.45" customHeight="1" x14ac:dyDescent="0.2">
      <c r="D3042" s="58"/>
      <c r="G3042" s="58"/>
      <c r="H3042" s="58"/>
      <c r="I3042" s="156"/>
      <c r="K3042" s="58"/>
      <c r="M3042" s="163"/>
      <c r="N3042" s="163"/>
    </row>
    <row r="3043" spans="4:14" ht="11.45" customHeight="1" x14ac:dyDescent="0.2">
      <c r="D3043" s="58"/>
      <c r="G3043" s="58"/>
      <c r="H3043" s="58"/>
      <c r="I3043" s="156"/>
      <c r="K3043" s="58"/>
      <c r="M3043" s="163"/>
      <c r="N3043" s="163"/>
    </row>
    <row r="3044" spans="4:14" ht="11.45" customHeight="1" x14ac:dyDescent="0.2">
      <c r="D3044" s="58"/>
      <c r="G3044" s="58"/>
      <c r="H3044" s="58"/>
      <c r="I3044" s="156"/>
      <c r="K3044" s="58"/>
      <c r="M3044" s="163"/>
      <c r="N3044" s="163"/>
    </row>
    <row r="3045" spans="4:14" ht="11.45" customHeight="1" x14ac:dyDescent="0.2">
      <c r="D3045" s="58"/>
      <c r="G3045" s="58"/>
      <c r="H3045" s="58"/>
      <c r="I3045" s="156"/>
      <c r="K3045" s="58"/>
      <c r="M3045" s="163"/>
      <c r="N3045" s="163"/>
    </row>
    <row r="3046" spans="4:14" ht="11.45" customHeight="1" x14ac:dyDescent="0.2">
      <c r="D3046" s="58"/>
      <c r="G3046" s="58"/>
      <c r="H3046" s="58"/>
      <c r="I3046" s="156"/>
      <c r="K3046" s="58"/>
      <c r="M3046" s="163"/>
      <c r="N3046" s="163"/>
    </row>
    <row r="3047" spans="4:14" ht="11.45" customHeight="1" x14ac:dyDescent="0.2">
      <c r="D3047" s="58"/>
      <c r="G3047" s="58"/>
      <c r="H3047" s="58"/>
      <c r="I3047" s="156"/>
      <c r="K3047" s="58"/>
      <c r="M3047" s="163"/>
      <c r="N3047" s="163"/>
    </row>
    <row r="3048" spans="4:14" ht="11.45" customHeight="1" x14ac:dyDescent="0.2">
      <c r="D3048" s="58"/>
      <c r="G3048" s="58"/>
      <c r="H3048" s="58"/>
      <c r="I3048" s="156"/>
      <c r="K3048" s="58"/>
      <c r="M3048" s="163"/>
      <c r="N3048" s="163"/>
    </row>
    <row r="3049" spans="4:14" ht="11.45" customHeight="1" x14ac:dyDescent="0.2">
      <c r="D3049" s="58"/>
      <c r="G3049" s="58"/>
      <c r="H3049" s="58"/>
      <c r="I3049" s="156"/>
      <c r="K3049" s="58"/>
      <c r="M3049" s="163"/>
      <c r="N3049" s="163"/>
    </row>
    <row r="3050" spans="4:14" ht="11.45" customHeight="1" x14ac:dyDescent="0.2">
      <c r="D3050" s="58"/>
      <c r="G3050" s="58"/>
      <c r="H3050" s="58"/>
      <c r="I3050" s="156"/>
      <c r="K3050" s="58"/>
      <c r="M3050" s="163"/>
      <c r="N3050" s="163"/>
    </row>
    <row r="3051" spans="4:14" ht="11.45" customHeight="1" x14ac:dyDescent="0.2">
      <c r="D3051" s="58"/>
      <c r="G3051" s="58"/>
      <c r="H3051" s="58"/>
      <c r="I3051" s="156"/>
      <c r="K3051" s="58"/>
      <c r="M3051" s="163"/>
      <c r="N3051" s="163"/>
    </row>
    <row r="3052" spans="4:14" ht="11.45" customHeight="1" x14ac:dyDescent="0.2">
      <c r="D3052" s="58"/>
      <c r="G3052" s="58"/>
      <c r="H3052" s="58"/>
      <c r="I3052" s="156"/>
      <c r="K3052" s="58"/>
      <c r="M3052" s="163"/>
      <c r="N3052" s="163"/>
    </row>
    <row r="3053" spans="4:14" ht="11.45" customHeight="1" x14ac:dyDescent="0.2">
      <c r="D3053" s="58"/>
      <c r="G3053" s="58"/>
      <c r="H3053" s="58"/>
      <c r="I3053" s="156"/>
      <c r="K3053" s="58"/>
      <c r="M3053" s="163"/>
      <c r="N3053" s="163"/>
    </row>
    <row r="3054" spans="4:14" ht="11.45" customHeight="1" x14ac:dyDescent="0.2">
      <c r="D3054" s="58"/>
      <c r="G3054" s="58"/>
      <c r="H3054" s="58"/>
      <c r="I3054" s="156"/>
      <c r="K3054" s="58"/>
      <c r="M3054" s="163"/>
      <c r="N3054" s="163"/>
    </row>
    <row r="3055" spans="4:14" ht="11.45" customHeight="1" x14ac:dyDescent="0.2">
      <c r="D3055" s="58"/>
      <c r="G3055" s="58"/>
      <c r="H3055" s="58"/>
      <c r="I3055" s="156"/>
      <c r="K3055" s="58"/>
      <c r="M3055" s="163"/>
      <c r="N3055" s="163"/>
    </row>
    <row r="3056" spans="4:14" ht="11.45" customHeight="1" x14ac:dyDescent="0.2">
      <c r="D3056" s="58"/>
      <c r="G3056" s="58"/>
      <c r="H3056" s="58"/>
      <c r="I3056" s="156"/>
      <c r="K3056" s="58"/>
      <c r="M3056" s="163"/>
      <c r="N3056" s="163"/>
    </row>
    <row r="3057" spans="4:14" ht="11.45" customHeight="1" x14ac:dyDescent="0.2">
      <c r="D3057" s="58"/>
      <c r="G3057" s="58"/>
      <c r="H3057" s="58"/>
      <c r="I3057" s="156"/>
      <c r="K3057" s="58"/>
      <c r="M3057" s="163"/>
      <c r="N3057" s="163"/>
    </row>
    <row r="3058" spans="4:14" ht="11.45" customHeight="1" x14ac:dyDescent="0.2">
      <c r="D3058" s="58"/>
      <c r="G3058" s="58"/>
      <c r="H3058" s="58"/>
      <c r="I3058" s="156"/>
      <c r="K3058" s="58"/>
      <c r="M3058" s="163"/>
      <c r="N3058" s="163"/>
    </row>
    <row r="3059" spans="4:14" ht="11.45" customHeight="1" x14ac:dyDescent="0.2">
      <c r="D3059" s="58"/>
      <c r="G3059" s="58"/>
      <c r="H3059" s="58"/>
      <c r="I3059" s="156"/>
      <c r="K3059" s="58"/>
      <c r="M3059" s="163"/>
      <c r="N3059" s="163"/>
    </row>
    <row r="3060" spans="4:14" ht="11.45" customHeight="1" x14ac:dyDescent="0.2">
      <c r="D3060" s="58"/>
      <c r="G3060" s="58"/>
      <c r="H3060" s="58"/>
      <c r="I3060" s="156"/>
      <c r="K3060" s="58"/>
      <c r="M3060" s="163"/>
      <c r="N3060" s="163"/>
    </row>
    <row r="3061" spans="4:14" ht="11.45" customHeight="1" x14ac:dyDescent="0.2">
      <c r="D3061" s="58"/>
      <c r="G3061" s="58"/>
      <c r="H3061" s="58"/>
      <c r="I3061" s="156"/>
      <c r="K3061" s="58"/>
      <c r="M3061" s="163"/>
      <c r="N3061" s="163"/>
    </row>
    <row r="3062" spans="4:14" ht="11.45" customHeight="1" x14ac:dyDescent="0.2">
      <c r="D3062" s="58"/>
      <c r="G3062" s="58"/>
      <c r="H3062" s="58"/>
      <c r="I3062" s="156"/>
      <c r="K3062" s="58"/>
      <c r="M3062" s="163"/>
      <c r="N3062" s="163"/>
    </row>
    <row r="3063" spans="4:14" ht="11.45" customHeight="1" x14ac:dyDescent="0.2">
      <c r="D3063" s="58"/>
      <c r="G3063" s="58"/>
      <c r="H3063" s="58"/>
      <c r="I3063" s="156"/>
      <c r="K3063" s="58"/>
      <c r="M3063" s="163"/>
      <c r="N3063" s="163"/>
    </row>
    <row r="3064" spans="4:14" ht="11.45" customHeight="1" x14ac:dyDescent="0.2">
      <c r="D3064" s="58"/>
      <c r="G3064" s="58"/>
      <c r="H3064" s="58"/>
      <c r="I3064" s="156"/>
      <c r="K3064" s="58"/>
      <c r="M3064" s="163"/>
      <c r="N3064" s="163"/>
    </row>
    <row r="3065" spans="4:14" ht="11.45" customHeight="1" x14ac:dyDescent="0.2">
      <c r="D3065" s="58"/>
      <c r="G3065" s="58"/>
      <c r="H3065" s="58"/>
      <c r="I3065" s="156"/>
      <c r="K3065" s="58"/>
      <c r="M3065" s="163"/>
      <c r="N3065" s="163"/>
    </row>
    <row r="3066" spans="4:14" ht="11.45" customHeight="1" x14ac:dyDescent="0.2">
      <c r="D3066" s="58"/>
      <c r="G3066" s="58"/>
      <c r="H3066" s="58"/>
      <c r="I3066" s="156"/>
      <c r="K3066" s="58"/>
      <c r="M3066" s="163"/>
      <c r="N3066" s="163"/>
    </row>
    <row r="3067" spans="4:14" ht="11.45" customHeight="1" x14ac:dyDescent="0.2">
      <c r="D3067" s="58"/>
      <c r="G3067" s="58"/>
      <c r="H3067" s="58"/>
      <c r="I3067" s="156"/>
      <c r="K3067" s="58"/>
      <c r="M3067" s="163"/>
      <c r="N3067" s="163"/>
    </row>
    <row r="3068" spans="4:14" ht="11.45" customHeight="1" x14ac:dyDescent="0.2">
      <c r="D3068" s="58"/>
      <c r="G3068" s="58"/>
      <c r="H3068" s="58"/>
      <c r="I3068" s="156"/>
      <c r="K3068" s="58"/>
      <c r="M3068" s="163"/>
      <c r="N3068" s="163"/>
    </row>
    <row r="3069" spans="4:14" ht="11.45" customHeight="1" x14ac:dyDescent="0.2">
      <c r="D3069" s="58"/>
      <c r="G3069" s="58"/>
      <c r="H3069" s="58"/>
      <c r="I3069" s="156"/>
      <c r="K3069" s="58"/>
      <c r="M3069" s="163"/>
      <c r="N3069" s="163"/>
    </row>
    <row r="3070" spans="4:14" ht="11.45" customHeight="1" x14ac:dyDescent="0.2">
      <c r="D3070" s="58"/>
      <c r="G3070" s="58"/>
      <c r="H3070" s="58"/>
      <c r="I3070" s="156"/>
      <c r="K3070" s="58"/>
      <c r="M3070" s="163"/>
      <c r="N3070" s="163"/>
    </row>
    <row r="3071" spans="4:14" ht="11.45" customHeight="1" x14ac:dyDescent="0.2">
      <c r="D3071" s="58"/>
      <c r="G3071" s="58"/>
      <c r="H3071" s="58"/>
      <c r="I3071" s="156"/>
      <c r="K3071" s="58"/>
      <c r="M3071" s="163"/>
      <c r="N3071" s="163"/>
    </row>
    <row r="3072" spans="4:14" ht="11.45" customHeight="1" x14ac:dyDescent="0.2">
      <c r="D3072" s="58"/>
      <c r="G3072" s="58"/>
      <c r="H3072" s="58"/>
      <c r="I3072" s="156"/>
      <c r="K3072" s="58"/>
      <c r="M3072" s="163"/>
      <c r="N3072" s="163"/>
    </row>
    <row r="3073" spans="4:14" ht="11.45" customHeight="1" x14ac:dyDescent="0.2">
      <c r="D3073" s="58"/>
      <c r="G3073" s="58"/>
      <c r="H3073" s="58"/>
      <c r="I3073" s="156"/>
      <c r="K3073" s="58"/>
      <c r="M3073" s="163"/>
      <c r="N3073" s="163"/>
    </row>
    <row r="3074" spans="4:14" ht="11.45" customHeight="1" x14ac:dyDescent="0.2">
      <c r="D3074" s="58"/>
      <c r="G3074" s="58"/>
      <c r="H3074" s="58"/>
      <c r="I3074" s="156"/>
      <c r="K3074" s="58"/>
      <c r="M3074" s="163"/>
      <c r="N3074" s="163"/>
    </row>
    <row r="3075" spans="4:14" ht="11.45" customHeight="1" x14ac:dyDescent="0.2">
      <c r="D3075" s="58"/>
      <c r="G3075" s="58"/>
      <c r="H3075" s="58"/>
      <c r="I3075" s="156"/>
      <c r="K3075" s="58"/>
      <c r="M3075" s="163"/>
      <c r="N3075" s="163"/>
    </row>
    <row r="3076" spans="4:14" ht="11.45" customHeight="1" x14ac:dyDescent="0.2">
      <c r="D3076" s="58"/>
      <c r="G3076" s="58"/>
      <c r="H3076" s="58"/>
      <c r="I3076" s="156"/>
      <c r="K3076" s="58"/>
      <c r="M3076" s="163"/>
      <c r="N3076" s="163"/>
    </row>
    <row r="3077" spans="4:14" ht="11.45" customHeight="1" x14ac:dyDescent="0.2">
      <c r="D3077" s="58"/>
      <c r="G3077" s="58"/>
      <c r="H3077" s="58"/>
      <c r="I3077" s="156"/>
      <c r="K3077" s="58"/>
      <c r="M3077" s="163"/>
      <c r="N3077" s="163"/>
    </row>
    <row r="3078" spans="4:14" ht="11.45" customHeight="1" x14ac:dyDescent="0.2">
      <c r="D3078" s="58"/>
      <c r="G3078" s="58"/>
      <c r="H3078" s="58"/>
      <c r="I3078" s="156"/>
      <c r="K3078" s="58"/>
      <c r="M3078" s="163"/>
      <c r="N3078" s="163"/>
    </row>
    <row r="3079" spans="4:14" ht="11.45" customHeight="1" x14ac:dyDescent="0.2">
      <c r="D3079" s="58"/>
      <c r="G3079" s="58"/>
      <c r="H3079" s="58"/>
      <c r="I3079" s="156"/>
      <c r="K3079" s="58"/>
      <c r="M3079" s="163"/>
      <c r="N3079" s="163"/>
    </row>
    <row r="3080" spans="4:14" ht="11.45" customHeight="1" x14ac:dyDescent="0.2">
      <c r="D3080" s="58"/>
      <c r="G3080" s="58"/>
      <c r="H3080" s="58"/>
      <c r="I3080" s="156"/>
      <c r="K3080" s="58"/>
      <c r="M3080" s="163"/>
      <c r="N3080" s="163"/>
    </row>
    <row r="3081" spans="4:14" ht="11.45" customHeight="1" x14ac:dyDescent="0.2">
      <c r="D3081" s="58"/>
      <c r="G3081" s="58"/>
      <c r="H3081" s="58"/>
      <c r="I3081" s="156"/>
      <c r="K3081" s="58"/>
      <c r="M3081" s="163"/>
      <c r="N3081" s="163"/>
    </row>
    <row r="3082" spans="4:14" ht="11.45" customHeight="1" x14ac:dyDescent="0.2">
      <c r="D3082" s="58"/>
      <c r="G3082" s="58"/>
      <c r="H3082" s="58"/>
      <c r="I3082" s="156"/>
      <c r="K3082" s="58"/>
      <c r="M3082" s="163"/>
      <c r="N3082" s="163"/>
    </row>
    <row r="3083" spans="4:14" ht="11.45" customHeight="1" x14ac:dyDescent="0.2">
      <c r="D3083" s="58"/>
      <c r="G3083" s="58"/>
      <c r="H3083" s="58"/>
      <c r="I3083" s="156"/>
      <c r="K3083" s="58"/>
      <c r="M3083" s="163"/>
      <c r="N3083" s="163"/>
    </row>
    <row r="3084" spans="4:14" ht="11.45" customHeight="1" x14ac:dyDescent="0.2">
      <c r="D3084" s="58"/>
      <c r="G3084" s="58"/>
      <c r="H3084" s="58"/>
      <c r="I3084" s="156"/>
      <c r="K3084" s="58"/>
      <c r="M3084" s="163"/>
      <c r="N3084" s="163"/>
    </row>
    <row r="3085" spans="4:14" ht="11.45" customHeight="1" x14ac:dyDescent="0.2">
      <c r="D3085" s="58"/>
      <c r="G3085" s="58"/>
      <c r="H3085" s="58"/>
      <c r="I3085" s="156"/>
      <c r="K3085" s="58"/>
      <c r="M3085" s="163"/>
      <c r="N3085" s="163"/>
    </row>
    <row r="3086" spans="4:14" ht="11.45" customHeight="1" x14ac:dyDescent="0.2">
      <c r="D3086" s="58"/>
      <c r="G3086" s="58"/>
      <c r="H3086" s="58"/>
      <c r="I3086" s="156"/>
      <c r="K3086" s="58"/>
      <c r="M3086" s="163"/>
      <c r="N3086" s="163"/>
    </row>
    <row r="3087" spans="4:14" ht="11.45" customHeight="1" x14ac:dyDescent="0.2">
      <c r="D3087" s="58"/>
      <c r="G3087" s="58"/>
      <c r="H3087" s="58"/>
      <c r="I3087" s="156"/>
      <c r="K3087" s="58"/>
      <c r="M3087" s="163"/>
      <c r="N3087" s="163"/>
    </row>
    <row r="3088" spans="4:14" ht="11.45" customHeight="1" x14ac:dyDescent="0.2">
      <c r="D3088" s="58"/>
      <c r="G3088" s="58"/>
      <c r="H3088" s="58"/>
      <c r="I3088" s="156"/>
      <c r="K3088" s="58"/>
      <c r="M3088" s="163"/>
      <c r="N3088" s="163"/>
    </row>
    <row r="3089" spans="4:14" ht="11.45" customHeight="1" x14ac:dyDescent="0.2">
      <c r="D3089" s="58"/>
      <c r="G3089" s="58"/>
      <c r="H3089" s="58"/>
      <c r="I3089" s="156"/>
      <c r="K3089" s="58"/>
      <c r="M3089" s="163"/>
      <c r="N3089" s="163"/>
    </row>
    <row r="3090" spans="4:14" ht="11.45" customHeight="1" x14ac:dyDescent="0.2">
      <c r="D3090" s="58"/>
      <c r="G3090" s="58"/>
      <c r="H3090" s="58"/>
      <c r="I3090" s="156"/>
      <c r="K3090" s="58"/>
      <c r="M3090" s="163"/>
      <c r="N3090" s="163"/>
    </row>
    <row r="3091" spans="4:14" ht="11.45" customHeight="1" x14ac:dyDescent="0.2">
      <c r="D3091" s="58"/>
      <c r="G3091" s="58"/>
      <c r="H3091" s="58"/>
      <c r="I3091" s="156"/>
      <c r="K3091" s="58"/>
      <c r="M3091" s="163"/>
      <c r="N3091" s="163"/>
    </row>
    <row r="3092" spans="4:14" ht="11.45" customHeight="1" x14ac:dyDescent="0.2">
      <c r="D3092" s="58"/>
      <c r="G3092" s="58"/>
      <c r="H3092" s="58"/>
      <c r="I3092" s="156"/>
      <c r="K3092" s="58"/>
      <c r="M3092" s="163"/>
      <c r="N3092" s="163"/>
    </row>
    <row r="3093" spans="4:14" ht="11.45" customHeight="1" x14ac:dyDescent="0.2">
      <c r="D3093" s="58"/>
      <c r="G3093" s="58"/>
      <c r="H3093" s="58"/>
      <c r="I3093" s="156"/>
      <c r="K3093" s="58"/>
      <c r="M3093" s="163"/>
      <c r="N3093" s="163"/>
    </row>
    <row r="3094" spans="4:14" ht="11.45" customHeight="1" x14ac:dyDescent="0.2">
      <c r="D3094" s="58"/>
      <c r="G3094" s="58"/>
      <c r="H3094" s="58"/>
      <c r="I3094" s="156"/>
      <c r="K3094" s="58"/>
      <c r="M3094" s="163"/>
      <c r="N3094" s="163"/>
    </row>
    <row r="3095" spans="4:14" ht="11.45" customHeight="1" x14ac:dyDescent="0.2">
      <c r="D3095" s="58"/>
      <c r="G3095" s="58"/>
      <c r="H3095" s="58"/>
      <c r="I3095" s="156"/>
      <c r="K3095" s="58"/>
      <c r="M3095" s="163"/>
      <c r="N3095" s="163"/>
    </row>
    <row r="3096" spans="4:14" ht="11.45" customHeight="1" x14ac:dyDescent="0.2">
      <c r="D3096" s="58"/>
      <c r="G3096" s="58"/>
      <c r="H3096" s="58"/>
      <c r="I3096" s="156"/>
      <c r="K3096" s="58"/>
      <c r="M3096" s="163"/>
      <c r="N3096" s="163"/>
    </row>
    <row r="3097" spans="4:14" ht="11.45" customHeight="1" x14ac:dyDescent="0.2">
      <c r="D3097" s="58"/>
      <c r="G3097" s="58"/>
      <c r="H3097" s="58"/>
      <c r="I3097" s="156"/>
      <c r="K3097" s="58"/>
      <c r="M3097" s="163"/>
      <c r="N3097" s="163"/>
    </row>
    <row r="3098" spans="4:14" ht="11.45" customHeight="1" x14ac:dyDescent="0.2">
      <c r="D3098" s="58"/>
      <c r="G3098" s="58"/>
      <c r="H3098" s="58"/>
      <c r="I3098" s="156"/>
      <c r="K3098" s="58"/>
      <c r="M3098" s="163"/>
      <c r="N3098" s="163"/>
    </row>
    <row r="3099" spans="4:14" ht="11.45" customHeight="1" x14ac:dyDescent="0.2">
      <c r="D3099" s="58"/>
      <c r="G3099" s="58"/>
      <c r="H3099" s="58"/>
      <c r="I3099" s="156"/>
      <c r="K3099" s="58"/>
      <c r="M3099" s="163"/>
      <c r="N3099" s="163"/>
    </row>
    <row r="3100" spans="4:14" ht="11.45" customHeight="1" x14ac:dyDescent="0.2">
      <c r="D3100" s="58"/>
      <c r="G3100" s="58"/>
      <c r="H3100" s="58"/>
      <c r="I3100" s="156"/>
      <c r="K3100" s="58"/>
      <c r="M3100" s="163"/>
      <c r="N3100" s="163"/>
    </row>
    <row r="3101" spans="4:14" ht="11.45" customHeight="1" x14ac:dyDescent="0.2">
      <c r="D3101" s="58"/>
      <c r="G3101" s="58"/>
      <c r="H3101" s="58"/>
      <c r="I3101" s="156"/>
      <c r="K3101" s="58"/>
      <c r="M3101" s="163"/>
      <c r="N3101" s="163"/>
    </row>
    <row r="3102" spans="4:14" ht="11.45" customHeight="1" x14ac:dyDescent="0.2">
      <c r="D3102" s="58"/>
      <c r="G3102" s="58"/>
      <c r="H3102" s="58"/>
      <c r="I3102" s="156"/>
      <c r="K3102" s="58"/>
      <c r="M3102" s="163"/>
      <c r="N3102" s="163"/>
    </row>
    <row r="3103" spans="4:14" ht="11.45" customHeight="1" x14ac:dyDescent="0.2">
      <c r="D3103" s="58"/>
      <c r="G3103" s="58"/>
      <c r="H3103" s="58"/>
      <c r="I3103" s="156"/>
      <c r="K3103" s="58"/>
      <c r="M3103" s="163"/>
      <c r="N3103" s="163"/>
    </row>
    <row r="3104" spans="4:14" ht="11.45" customHeight="1" x14ac:dyDescent="0.2">
      <c r="D3104" s="58"/>
      <c r="G3104" s="58"/>
      <c r="H3104" s="58"/>
      <c r="I3104" s="156"/>
      <c r="K3104" s="58"/>
      <c r="M3104" s="163"/>
      <c r="N3104" s="163"/>
    </row>
    <row r="3105" spans="4:14" ht="11.45" customHeight="1" x14ac:dyDescent="0.2">
      <c r="D3105" s="58"/>
      <c r="G3105" s="58"/>
      <c r="H3105" s="58"/>
      <c r="I3105" s="156"/>
      <c r="K3105" s="58"/>
      <c r="M3105" s="163"/>
      <c r="N3105" s="163"/>
    </row>
    <row r="3106" spans="4:14" ht="11.45" customHeight="1" x14ac:dyDescent="0.2">
      <c r="D3106" s="58"/>
      <c r="G3106" s="58"/>
      <c r="H3106" s="58"/>
      <c r="I3106" s="156"/>
      <c r="K3106" s="58"/>
      <c r="M3106" s="163"/>
      <c r="N3106" s="163"/>
    </row>
    <row r="3107" spans="4:14" ht="11.45" customHeight="1" x14ac:dyDescent="0.2">
      <c r="D3107" s="58"/>
      <c r="G3107" s="58"/>
      <c r="H3107" s="58"/>
      <c r="I3107" s="156"/>
      <c r="K3107" s="58"/>
      <c r="M3107" s="163"/>
      <c r="N3107" s="163"/>
    </row>
    <row r="3108" spans="4:14" ht="11.45" customHeight="1" x14ac:dyDescent="0.2">
      <c r="D3108" s="58"/>
      <c r="G3108" s="58"/>
      <c r="H3108" s="58"/>
      <c r="I3108" s="156"/>
      <c r="K3108" s="58"/>
      <c r="M3108" s="163"/>
      <c r="N3108" s="163"/>
    </row>
    <row r="3109" spans="4:14" ht="11.45" customHeight="1" x14ac:dyDescent="0.2">
      <c r="D3109" s="58"/>
      <c r="G3109" s="58"/>
      <c r="H3109" s="58"/>
      <c r="I3109" s="156"/>
      <c r="K3109" s="58"/>
      <c r="M3109" s="163"/>
      <c r="N3109" s="163"/>
    </row>
    <row r="3110" spans="4:14" ht="11.45" customHeight="1" x14ac:dyDescent="0.2">
      <c r="D3110" s="58"/>
      <c r="G3110" s="58"/>
      <c r="H3110" s="58"/>
      <c r="I3110" s="156"/>
      <c r="K3110" s="58"/>
      <c r="M3110" s="163"/>
      <c r="N3110" s="163"/>
    </row>
    <row r="3111" spans="4:14" ht="11.45" customHeight="1" x14ac:dyDescent="0.2">
      <c r="D3111" s="58"/>
      <c r="G3111" s="58"/>
      <c r="H3111" s="58"/>
      <c r="I3111" s="156"/>
      <c r="K3111" s="58"/>
      <c r="M3111" s="163"/>
      <c r="N3111" s="163"/>
    </row>
    <row r="3112" spans="4:14" ht="11.45" customHeight="1" x14ac:dyDescent="0.2">
      <c r="D3112" s="58"/>
      <c r="G3112" s="58"/>
      <c r="H3112" s="58"/>
      <c r="I3112" s="156"/>
      <c r="K3112" s="58"/>
      <c r="M3112" s="163"/>
      <c r="N3112" s="163"/>
    </row>
    <row r="3113" spans="4:14" ht="11.45" customHeight="1" x14ac:dyDescent="0.2">
      <c r="D3113" s="58"/>
      <c r="G3113" s="58"/>
      <c r="H3113" s="58"/>
      <c r="I3113" s="156"/>
      <c r="K3113" s="58"/>
      <c r="M3113" s="163"/>
      <c r="N3113" s="163"/>
    </row>
    <row r="3114" spans="4:14" ht="11.45" customHeight="1" x14ac:dyDescent="0.2">
      <c r="D3114" s="58"/>
      <c r="G3114" s="58"/>
      <c r="H3114" s="58"/>
      <c r="I3114" s="156"/>
      <c r="K3114" s="58"/>
      <c r="M3114" s="163"/>
      <c r="N3114" s="163"/>
    </row>
    <row r="3115" spans="4:14" ht="11.45" customHeight="1" x14ac:dyDescent="0.2">
      <c r="D3115" s="58"/>
      <c r="G3115" s="58"/>
      <c r="H3115" s="58"/>
      <c r="I3115" s="156"/>
      <c r="K3115" s="58"/>
      <c r="M3115" s="163"/>
      <c r="N3115" s="163"/>
    </row>
    <row r="3116" spans="4:14" ht="11.45" customHeight="1" x14ac:dyDescent="0.2">
      <c r="D3116" s="58"/>
      <c r="G3116" s="58"/>
      <c r="H3116" s="58"/>
      <c r="I3116" s="156"/>
      <c r="K3116" s="58"/>
      <c r="M3116" s="163"/>
      <c r="N3116" s="163"/>
    </row>
    <row r="3117" spans="4:14" ht="11.45" customHeight="1" x14ac:dyDescent="0.2">
      <c r="D3117" s="58"/>
      <c r="G3117" s="58"/>
      <c r="H3117" s="58"/>
      <c r="I3117" s="156"/>
      <c r="K3117" s="58"/>
      <c r="M3117" s="163"/>
      <c r="N3117" s="163"/>
    </row>
    <row r="3118" spans="4:14" ht="11.45" customHeight="1" x14ac:dyDescent="0.2">
      <c r="D3118" s="58"/>
      <c r="G3118" s="58"/>
      <c r="H3118" s="58"/>
      <c r="I3118" s="156"/>
      <c r="K3118" s="58"/>
      <c r="M3118" s="163"/>
      <c r="N3118" s="163"/>
    </row>
    <row r="3119" spans="4:14" ht="11.45" customHeight="1" x14ac:dyDescent="0.2">
      <c r="D3119" s="58"/>
      <c r="G3119" s="58"/>
      <c r="H3119" s="58"/>
      <c r="I3119" s="156"/>
      <c r="K3119" s="58"/>
      <c r="M3119" s="163"/>
      <c r="N3119" s="163"/>
    </row>
    <row r="3120" spans="4:14" ht="11.45" customHeight="1" x14ac:dyDescent="0.2">
      <c r="D3120" s="58"/>
      <c r="G3120" s="58"/>
      <c r="H3120" s="58"/>
      <c r="I3120" s="156"/>
      <c r="K3120" s="58"/>
      <c r="M3120" s="163"/>
      <c r="N3120" s="163"/>
    </row>
    <row r="3121" spans="4:14" ht="11.45" customHeight="1" x14ac:dyDescent="0.2">
      <c r="D3121" s="58"/>
      <c r="G3121" s="58"/>
      <c r="H3121" s="58"/>
      <c r="I3121" s="156"/>
      <c r="K3121" s="58"/>
      <c r="M3121" s="163"/>
      <c r="N3121" s="163"/>
    </row>
    <row r="3122" spans="4:14" ht="11.45" customHeight="1" x14ac:dyDescent="0.2">
      <c r="D3122" s="58"/>
      <c r="G3122" s="58"/>
      <c r="H3122" s="58"/>
      <c r="I3122" s="156"/>
      <c r="K3122" s="58"/>
      <c r="M3122" s="163"/>
      <c r="N3122" s="163"/>
    </row>
    <row r="3123" spans="4:14" ht="11.45" customHeight="1" x14ac:dyDescent="0.2">
      <c r="D3123" s="58"/>
      <c r="G3123" s="58"/>
      <c r="H3123" s="58"/>
      <c r="I3123" s="156"/>
      <c r="K3123" s="58"/>
      <c r="M3123" s="163"/>
      <c r="N3123" s="163"/>
    </row>
    <row r="3124" spans="4:14" ht="11.45" customHeight="1" x14ac:dyDescent="0.2">
      <c r="D3124" s="58"/>
      <c r="G3124" s="58"/>
      <c r="H3124" s="58"/>
      <c r="I3124" s="156"/>
      <c r="K3124" s="58"/>
      <c r="M3124" s="163"/>
      <c r="N3124" s="163"/>
    </row>
    <row r="3125" spans="4:14" ht="11.45" customHeight="1" x14ac:dyDescent="0.2">
      <c r="D3125" s="58"/>
      <c r="G3125" s="58"/>
      <c r="H3125" s="58"/>
      <c r="I3125" s="156"/>
      <c r="K3125" s="58"/>
      <c r="M3125" s="163"/>
      <c r="N3125" s="163"/>
    </row>
    <row r="3126" spans="4:14" ht="11.45" customHeight="1" x14ac:dyDescent="0.2">
      <c r="D3126" s="58"/>
      <c r="G3126" s="58"/>
      <c r="H3126" s="58"/>
      <c r="I3126" s="156"/>
      <c r="K3126" s="58"/>
      <c r="M3126" s="163"/>
      <c r="N3126" s="163"/>
    </row>
    <row r="3127" spans="4:14" ht="11.45" customHeight="1" x14ac:dyDescent="0.2">
      <c r="D3127" s="58"/>
      <c r="G3127" s="58"/>
      <c r="H3127" s="58"/>
      <c r="I3127" s="156"/>
      <c r="K3127" s="58"/>
      <c r="M3127" s="163"/>
      <c r="N3127" s="163"/>
    </row>
    <row r="3128" spans="4:14" ht="11.45" customHeight="1" x14ac:dyDescent="0.2">
      <c r="D3128" s="58"/>
      <c r="G3128" s="58"/>
      <c r="H3128" s="58"/>
      <c r="I3128" s="156"/>
      <c r="K3128" s="58"/>
      <c r="M3128" s="163"/>
      <c r="N3128" s="163"/>
    </row>
    <row r="3129" spans="4:14" ht="11.45" customHeight="1" x14ac:dyDescent="0.2">
      <c r="D3129" s="58"/>
      <c r="G3129" s="58"/>
      <c r="H3129" s="58"/>
      <c r="I3129" s="156"/>
      <c r="K3129" s="58"/>
      <c r="M3129" s="163"/>
      <c r="N3129" s="163"/>
    </row>
    <row r="3130" spans="4:14" ht="11.45" customHeight="1" x14ac:dyDescent="0.2">
      <c r="D3130" s="58"/>
      <c r="G3130" s="58"/>
      <c r="H3130" s="58"/>
      <c r="I3130" s="156"/>
      <c r="K3130" s="58"/>
      <c r="M3130" s="163"/>
      <c r="N3130" s="163"/>
    </row>
    <row r="3131" spans="4:14" ht="11.45" customHeight="1" x14ac:dyDescent="0.2">
      <c r="D3131" s="58"/>
      <c r="G3131" s="58"/>
      <c r="H3131" s="58"/>
      <c r="I3131" s="156"/>
      <c r="K3131" s="58"/>
      <c r="M3131" s="163"/>
      <c r="N3131" s="163"/>
    </row>
    <row r="3132" spans="4:14" ht="11.45" customHeight="1" x14ac:dyDescent="0.2">
      <c r="D3132" s="58"/>
      <c r="G3132" s="58"/>
      <c r="H3132" s="58"/>
      <c r="I3132" s="156"/>
      <c r="K3132" s="58"/>
      <c r="M3132" s="163"/>
      <c r="N3132" s="163"/>
    </row>
    <row r="3133" spans="4:14" ht="11.45" customHeight="1" x14ac:dyDescent="0.2">
      <c r="D3133" s="58"/>
      <c r="G3133" s="58"/>
      <c r="H3133" s="58"/>
      <c r="I3133" s="156"/>
      <c r="K3133" s="58"/>
      <c r="M3133" s="163"/>
      <c r="N3133" s="163"/>
    </row>
    <row r="3134" spans="4:14" ht="11.45" customHeight="1" x14ac:dyDescent="0.2">
      <c r="D3134" s="58"/>
      <c r="G3134" s="58"/>
      <c r="H3134" s="58"/>
      <c r="I3134" s="156"/>
      <c r="K3134" s="58"/>
      <c r="M3134" s="163"/>
      <c r="N3134" s="163"/>
    </row>
    <row r="3135" spans="4:14" ht="11.45" customHeight="1" x14ac:dyDescent="0.2">
      <c r="D3135" s="58"/>
      <c r="G3135" s="58"/>
      <c r="H3135" s="58"/>
      <c r="I3135" s="156"/>
      <c r="K3135" s="58"/>
      <c r="M3135" s="163"/>
      <c r="N3135" s="163"/>
    </row>
    <row r="3136" spans="4:14" ht="11.45" customHeight="1" x14ac:dyDescent="0.2">
      <c r="D3136" s="58"/>
      <c r="G3136" s="58"/>
      <c r="H3136" s="58"/>
      <c r="I3136" s="156"/>
      <c r="K3136" s="58"/>
      <c r="M3136" s="163"/>
      <c r="N3136" s="163"/>
    </row>
    <row r="3137" spans="4:14" ht="11.45" customHeight="1" x14ac:dyDescent="0.2">
      <c r="D3137" s="58"/>
      <c r="G3137" s="58"/>
      <c r="H3137" s="58"/>
      <c r="I3137" s="156"/>
      <c r="K3137" s="58"/>
      <c r="M3137" s="163"/>
      <c r="N3137" s="163"/>
    </row>
    <row r="3138" spans="4:14" ht="11.45" customHeight="1" x14ac:dyDescent="0.2">
      <c r="D3138" s="58"/>
      <c r="G3138" s="58"/>
      <c r="H3138" s="58"/>
      <c r="I3138" s="156"/>
      <c r="K3138" s="58"/>
      <c r="M3138" s="163"/>
      <c r="N3138" s="163"/>
    </row>
    <row r="3139" spans="4:14" ht="11.45" customHeight="1" x14ac:dyDescent="0.2">
      <c r="D3139" s="58"/>
      <c r="G3139" s="58"/>
      <c r="H3139" s="58"/>
      <c r="I3139" s="156"/>
      <c r="K3139" s="58"/>
      <c r="M3139" s="163"/>
      <c r="N3139" s="163"/>
    </row>
    <row r="3140" spans="4:14" ht="11.45" customHeight="1" x14ac:dyDescent="0.2">
      <c r="D3140" s="58"/>
      <c r="G3140" s="58"/>
      <c r="H3140" s="58"/>
      <c r="I3140" s="156"/>
      <c r="K3140" s="58"/>
      <c r="M3140" s="163"/>
      <c r="N3140" s="163"/>
    </row>
    <row r="3141" spans="4:14" ht="11.45" customHeight="1" x14ac:dyDescent="0.2">
      <c r="D3141" s="58"/>
      <c r="G3141" s="58"/>
      <c r="H3141" s="58"/>
      <c r="I3141" s="156"/>
      <c r="K3141" s="58"/>
      <c r="M3141" s="163"/>
      <c r="N3141" s="163"/>
    </row>
    <row r="3142" spans="4:14" ht="11.45" customHeight="1" x14ac:dyDescent="0.2">
      <c r="D3142" s="58"/>
      <c r="G3142" s="58"/>
      <c r="H3142" s="58"/>
      <c r="I3142" s="156"/>
      <c r="K3142" s="58"/>
      <c r="M3142" s="163"/>
      <c r="N3142" s="163"/>
    </row>
    <row r="3143" spans="4:14" ht="11.45" customHeight="1" x14ac:dyDescent="0.2">
      <c r="D3143" s="58"/>
      <c r="G3143" s="58"/>
      <c r="H3143" s="58"/>
      <c r="I3143" s="156"/>
      <c r="K3143" s="58"/>
      <c r="M3143" s="163"/>
      <c r="N3143" s="163"/>
    </row>
    <row r="3144" spans="4:14" ht="11.45" customHeight="1" x14ac:dyDescent="0.2">
      <c r="D3144" s="58"/>
      <c r="G3144" s="58"/>
      <c r="H3144" s="58"/>
      <c r="I3144" s="156"/>
      <c r="K3144" s="58"/>
      <c r="M3144" s="163"/>
      <c r="N3144" s="163"/>
    </row>
    <row r="3145" spans="4:14" ht="11.45" customHeight="1" x14ac:dyDescent="0.2">
      <c r="D3145" s="58"/>
      <c r="G3145" s="58"/>
      <c r="H3145" s="58"/>
      <c r="I3145" s="156"/>
      <c r="K3145" s="58"/>
      <c r="M3145" s="163"/>
      <c r="N3145" s="163"/>
    </row>
    <row r="3146" spans="4:14" ht="11.45" customHeight="1" x14ac:dyDescent="0.2">
      <c r="D3146" s="58"/>
      <c r="G3146" s="58"/>
      <c r="H3146" s="58"/>
      <c r="I3146" s="156"/>
      <c r="K3146" s="58"/>
      <c r="M3146" s="163"/>
      <c r="N3146" s="163"/>
    </row>
    <row r="3147" spans="4:14" ht="11.45" customHeight="1" x14ac:dyDescent="0.2">
      <c r="D3147" s="58"/>
      <c r="G3147" s="58"/>
      <c r="H3147" s="58"/>
      <c r="I3147" s="156"/>
      <c r="K3147" s="58"/>
      <c r="M3147" s="163"/>
      <c r="N3147" s="163"/>
    </row>
    <row r="3148" spans="4:14" ht="11.45" customHeight="1" x14ac:dyDescent="0.2">
      <c r="D3148" s="58"/>
      <c r="G3148" s="58"/>
      <c r="H3148" s="58"/>
      <c r="I3148" s="156"/>
      <c r="K3148" s="58"/>
      <c r="M3148" s="163"/>
      <c r="N3148" s="163"/>
    </row>
    <row r="3149" spans="4:14" ht="11.45" customHeight="1" x14ac:dyDescent="0.2">
      <c r="D3149" s="58"/>
      <c r="G3149" s="58"/>
      <c r="H3149" s="58"/>
      <c r="I3149" s="156"/>
      <c r="K3149" s="58"/>
      <c r="M3149" s="163"/>
      <c r="N3149" s="163"/>
    </row>
    <row r="3150" spans="4:14" ht="11.45" customHeight="1" x14ac:dyDescent="0.2">
      <c r="D3150" s="58"/>
      <c r="G3150" s="58"/>
      <c r="H3150" s="58"/>
      <c r="I3150" s="156"/>
      <c r="K3150" s="58"/>
      <c r="M3150" s="163"/>
      <c r="N3150" s="163"/>
    </row>
    <row r="3151" spans="4:14" ht="11.45" customHeight="1" x14ac:dyDescent="0.2">
      <c r="D3151" s="58"/>
      <c r="G3151" s="58"/>
      <c r="H3151" s="58"/>
      <c r="I3151" s="156"/>
      <c r="K3151" s="58"/>
      <c r="M3151" s="163"/>
      <c r="N3151" s="163"/>
    </row>
    <row r="3152" spans="4:14" ht="11.45" customHeight="1" x14ac:dyDescent="0.2">
      <c r="D3152" s="58"/>
      <c r="G3152" s="58"/>
      <c r="H3152" s="58"/>
      <c r="I3152" s="156"/>
      <c r="K3152" s="58"/>
      <c r="M3152" s="163"/>
      <c r="N3152" s="163"/>
    </row>
    <row r="3153" spans="4:14" ht="11.45" customHeight="1" x14ac:dyDescent="0.2">
      <c r="D3153" s="58"/>
      <c r="G3153" s="58"/>
      <c r="H3153" s="58"/>
      <c r="I3153" s="156"/>
      <c r="K3153" s="58"/>
      <c r="M3153" s="163"/>
      <c r="N3153" s="163"/>
    </row>
    <row r="3154" spans="4:14" ht="11.45" customHeight="1" x14ac:dyDescent="0.2">
      <c r="D3154" s="58"/>
      <c r="G3154" s="58"/>
      <c r="H3154" s="58"/>
      <c r="I3154" s="156"/>
      <c r="K3154" s="58"/>
      <c r="M3154" s="163"/>
      <c r="N3154" s="163"/>
    </row>
    <row r="3155" spans="4:14" ht="11.45" customHeight="1" x14ac:dyDescent="0.2">
      <c r="D3155" s="58"/>
      <c r="G3155" s="58"/>
      <c r="H3155" s="58"/>
      <c r="I3155" s="156"/>
      <c r="K3155" s="58"/>
      <c r="M3155" s="163"/>
      <c r="N3155" s="163"/>
    </row>
    <row r="3156" spans="4:14" ht="11.45" customHeight="1" x14ac:dyDescent="0.2">
      <c r="D3156" s="58"/>
      <c r="G3156" s="58"/>
      <c r="H3156" s="58"/>
      <c r="I3156" s="156"/>
      <c r="K3156" s="58"/>
      <c r="M3156" s="163"/>
      <c r="N3156" s="163"/>
    </row>
    <row r="3157" spans="4:14" ht="11.45" customHeight="1" x14ac:dyDescent="0.2">
      <c r="D3157" s="58"/>
      <c r="G3157" s="58"/>
      <c r="H3157" s="58"/>
      <c r="I3157" s="156"/>
      <c r="K3157" s="58"/>
      <c r="M3157" s="163"/>
      <c r="N3157" s="163"/>
    </row>
    <row r="3158" spans="4:14" ht="11.45" customHeight="1" x14ac:dyDescent="0.2">
      <c r="D3158" s="58"/>
      <c r="G3158" s="58"/>
      <c r="H3158" s="58"/>
      <c r="I3158" s="156"/>
      <c r="K3158" s="58"/>
      <c r="M3158" s="163"/>
      <c r="N3158" s="163"/>
    </row>
    <row r="3159" spans="4:14" ht="11.45" customHeight="1" x14ac:dyDescent="0.2">
      <c r="D3159" s="58"/>
      <c r="G3159" s="58"/>
      <c r="H3159" s="58"/>
      <c r="I3159" s="156"/>
      <c r="K3159" s="58"/>
      <c r="M3159" s="163"/>
      <c r="N3159" s="163"/>
    </row>
    <row r="3160" spans="4:14" ht="11.45" customHeight="1" x14ac:dyDescent="0.2">
      <c r="D3160" s="58"/>
      <c r="G3160" s="58"/>
      <c r="H3160" s="58"/>
      <c r="I3160" s="156"/>
      <c r="K3160" s="58"/>
      <c r="M3160" s="163"/>
      <c r="N3160" s="163"/>
    </row>
    <row r="3161" spans="4:14" ht="11.45" customHeight="1" x14ac:dyDescent="0.2">
      <c r="D3161" s="58"/>
      <c r="G3161" s="58"/>
      <c r="H3161" s="58"/>
      <c r="I3161" s="156"/>
      <c r="K3161" s="58"/>
      <c r="M3161" s="163"/>
      <c r="N3161" s="163"/>
    </row>
    <row r="3162" spans="4:14" ht="11.45" customHeight="1" x14ac:dyDescent="0.2">
      <c r="D3162" s="58"/>
      <c r="G3162" s="58"/>
      <c r="H3162" s="58"/>
      <c r="I3162" s="156"/>
      <c r="K3162" s="58"/>
      <c r="M3162" s="163"/>
      <c r="N3162" s="163"/>
    </row>
    <row r="3163" spans="4:14" ht="11.45" customHeight="1" x14ac:dyDescent="0.2">
      <c r="D3163" s="58"/>
      <c r="G3163" s="58"/>
      <c r="H3163" s="58"/>
      <c r="I3163" s="156"/>
      <c r="K3163" s="58"/>
      <c r="M3163" s="163"/>
      <c r="N3163" s="163"/>
    </row>
    <row r="3164" spans="4:14" ht="11.45" customHeight="1" x14ac:dyDescent="0.2">
      <c r="D3164" s="58"/>
      <c r="G3164" s="58"/>
      <c r="H3164" s="58"/>
      <c r="I3164" s="156"/>
      <c r="K3164" s="58"/>
      <c r="M3164" s="163"/>
      <c r="N3164" s="163"/>
    </row>
    <row r="3165" spans="4:14" ht="11.45" customHeight="1" x14ac:dyDescent="0.2">
      <c r="D3165" s="58"/>
      <c r="G3165" s="58"/>
      <c r="H3165" s="58"/>
      <c r="I3165" s="156"/>
      <c r="K3165" s="58"/>
      <c r="M3165" s="163"/>
      <c r="N3165" s="163"/>
    </row>
    <row r="3166" spans="4:14" ht="11.45" customHeight="1" x14ac:dyDescent="0.2">
      <c r="D3166" s="58"/>
      <c r="G3166" s="58"/>
      <c r="H3166" s="58"/>
      <c r="I3166" s="156"/>
      <c r="K3166" s="58"/>
      <c r="M3166" s="163"/>
      <c r="N3166" s="163"/>
    </row>
    <row r="3167" spans="4:14" ht="11.45" customHeight="1" x14ac:dyDescent="0.2">
      <c r="D3167" s="58"/>
      <c r="G3167" s="58"/>
      <c r="H3167" s="58"/>
      <c r="I3167" s="156"/>
      <c r="K3167" s="58"/>
      <c r="M3167" s="163"/>
      <c r="N3167" s="163"/>
    </row>
    <row r="3168" spans="4:14" ht="11.45" customHeight="1" x14ac:dyDescent="0.2">
      <c r="D3168" s="58"/>
      <c r="G3168" s="58"/>
      <c r="H3168" s="58"/>
      <c r="I3168" s="156"/>
      <c r="K3168" s="58"/>
      <c r="M3168" s="163"/>
      <c r="N3168" s="163"/>
    </row>
    <row r="3169" spans="4:14" ht="11.45" customHeight="1" x14ac:dyDescent="0.2">
      <c r="D3169" s="58"/>
      <c r="G3169" s="58"/>
      <c r="H3169" s="58"/>
      <c r="I3169" s="156"/>
      <c r="K3169" s="58"/>
      <c r="M3169" s="163"/>
      <c r="N3169" s="163"/>
    </row>
    <row r="3170" spans="4:14" ht="11.45" customHeight="1" x14ac:dyDescent="0.2">
      <c r="D3170" s="58"/>
      <c r="G3170" s="58"/>
      <c r="H3170" s="58"/>
      <c r="I3170" s="156"/>
      <c r="K3170" s="58"/>
      <c r="M3170" s="163"/>
      <c r="N3170" s="163"/>
    </row>
    <row r="3171" spans="4:14" ht="11.45" customHeight="1" x14ac:dyDescent="0.2">
      <c r="D3171" s="58"/>
      <c r="G3171" s="58"/>
      <c r="H3171" s="58"/>
      <c r="I3171" s="156"/>
      <c r="K3171" s="58"/>
      <c r="M3171" s="163"/>
      <c r="N3171" s="163"/>
    </row>
    <row r="3172" spans="4:14" ht="11.45" customHeight="1" x14ac:dyDescent="0.2">
      <c r="D3172" s="58"/>
      <c r="G3172" s="58"/>
      <c r="H3172" s="58"/>
      <c r="I3172" s="156"/>
      <c r="K3172" s="58"/>
      <c r="M3172" s="163"/>
      <c r="N3172" s="163"/>
    </row>
    <row r="3173" spans="4:14" ht="11.45" customHeight="1" x14ac:dyDescent="0.2">
      <c r="D3173" s="58"/>
      <c r="G3173" s="58"/>
      <c r="H3173" s="58"/>
      <c r="I3173" s="156"/>
      <c r="K3173" s="58"/>
      <c r="M3173" s="163"/>
      <c r="N3173" s="163"/>
    </row>
    <row r="3174" spans="4:14" ht="11.45" customHeight="1" x14ac:dyDescent="0.2">
      <c r="D3174" s="58"/>
      <c r="G3174" s="58"/>
      <c r="H3174" s="58"/>
      <c r="I3174" s="156"/>
      <c r="K3174" s="58"/>
      <c r="M3174" s="163"/>
      <c r="N3174" s="163"/>
    </row>
    <row r="3175" spans="4:14" ht="11.45" customHeight="1" x14ac:dyDescent="0.2">
      <c r="D3175" s="58"/>
      <c r="G3175" s="58"/>
      <c r="H3175" s="58"/>
      <c r="I3175" s="156"/>
      <c r="K3175" s="58"/>
      <c r="M3175" s="163"/>
      <c r="N3175" s="163"/>
    </row>
    <row r="3176" spans="4:14" ht="11.45" customHeight="1" x14ac:dyDescent="0.2">
      <c r="D3176" s="58"/>
      <c r="G3176" s="58"/>
      <c r="H3176" s="58"/>
      <c r="I3176" s="156"/>
      <c r="K3176" s="58"/>
      <c r="M3176" s="163"/>
      <c r="N3176" s="163"/>
    </row>
    <row r="3177" spans="4:14" ht="11.45" customHeight="1" x14ac:dyDescent="0.2">
      <c r="D3177" s="58"/>
      <c r="G3177" s="58"/>
      <c r="H3177" s="58"/>
      <c r="I3177" s="156"/>
      <c r="K3177" s="58"/>
      <c r="M3177" s="163"/>
      <c r="N3177" s="163"/>
    </row>
    <row r="3178" spans="4:14" ht="11.45" customHeight="1" x14ac:dyDescent="0.2">
      <c r="D3178" s="58"/>
      <c r="G3178" s="58"/>
      <c r="H3178" s="58"/>
      <c r="I3178" s="156"/>
      <c r="K3178" s="58"/>
      <c r="M3178" s="163"/>
      <c r="N3178" s="163"/>
    </row>
    <row r="3179" spans="4:14" ht="11.45" customHeight="1" x14ac:dyDescent="0.2">
      <c r="D3179" s="58"/>
      <c r="G3179" s="58"/>
      <c r="H3179" s="58"/>
      <c r="I3179" s="156"/>
      <c r="K3179" s="58"/>
      <c r="M3179" s="163"/>
      <c r="N3179" s="163"/>
    </row>
    <row r="3180" spans="4:14" ht="11.45" customHeight="1" x14ac:dyDescent="0.2">
      <c r="D3180" s="58"/>
      <c r="G3180" s="58"/>
      <c r="H3180" s="58"/>
      <c r="I3180" s="156"/>
      <c r="K3180" s="58"/>
      <c r="M3180" s="163"/>
      <c r="N3180" s="163"/>
    </row>
    <row r="3181" spans="4:14" ht="11.45" customHeight="1" x14ac:dyDescent="0.2">
      <c r="D3181" s="58"/>
      <c r="G3181" s="58"/>
      <c r="H3181" s="58"/>
      <c r="I3181" s="156"/>
      <c r="K3181" s="58"/>
      <c r="M3181" s="163"/>
      <c r="N3181" s="163"/>
    </row>
    <row r="3182" spans="4:14" ht="11.45" customHeight="1" x14ac:dyDescent="0.2">
      <c r="D3182" s="58"/>
      <c r="G3182" s="58"/>
      <c r="H3182" s="58"/>
      <c r="I3182" s="156"/>
      <c r="K3182" s="58"/>
      <c r="M3182" s="163"/>
      <c r="N3182" s="163"/>
    </row>
    <row r="3183" spans="4:14" ht="11.45" customHeight="1" x14ac:dyDescent="0.2">
      <c r="D3183" s="58"/>
      <c r="G3183" s="58"/>
      <c r="H3183" s="58"/>
      <c r="I3183" s="156"/>
      <c r="K3183" s="58"/>
      <c r="M3183" s="163"/>
      <c r="N3183" s="163"/>
    </row>
    <row r="3184" spans="4:14" ht="11.45" customHeight="1" x14ac:dyDescent="0.2">
      <c r="D3184" s="58"/>
      <c r="G3184" s="58"/>
      <c r="H3184" s="58"/>
      <c r="I3184" s="156"/>
      <c r="K3184" s="58"/>
      <c r="M3184" s="163"/>
      <c r="N3184" s="163"/>
    </row>
    <row r="3185" spans="4:14" ht="11.45" customHeight="1" x14ac:dyDescent="0.2">
      <c r="D3185" s="58"/>
      <c r="G3185" s="58"/>
      <c r="H3185" s="58"/>
      <c r="I3185" s="156"/>
      <c r="K3185" s="58"/>
      <c r="M3185" s="163"/>
      <c r="N3185" s="163"/>
    </row>
    <row r="3186" spans="4:14" ht="11.45" customHeight="1" x14ac:dyDescent="0.2">
      <c r="D3186" s="58"/>
      <c r="G3186" s="58"/>
      <c r="H3186" s="58"/>
      <c r="I3186" s="156"/>
      <c r="K3186" s="58"/>
      <c r="M3186" s="163"/>
      <c r="N3186" s="163"/>
    </row>
    <row r="3187" spans="4:14" ht="11.45" customHeight="1" x14ac:dyDescent="0.2">
      <c r="D3187" s="58"/>
      <c r="G3187" s="58"/>
      <c r="H3187" s="58"/>
      <c r="I3187" s="156"/>
      <c r="K3187" s="58"/>
      <c r="M3187" s="163"/>
      <c r="N3187" s="163"/>
    </row>
    <row r="3188" spans="4:14" ht="11.45" customHeight="1" x14ac:dyDescent="0.2">
      <c r="D3188" s="58"/>
      <c r="G3188" s="58"/>
      <c r="H3188" s="58"/>
      <c r="I3188" s="156"/>
      <c r="K3188" s="58"/>
      <c r="M3188" s="163"/>
      <c r="N3188" s="163"/>
    </row>
    <row r="3189" spans="4:14" ht="11.45" customHeight="1" x14ac:dyDescent="0.2">
      <c r="D3189" s="58"/>
      <c r="G3189" s="58"/>
      <c r="H3189" s="58"/>
      <c r="I3189" s="156"/>
      <c r="K3189" s="58"/>
      <c r="M3189" s="163"/>
      <c r="N3189" s="163"/>
    </row>
    <row r="3190" spans="4:14" ht="11.45" customHeight="1" x14ac:dyDescent="0.2">
      <c r="D3190" s="58"/>
      <c r="G3190" s="58"/>
      <c r="H3190" s="58"/>
      <c r="I3190" s="156"/>
      <c r="K3190" s="58"/>
      <c r="M3190" s="163"/>
      <c r="N3190" s="163"/>
    </row>
    <row r="3191" spans="4:14" ht="11.45" customHeight="1" x14ac:dyDescent="0.2">
      <c r="D3191" s="58"/>
      <c r="G3191" s="58"/>
      <c r="H3191" s="58"/>
      <c r="I3191" s="156"/>
      <c r="K3191" s="58"/>
      <c r="M3191" s="163"/>
      <c r="N3191" s="163"/>
    </row>
    <row r="3192" spans="4:14" ht="11.45" customHeight="1" x14ac:dyDescent="0.2">
      <c r="D3192" s="58"/>
      <c r="G3192" s="58"/>
      <c r="H3192" s="58"/>
      <c r="I3192" s="156"/>
      <c r="K3192" s="58"/>
      <c r="M3192" s="163"/>
      <c r="N3192" s="163"/>
    </row>
    <row r="3193" spans="4:14" ht="11.45" customHeight="1" x14ac:dyDescent="0.2">
      <c r="D3193" s="58"/>
      <c r="G3193" s="58"/>
      <c r="H3193" s="58"/>
      <c r="I3193" s="156"/>
      <c r="K3193" s="58"/>
      <c r="M3193" s="163"/>
      <c r="N3193" s="163"/>
    </row>
    <row r="3194" spans="4:14" ht="11.45" customHeight="1" x14ac:dyDescent="0.2">
      <c r="D3194" s="58"/>
      <c r="G3194" s="58"/>
      <c r="H3194" s="58"/>
      <c r="I3194" s="156"/>
      <c r="K3194" s="58"/>
      <c r="M3194" s="163"/>
      <c r="N3194" s="163"/>
    </row>
    <row r="3195" spans="4:14" ht="11.45" customHeight="1" x14ac:dyDescent="0.2">
      <c r="D3195" s="58"/>
      <c r="G3195" s="58"/>
      <c r="H3195" s="58"/>
      <c r="I3195" s="156"/>
      <c r="K3195" s="58"/>
      <c r="M3195" s="163"/>
      <c r="N3195" s="163"/>
    </row>
    <row r="3196" spans="4:14" ht="11.45" customHeight="1" x14ac:dyDescent="0.2">
      <c r="D3196" s="58"/>
      <c r="G3196" s="58"/>
      <c r="H3196" s="58"/>
      <c r="I3196" s="156"/>
      <c r="K3196" s="58"/>
      <c r="M3196" s="163"/>
      <c r="N3196" s="163"/>
    </row>
    <row r="3197" spans="4:14" ht="11.45" customHeight="1" x14ac:dyDescent="0.2">
      <c r="D3197" s="58"/>
      <c r="G3197" s="58"/>
      <c r="H3197" s="58"/>
      <c r="I3197" s="156"/>
      <c r="K3197" s="58"/>
      <c r="M3197" s="163"/>
      <c r="N3197" s="163"/>
    </row>
    <row r="3198" spans="4:14" ht="11.45" customHeight="1" x14ac:dyDescent="0.2">
      <c r="D3198" s="58"/>
      <c r="G3198" s="58"/>
      <c r="H3198" s="58"/>
      <c r="I3198" s="156"/>
      <c r="K3198" s="58"/>
      <c r="M3198" s="163"/>
      <c r="N3198" s="163"/>
    </row>
    <row r="3199" spans="4:14" ht="11.45" customHeight="1" x14ac:dyDescent="0.2">
      <c r="D3199" s="58"/>
      <c r="G3199" s="58"/>
      <c r="H3199" s="58"/>
      <c r="I3199" s="156"/>
      <c r="K3199" s="58"/>
      <c r="M3199" s="163"/>
      <c r="N3199" s="163"/>
    </row>
    <row r="3200" spans="4:14" ht="11.45" customHeight="1" x14ac:dyDescent="0.2">
      <c r="D3200" s="58"/>
      <c r="G3200" s="58"/>
      <c r="H3200" s="58"/>
      <c r="I3200" s="156"/>
      <c r="K3200" s="58"/>
      <c r="M3200" s="163"/>
      <c r="N3200" s="163"/>
    </row>
    <row r="3201" spans="4:14" ht="11.45" customHeight="1" x14ac:dyDescent="0.2">
      <c r="D3201" s="58"/>
      <c r="G3201" s="58"/>
      <c r="H3201" s="58"/>
      <c r="I3201" s="156"/>
      <c r="K3201" s="58"/>
      <c r="M3201" s="163"/>
      <c r="N3201" s="163"/>
    </row>
    <row r="3202" spans="4:14" ht="11.45" customHeight="1" x14ac:dyDescent="0.2">
      <c r="D3202" s="58"/>
      <c r="G3202" s="58"/>
      <c r="H3202" s="58"/>
      <c r="I3202" s="156"/>
      <c r="K3202" s="58"/>
      <c r="M3202" s="163"/>
      <c r="N3202" s="163"/>
    </row>
    <row r="3203" spans="4:14" ht="11.45" customHeight="1" x14ac:dyDescent="0.2">
      <c r="D3203" s="58"/>
      <c r="G3203" s="58"/>
      <c r="H3203" s="58"/>
      <c r="I3203" s="156"/>
      <c r="K3203" s="58"/>
      <c r="M3203" s="163"/>
      <c r="N3203" s="163"/>
    </row>
    <row r="3204" spans="4:14" ht="11.45" customHeight="1" x14ac:dyDescent="0.2">
      <c r="D3204" s="58"/>
      <c r="G3204" s="58"/>
      <c r="H3204" s="58"/>
      <c r="I3204" s="156"/>
      <c r="K3204" s="58"/>
      <c r="M3204" s="163"/>
      <c r="N3204" s="163"/>
    </row>
    <row r="3205" spans="4:14" ht="11.45" customHeight="1" x14ac:dyDescent="0.2">
      <c r="D3205" s="58"/>
      <c r="G3205" s="58"/>
      <c r="H3205" s="58"/>
      <c r="I3205" s="156"/>
      <c r="K3205" s="58"/>
      <c r="M3205" s="163"/>
      <c r="N3205" s="163"/>
    </row>
    <row r="3206" spans="4:14" ht="11.45" customHeight="1" x14ac:dyDescent="0.2">
      <c r="D3206" s="58"/>
      <c r="G3206" s="58"/>
      <c r="H3206" s="58"/>
      <c r="I3206" s="156"/>
      <c r="K3206" s="58"/>
      <c r="M3206" s="163"/>
      <c r="N3206" s="163"/>
    </row>
    <row r="3207" spans="4:14" ht="11.45" customHeight="1" x14ac:dyDescent="0.2">
      <c r="D3207" s="58"/>
      <c r="G3207" s="58"/>
      <c r="H3207" s="58"/>
      <c r="I3207" s="156"/>
      <c r="K3207" s="58"/>
      <c r="M3207" s="163"/>
      <c r="N3207" s="163"/>
    </row>
    <row r="3208" spans="4:14" ht="11.45" customHeight="1" x14ac:dyDescent="0.2">
      <c r="D3208" s="58"/>
      <c r="G3208" s="58"/>
      <c r="H3208" s="58"/>
      <c r="I3208" s="156"/>
      <c r="K3208" s="58"/>
      <c r="M3208" s="163"/>
      <c r="N3208" s="163"/>
    </row>
    <row r="3209" spans="4:14" ht="11.45" customHeight="1" x14ac:dyDescent="0.2">
      <c r="D3209" s="58"/>
      <c r="G3209" s="58"/>
      <c r="H3209" s="58"/>
      <c r="I3209" s="156"/>
      <c r="K3209" s="58"/>
      <c r="M3209" s="163"/>
      <c r="N3209" s="163"/>
    </row>
    <row r="3210" spans="4:14" ht="11.45" customHeight="1" x14ac:dyDescent="0.2">
      <c r="D3210" s="58"/>
      <c r="G3210" s="58"/>
      <c r="H3210" s="58"/>
      <c r="I3210" s="156"/>
      <c r="K3210" s="58"/>
      <c r="M3210" s="163"/>
      <c r="N3210" s="163"/>
    </row>
    <row r="3211" spans="4:14" ht="11.45" customHeight="1" x14ac:dyDescent="0.2">
      <c r="D3211" s="58"/>
      <c r="G3211" s="58"/>
      <c r="H3211" s="58"/>
      <c r="I3211" s="156"/>
      <c r="K3211" s="58"/>
      <c r="M3211" s="163"/>
      <c r="N3211" s="163"/>
    </row>
    <row r="3212" spans="4:14" ht="11.45" customHeight="1" x14ac:dyDescent="0.2">
      <c r="D3212" s="58"/>
      <c r="G3212" s="58"/>
      <c r="H3212" s="58"/>
      <c r="I3212" s="156"/>
      <c r="K3212" s="58"/>
      <c r="M3212" s="163"/>
      <c r="N3212" s="163"/>
    </row>
    <row r="3213" spans="4:14" ht="11.45" customHeight="1" x14ac:dyDescent="0.2">
      <c r="D3213" s="58"/>
      <c r="G3213" s="58"/>
      <c r="H3213" s="58"/>
      <c r="I3213" s="156"/>
      <c r="K3213" s="58"/>
      <c r="M3213" s="163"/>
      <c r="N3213" s="163"/>
    </row>
    <row r="3214" spans="4:14" ht="11.45" customHeight="1" x14ac:dyDescent="0.2">
      <c r="D3214" s="58"/>
      <c r="G3214" s="58"/>
      <c r="H3214" s="58"/>
      <c r="I3214" s="156"/>
      <c r="K3214" s="58"/>
      <c r="M3214" s="163"/>
      <c r="N3214" s="163"/>
    </row>
    <row r="3215" spans="4:14" ht="11.45" customHeight="1" x14ac:dyDescent="0.2">
      <c r="D3215" s="58"/>
      <c r="G3215" s="58"/>
      <c r="H3215" s="58"/>
      <c r="I3215" s="156"/>
      <c r="K3215" s="58"/>
      <c r="M3215" s="163"/>
      <c r="N3215" s="163"/>
    </row>
    <row r="3216" spans="4:14" ht="11.45" customHeight="1" x14ac:dyDescent="0.2">
      <c r="D3216" s="58"/>
      <c r="G3216" s="58"/>
      <c r="H3216" s="58"/>
      <c r="I3216" s="156"/>
      <c r="K3216" s="58"/>
      <c r="M3216" s="163"/>
      <c r="N3216" s="163"/>
    </row>
    <row r="3217" spans="4:14" ht="11.45" customHeight="1" x14ac:dyDescent="0.2">
      <c r="D3217" s="58"/>
      <c r="G3217" s="58"/>
      <c r="H3217" s="58"/>
      <c r="I3217" s="156"/>
      <c r="K3217" s="58"/>
      <c r="M3217" s="163"/>
      <c r="N3217" s="163"/>
    </row>
    <row r="3218" spans="4:14" ht="11.45" customHeight="1" x14ac:dyDescent="0.2">
      <c r="D3218" s="58"/>
      <c r="G3218" s="58"/>
      <c r="H3218" s="58"/>
      <c r="I3218" s="156"/>
      <c r="K3218" s="58"/>
      <c r="M3218" s="163"/>
      <c r="N3218" s="163"/>
    </row>
    <row r="3219" spans="4:14" ht="11.45" customHeight="1" x14ac:dyDescent="0.2">
      <c r="D3219" s="58"/>
      <c r="G3219" s="58"/>
      <c r="H3219" s="58"/>
      <c r="I3219" s="156"/>
      <c r="K3219" s="58"/>
      <c r="M3219" s="163"/>
      <c r="N3219" s="163"/>
    </row>
    <row r="3220" spans="4:14" ht="11.45" customHeight="1" x14ac:dyDescent="0.2">
      <c r="D3220" s="58"/>
      <c r="G3220" s="58"/>
      <c r="H3220" s="58"/>
      <c r="I3220" s="156"/>
      <c r="K3220" s="58"/>
      <c r="M3220" s="163"/>
      <c r="N3220" s="163"/>
    </row>
    <row r="3221" spans="4:14" ht="11.45" customHeight="1" x14ac:dyDescent="0.2">
      <c r="D3221" s="58"/>
      <c r="G3221" s="58"/>
      <c r="H3221" s="58"/>
      <c r="I3221" s="156"/>
      <c r="K3221" s="58"/>
      <c r="M3221" s="163"/>
      <c r="N3221" s="163"/>
    </row>
    <row r="3222" spans="4:14" ht="11.45" customHeight="1" x14ac:dyDescent="0.2">
      <c r="D3222" s="58"/>
      <c r="G3222" s="58"/>
      <c r="H3222" s="58"/>
      <c r="I3222" s="156"/>
      <c r="K3222" s="58"/>
      <c r="M3222" s="163"/>
      <c r="N3222" s="163"/>
    </row>
    <row r="3223" spans="4:14" ht="11.45" customHeight="1" x14ac:dyDescent="0.2">
      <c r="D3223" s="58"/>
      <c r="G3223" s="58"/>
      <c r="H3223" s="58"/>
      <c r="I3223" s="156"/>
      <c r="K3223" s="58"/>
      <c r="M3223" s="163"/>
      <c r="N3223" s="163"/>
    </row>
    <row r="3224" spans="4:14" ht="11.45" customHeight="1" x14ac:dyDescent="0.2">
      <c r="D3224" s="58"/>
      <c r="G3224" s="58"/>
      <c r="H3224" s="58"/>
      <c r="I3224" s="156"/>
      <c r="K3224" s="58"/>
      <c r="M3224" s="163"/>
      <c r="N3224" s="163"/>
    </row>
    <row r="3225" spans="4:14" ht="11.45" customHeight="1" x14ac:dyDescent="0.2">
      <c r="D3225" s="58"/>
      <c r="G3225" s="58"/>
      <c r="H3225" s="58"/>
      <c r="I3225" s="156"/>
      <c r="K3225" s="58"/>
      <c r="M3225" s="163"/>
      <c r="N3225" s="163"/>
    </row>
    <row r="3226" spans="4:14" ht="11.45" customHeight="1" x14ac:dyDescent="0.2">
      <c r="D3226" s="58"/>
      <c r="G3226" s="58"/>
      <c r="H3226" s="58"/>
      <c r="I3226" s="156"/>
      <c r="K3226" s="58"/>
      <c r="M3226" s="163"/>
      <c r="N3226" s="163"/>
    </row>
    <row r="3227" spans="4:14" ht="11.45" customHeight="1" x14ac:dyDescent="0.2">
      <c r="D3227" s="58"/>
      <c r="G3227" s="58"/>
      <c r="H3227" s="58"/>
      <c r="I3227" s="156"/>
      <c r="K3227" s="58"/>
      <c r="M3227" s="163"/>
      <c r="N3227" s="163"/>
    </row>
    <row r="3228" spans="4:14" ht="11.45" customHeight="1" x14ac:dyDescent="0.2">
      <c r="D3228" s="58"/>
      <c r="G3228" s="58"/>
      <c r="H3228" s="58"/>
      <c r="I3228" s="156"/>
      <c r="K3228" s="58"/>
      <c r="M3228" s="163"/>
      <c r="N3228" s="163"/>
    </row>
    <row r="3229" spans="4:14" ht="11.45" customHeight="1" x14ac:dyDescent="0.2">
      <c r="D3229" s="58"/>
      <c r="G3229" s="58"/>
      <c r="H3229" s="58"/>
      <c r="I3229" s="156"/>
      <c r="K3229" s="58"/>
      <c r="M3229" s="163"/>
      <c r="N3229" s="163"/>
    </row>
    <row r="3230" spans="4:14" ht="11.45" customHeight="1" x14ac:dyDescent="0.2">
      <c r="D3230" s="58"/>
      <c r="G3230" s="58"/>
      <c r="H3230" s="58"/>
      <c r="I3230" s="156"/>
      <c r="K3230" s="58"/>
      <c r="M3230" s="163"/>
      <c r="N3230" s="163"/>
    </row>
    <row r="3231" spans="4:14" ht="11.45" customHeight="1" x14ac:dyDescent="0.2">
      <c r="D3231" s="58"/>
      <c r="G3231" s="58"/>
      <c r="H3231" s="58"/>
      <c r="I3231" s="156"/>
      <c r="K3231" s="58"/>
      <c r="M3231" s="163"/>
      <c r="N3231" s="163"/>
    </row>
    <row r="3232" spans="4:14" ht="11.45" customHeight="1" x14ac:dyDescent="0.2">
      <c r="D3232" s="58"/>
      <c r="G3232" s="58"/>
      <c r="H3232" s="58"/>
      <c r="I3232" s="156"/>
      <c r="K3232" s="58"/>
      <c r="M3232" s="163"/>
      <c r="N3232" s="163"/>
    </row>
    <row r="3233" spans="4:14" ht="11.45" customHeight="1" x14ac:dyDescent="0.2">
      <c r="D3233" s="58"/>
      <c r="G3233" s="58"/>
      <c r="H3233" s="58"/>
      <c r="I3233" s="156"/>
      <c r="K3233" s="58"/>
      <c r="M3233" s="163"/>
      <c r="N3233" s="163"/>
    </row>
    <row r="3234" spans="4:14" ht="11.45" customHeight="1" x14ac:dyDescent="0.2">
      <c r="D3234" s="58"/>
      <c r="G3234" s="58"/>
      <c r="H3234" s="58"/>
      <c r="I3234" s="156"/>
      <c r="K3234" s="58"/>
      <c r="M3234" s="163"/>
      <c r="N3234" s="163"/>
    </row>
    <row r="3235" spans="4:14" ht="11.45" customHeight="1" x14ac:dyDescent="0.2">
      <c r="D3235" s="58"/>
      <c r="G3235" s="58"/>
      <c r="H3235" s="58"/>
      <c r="I3235" s="156"/>
      <c r="K3235" s="58"/>
      <c r="M3235" s="163"/>
      <c r="N3235" s="163"/>
    </row>
    <row r="3236" spans="4:14" ht="11.45" customHeight="1" x14ac:dyDescent="0.2">
      <c r="D3236" s="58"/>
      <c r="G3236" s="58"/>
      <c r="H3236" s="58"/>
      <c r="I3236" s="156"/>
      <c r="K3236" s="58"/>
      <c r="M3236" s="163"/>
      <c r="N3236" s="163"/>
    </row>
    <row r="3237" spans="4:14" ht="11.45" customHeight="1" x14ac:dyDescent="0.2">
      <c r="D3237" s="58"/>
      <c r="G3237" s="58"/>
      <c r="H3237" s="58"/>
      <c r="I3237" s="156"/>
      <c r="K3237" s="58"/>
      <c r="M3237" s="163"/>
      <c r="N3237" s="163"/>
    </row>
    <row r="3238" spans="4:14" ht="11.45" customHeight="1" x14ac:dyDescent="0.2">
      <c r="D3238" s="58"/>
      <c r="G3238" s="58"/>
      <c r="H3238" s="58"/>
      <c r="I3238" s="156"/>
      <c r="K3238" s="58"/>
      <c r="M3238" s="163"/>
      <c r="N3238" s="163"/>
    </row>
    <row r="3239" spans="4:14" ht="11.45" customHeight="1" x14ac:dyDescent="0.2">
      <c r="D3239" s="58"/>
      <c r="G3239" s="58"/>
      <c r="H3239" s="58"/>
      <c r="I3239" s="156"/>
      <c r="K3239" s="58"/>
      <c r="M3239" s="163"/>
      <c r="N3239" s="163"/>
    </row>
    <row r="3240" spans="4:14" ht="11.45" customHeight="1" x14ac:dyDescent="0.2">
      <c r="D3240" s="58"/>
      <c r="G3240" s="58"/>
      <c r="H3240" s="58"/>
      <c r="I3240" s="156"/>
      <c r="K3240" s="58"/>
      <c r="M3240" s="163"/>
      <c r="N3240" s="163"/>
    </row>
    <row r="3241" spans="4:14" ht="11.45" customHeight="1" x14ac:dyDescent="0.2">
      <c r="D3241" s="58"/>
      <c r="G3241" s="58"/>
      <c r="H3241" s="58"/>
      <c r="I3241" s="156"/>
      <c r="K3241" s="58"/>
      <c r="M3241" s="163"/>
      <c r="N3241" s="163"/>
    </row>
    <row r="3242" spans="4:14" ht="11.45" customHeight="1" x14ac:dyDescent="0.2">
      <c r="D3242" s="58"/>
      <c r="G3242" s="58"/>
      <c r="H3242" s="58"/>
      <c r="I3242" s="156"/>
      <c r="K3242" s="58"/>
      <c r="M3242" s="163"/>
      <c r="N3242" s="163"/>
    </row>
    <row r="3243" spans="4:14" ht="11.45" customHeight="1" x14ac:dyDescent="0.2">
      <c r="D3243" s="58"/>
      <c r="G3243" s="58"/>
      <c r="H3243" s="58"/>
      <c r="I3243" s="156"/>
      <c r="K3243" s="58"/>
      <c r="M3243" s="163"/>
      <c r="N3243" s="163"/>
    </row>
    <row r="3244" spans="4:14" ht="11.45" customHeight="1" x14ac:dyDescent="0.2">
      <c r="D3244" s="58"/>
      <c r="G3244" s="58"/>
      <c r="H3244" s="58"/>
      <c r="I3244" s="156"/>
      <c r="K3244" s="58"/>
      <c r="M3244" s="163"/>
      <c r="N3244" s="163"/>
    </row>
    <row r="3245" spans="4:14" ht="11.45" customHeight="1" x14ac:dyDescent="0.2">
      <c r="D3245" s="58"/>
      <c r="G3245" s="58"/>
      <c r="H3245" s="58"/>
      <c r="I3245" s="156"/>
      <c r="K3245" s="58"/>
      <c r="M3245" s="163"/>
      <c r="N3245" s="163"/>
    </row>
    <row r="3246" spans="4:14" ht="11.45" customHeight="1" x14ac:dyDescent="0.2">
      <c r="D3246" s="58"/>
      <c r="G3246" s="58"/>
      <c r="H3246" s="58"/>
      <c r="I3246" s="156"/>
      <c r="K3246" s="58"/>
      <c r="M3246" s="163"/>
      <c r="N3246" s="163"/>
    </row>
    <row r="3247" spans="4:14" ht="11.45" customHeight="1" x14ac:dyDescent="0.2">
      <c r="D3247" s="58"/>
      <c r="G3247" s="58"/>
      <c r="H3247" s="58"/>
      <c r="I3247" s="156"/>
      <c r="K3247" s="58"/>
      <c r="M3247" s="163"/>
      <c r="N3247" s="163"/>
    </row>
    <row r="3248" spans="4:14" ht="11.45" customHeight="1" x14ac:dyDescent="0.2">
      <c r="D3248" s="58"/>
      <c r="G3248" s="58"/>
      <c r="H3248" s="58"/>
      <c r="I3248" s="156"/>
      <c r="K3248" s="58"/>
      <c r="M3248" s="163"/>
      <c r="N3248" s="163"/>
    </row>
    <row r="3249" spans="4:14" ht="11.45" customHeight="1" x14ac:dyDescent="0.2">
      <c r="D3249" s="58"/>
      <c r="G3249" s="58"/>
      <c r="H3249" s="58"/>
      <c r="I3249" s="156"/>
      <c r="K3249" s="58"/>
      <c r="M3249" s="163"/>
      <c r="N3249" s="163"/>
    </row>
    <row r="3250" spans="4:14" ht="11.45" customHeight="1" x14ac:dyDescent="0.2">
      <c r="D3250" s="58"/>
      <c r="G3250" s="58"/>
      <c r="H3250" s="58"/>
      <c r="I3250" s="156"/>
      <c r="K3250" s="58"/>
      <c r="M3250" s="163"/>
      <c r="N3250" s="163"/>
    </row>
    <row r="3251" spans="4:14" ht="11.45" customHeight="1" x14ac:dyDescent="0.2">
      <c r="D3251" s="58"/>
      <c r="G3251" s="58"/>
      <c r="H3251" s="58"/>
      <c r="I3251" s="156"/>
      <c r="K3251" s="58"/>
      <c r="M3251" s="163"/>
      <c r="N3251" s="163"/>
    </row>
    <row r="3252" spans="4:14" ht="11.45" customHeight="1" x14ac:dyDescent="0.2">
      <c r="D3252" s="58"/>
      <c r="G3252" s="58"/>
      <c r="H3252" s="58"/>
      <c r="I3252" s="156"/>
      <c r="K3252" s="58"/>
      <c r="M3252" s="163"/>
      <c r="N3252" s="163"/>
    </row>
    <row r="3253" spans="4:14" ht="11.45" customHeight="1" x14ac:dyDescent="0.2">
      <c r="D3253" s="58"/>
      <c r="G3253" s="58"/>
      <c r="H3253" s="58"/>
      <c r="I3253" s="156"/>
      <c r="K3253" s="58"/>
      <c r="M3253" s="163"/>
      <c r="N3253" s="163"/>
    </row>
    <row r="3254" spans="4:14" ht="11.45" customHeight="1" x14ac:dyDescent="0.2">
      <c r="D3254" s="58"/>
      <c r="G3254" s="58"/>
      <c r="H3254" s="58"/>
      <c r="I3254" s="156"/>
      <c r="K3254" s="58"/>
      <c r="M3254" s="163"/>
      <c r="N3254" s="163"/>
    </row>
    <row r="3255" spans="4:14" ht="11.45" customHeight="1" x14ac:dyDescent="0.2">
      <c r="D3255" s="58"/>
      <c r="G3255" s="58"/>
      <c r="H3255" s="58"/>
      <c r="I3255" s="156"/>
      <c r="K3255" s="58"/>
      <c r="M3255" s="163"/>
      <c r="N3255" s="163"/>
    </row>
    <row r="3256" spans="4:14" ht="11.45" customHeight="1" x14ac:dyDescent="0.2">
      <c r="D3256" s="58"/>
      <c r="G3256" s="58"/>
      <c r="H3256" s="58"/>
      <c r="I3256" s="156"/>
      <c r="K3256" s="58"/>
      <c r="M3256" s="163"/>
      <c r="N3256" s="163"/>
    </row>
    <row r="3257" spans="4:14" ht="11.45" customHeight="1" x14ac:dyDescent="0.2">
      <c r="D3257" s="58"/>
      <c r="G3257" s="58"/>
      <c r="H3257" s="58"/>
      <c r="I3257" s="156"/>
      <c r="K3257" s="58"/>
      <c r="M3257" s="163"/>
      <c r="N3257" s="163"/>
    </row>
    <row r="3258" spans="4:14" ht="11.45" customHeight="1" x14ac:dyDescent="0.2">
      <c r="D3258" s="58"/>
      <c r="G3258" s="58"/>
      <c r="H3258" s="58"/>
      <c r="I3258" s="156"/>
      <c r="K3258" s="58"/>
      <c r="M3258" s="163"/>
      <c r="N3258" s="163"/>
    </row>
    <row r="3259" spans="4:14" ht="11.45" customHeight="1" x14ac:dyDescent="0.2">
      <c r="D3259" s="58"/>
      <c r="G3259" s="58"/>
      <c r="H3259" s="58"/>
      <c r="I3259" s="156"/>
      <c r="K3259" s="58"/>
      <c r="M3259" s="163"/>
      <c r="N3259" s="163"/>
    </row>
    <row r="3260" spans="4:14" ht="11.45" customHeight="1" x14ac:dyDescent="0.2">
      <c r="D3260" s="58"/>
      <c r="G3260" s="58"/>
      <c r="H3260" s="58"/>
      <c r="I3260" s="156"/>
      <c r="K3260" s="58"/>
      <c r="M3260" s="163"/>
      <c r="N3260" s="163"/>
    </row>
    <row r="3261" spans="4:14" ht="11.45" customHeight="1" x14ac:dyDescent="0.2">
      <c r="D3261" s="58"/>
      <c r="G3261" s="58"/>
      <c r="H3261" s="58"/>
      <c r="I3261" s="156"/>
      <c r="K3261" s="58"/>
      <c r="M3261" s="163"/>
      <c r="N3261" s="163"/>
    </row>
    <row r="3262" spans="4:14" ht="11.45" customHeight="1" x14ac:dyDescent="0.2">
      <c r="D3262" s="58"/>
      <c r="G3262" s="58"/>
      <c r="H3262" s="58"/>
      <c r="I3262" s="156"/>
      <c r="K3262" s="58"/>
      <c r="M3262" s="163"/>
      <c r="N3262" s="163"/>
    </row>
    <row r="3263" spans="4:14" ht="11.45" customHeight="1" x14ac:dyDescent="0.2">
      <c r="D3263" s="58"/>
      <c r="G3263" s="58"/>
      <c r="H3263" s="58"/>
      <c r="I3263" s="156"/>
      <c r="K3263" s="58"/>
      <c r="M3263" s="163"/>
      <c r="N3263" s="163"/>
    </row>
    <row r="3264" spans="4:14" ht="11.45" customHeight="1" x14ac:dyDescent="0.2">
      <c r="D3264" s="58"/>
      <c r="G3264" s="58"/>
      <c r="H3264" s="58"/>
      <c r="I3264" s="156"/>
      <c r="K3264" s="58"/>
      <c r="M3264" s="163"/>
      <c r="N3264" s="163"/>
    </row>
    <row r="3265" spans="4:14" ht="11.45" customHeight="1" x14ac:dyDescent="0.2">
      <c r="D3265" s="58"/>
      <c r="G3265" s="58"/>
      <c r="H3265" s="58"/>
      <c r="I3265" s="156"/>
      <c r="K3265" s="58"/>
      <c r="M3265" s="163"/>
      <c r="N3265" s="163"/>
    </row>
    <row r="3266" spans="4:14" ht="11.45" customHeight="1" x14ac:dyDescent="0.2">
      <c r="D3266" s="58"/>
      <c r="G3266" s="58"/>
      <c r="H3266" s="58"/>
      <c r="I3266" s="156"/>
      <c r="K3266" s="58"/>
      <c r="M3266" s="163"/>
      <c r="N3266" s="163"/>
    </row>
    <row r="3267" spans="4:14" ht="11.45" customHeight="1" x14ac:dyDescent="0.2">
      <c r="D3267" s="58"/>
      <c r="G3267" s="58"/>
      <c r="H3267" s="58"/>
      <c r="I3267" s="156"/>
      <c r="K3267" s="58"/>
      <c r="M3267" s="163"/>
      <c r="N3267" s="163"/>
    </row>
    <row r="3268" spans="4:14" ht="11.45" customHeight="1" x14ac:dyDescent="0.2">
      <c r="D3268" s="58"/>
      <c r="G3268" s="58"/>
      <c r="H3268" s="58"/>
      <c r="I3268" s="156"/>
      <c r="K3268" s="58"/>
      <c r="M3268" s="163"/>
      <c r="N3268" s="163"/>
    </row>
    <row r="3269" spans="4:14" ht="11.45" customHeight="1" x14ac:dyDescent="0.2">
      <c r="D3269" s="58"/>
      <c r="G3269" s="58"/>
      <c r="H3269" s="58"/>
      <c r="I3269" s="156"/>
      <c r="K3269" s="58"/>
      <c r="M3269" s="163"/>
      <c r="N3269" s="163"/>
    </row>
    <row r="3270" spans="4:14" ht="11.45" customHeight="1" x14ac:dyDescent="0.2">
      <c r="D3270" s="58"/>
      <c r="G3270" s="58"/>
      <c r="H3270" s="58"/>
      <c r="I3270" s="156"/>
      <c r="K3270" s="58"/>
      <c r="M3270" s="163"/>
      <c r="N3270" s="163"/>
    </row>
    <row r="3271" spans="4:14" ht="11.45" customHeight="1" x14ac:dyDescent="0.2">
      <c r="D3271" s="58"/>
      <c r="G3271" s="58"/>
      <c r="H3271" s="58"/>
      <c r="I3271" s="156"/>
      <c r="K3271" s="58"/>
      <c r="M3271" s="163"/>
      <c r="N3271" s="163"/>
    </row>
    <row r="3272" spans="4:14" ht="11.45" customHeight="1" x14ac:dyDescent="0.2">
      <c r="D3272" s="58"/>
      <c r="G3272" s="58"/>
      <c r="H3272" s="58"/>
      <c r="I3272" s="156"/>
      <c r="K3272" s="58"/>
      <c r="M3272" s="163"/>
      <c r="N3272" s="163"/>
    </row>
    <row r="3273" spans="4:14" ht="11.45" customHeight="1" x14ac:dyDescent="0.2">
      <c r="D3273" s="58"/>
      <c r="G3273" s="58"/>
      <c r="H3273" s="58"/>
      <c r="I3273" s="156"/>
      <c r="K3273" s="58"/>
      <c r="M3273" s="163"/>
      <c r="N3273" s="163"/>
    </row>
    <row r="3274" spans="4:14" ht="11.45" customHeight="1" x14ac:dyDescent="0.2">
      <c r="D3274" s="58"/>
      <c r="G3274" s="58"/>
      <c r="H3274" s="58"/>
      <c r="I3274" s="156"/>
      <c r="K3274" s="58"/>
      <c r="M3274" s="163"/>
      <c r="N3274" s="163"/>
    </row>
    <row r="3275" spans="4:14" ht="11.45" customHeight="1" x14ac:dyDescent="0.2">
      <c r="D3275" s="58"/>
      <c r="G3275" s="58"/>
      <c r="H3275" s="58"/>
      <c r="I3275" s="156"/>
      <c r="K3275" s="58"/>
      <c r="M3275" s="163"/>
      <c r="N3275" s="163"/>
    </row>
    <row r="3276" spans="4:14" ht="11.45" customHeight="1" x14ac:dyDescent="0.2">
      <c r="D3276" s="58"/>
      <c r="G3276" s="58"/>
      <c r="H3276" s="58"/>
      <c r="I3276" s="156"/>
      <c r="K3276" s="58"/>
      <c r="M3276" s="163"/>
      <c r="N3276" s="163"/>
    </row>
    <row r="3277" spans="4:14" ht="11.45" customHeight="1" x14ac:dyDescent="0.2">
      <c r="D3277" s="58"/>
      <c r="G3277" s="58"/>
      <c r="H3277" s="58"/>
      <c r="I3277" s="156"/>
      <c r="K3277" s="58"/>
      <c r="M3277" s="163"/>
      <c r="N3277" s="163"/>
    </row>
    <row r="3278" spans="4:14" ht="11.45" customHeight="1" x14ac:dyDescent="0.2">
      <c r="D3278" s="58"/>
      <c r="G3278" s="58"/>
      <c r="H3278" s="58"/>
      <c r="I3278" s="156"/>
      <c r="K3278" s="58"/>
      <c r="M3278" s="163"/>
      <c r="N3278" s="163"/>
    </row>
    <row r="3279" spans="4:14" ht="11.45" customHeight="1" x14ac:dyDescent="0.2">
      <c r="D3279" s="58"/>
      <c r="G3279" s="58"/>
      <c r="H3279" s="58"/>
      <c r="I3279" s="156"/>
      <c r="K3279" s="58"/>
      <c r="M3279" s="163"/>
      <c r="N3279" s="163"/>
    </row>
    <row r="3280" spans="4:14" ht="11.45" customHeight="1" x14ac:dyDescent="0.2">
      <c r="D3280" s="58"/>
      <c r="G3280" s="58"/>
      <c r="H3280" s="58"/>
      <c r="I3280" s="156"/>
      <c r="K3280" s="58"/>
      <c r="M3280" s="163"/>
      <c r="N3280" s="163"/>
    </row>
    <row r="3281" spans="4:14" ht="11.45" customHeight="1" x14ac:dyDescent="0.2">
      <c r="D3281" s="58"/>
      <c r="G3281" s="58"/>
      <c r="H3281" s="58"/>
      <c r="I3281" s="156"/>
      <c r="K3281" s="58"/>
      <c r="M3281" s="163"/>
      <c r="N3281" s="163"/>
    </row>
    <row r="3282" spans="4:14" ht="11.45" customHeight="1" x14ac:dyDescent="0.2">
      <c r="D3282" s="58"/>
      <c r="G3282" s="58"/>
      <c r="H3282" s="58"/>
      <c r="I3282" s="156"/>
      <c r="K3282" s="58"/>
      <c r="M3282" s="163"/>
      <c r="N3282" s="163"/>
    </row>
    <row r="3283" spans="4:14" ht="11.45" customHeight="1" x14ac:dyDescent="0.2">
      <c r="D3283" s="58"/>
      <c r="G3283" s="58"/>
      <c r="H3283" s="58"/>
      <c r="I3283" s="156"/>
      <c r="K3283" s="58"/>
      <c r="M3283" s="163"/>
      <c r="N3283" s="163"/>
    </row>
    <row r="3284" spans="4:14" ht="11.45" customHeight="1" x14ac:dyDescent="0.2">
      <c r="D3284" s="58"/>
      <c r="G3284" s="58"/>
      <c r="H3284" s="58"/>
      <c r="I3284" s="156"/>
      <c r="K3284" s="58"/>
      <c r="M3284" s="163"/>
      <c r="N3284" s="163"/>
    </row>
    <row r="3285" spans="4:14" ht="11.45" customHeight="1" x14ac:dyDescent="0.2">
      <c r="D3285" s="58"/>
      <c r="G3285" s="58"/>
      <c r="H3285" s="58"/>
      <c r="I3285" s="156"/>
      <c r="K3285" s="58"/>
      <c r="M3285" s="163"/>
      <c r="N3285" s="163"/>
    </row>
    <row r="3286" spans="4:14" ht="11.45" customHeight="1" x14ac:dyDescent="0.2">
      <c r="D3286" s="58"/>
      <c r="G3286" s="58"/>
      <c r="H3286" s="58"/>
      <c r="I3286" s="156"/>
      <c r="K3286" s="58"/>
      <c r="M3286" s="163"/>
      <c r="N3286" s="163"/>
    </row>
    <row r="3287" spans="4:14" ht="11.45" customHeight="1" x14ac:dyDescent="0.2">
      <c r="D3287" s="58"/>
      <c r="G3287" s="58"/>
      <c r="H3287" s="58"/>
      <c r="I3287" s="156"/>
      <c r="K3287" s="58"/>
      <c r="M3287" s="163"/>
      <c r="N3287" s="163"/>
    </row>
    <row r="3288" spans="4:14" ht="11.45" customHeight="1" x14ac:dyDescent="0.2">
      <c r="D3288" s="58"/>
      <c r="G3288" s="58"/>
      <c r="H3288" s="58"/>
      <c r="I3288" s="156"/>
      <c r="K3288" s="58"/>
      <c r="M3288" s="163"/>
      <c r="N3288" s="163"/>
    </row>
    <row r="3289" spans="4:14" ht="11.45" customHeight="1" x14ac:dyDescent="0.2">
      <c r="D3289" s="58"/>
      <c r="G3289" s="58"/>
      <c r="H3289" s="58"/>
      <c r="I3289" s="156"/>
      <c r="K3289" s="58"/>
      <c r="M3289" s="163"/>
      <c r="N3289" s="163"/>
    </row>
    <row r="3290" spans="4:14" ht="11.45" customHeight="1" x14ac:dyDescent="0.2">
      <c r="D3290" s="58"/>
      <c r="G3290" s="58"/>
      <c r="H3290" s="58"/>
      <c r="I3290" s="156"/>
      <c r="K3290" s="58"/>
      <c r="M3290" s="163"/>
      <c r="N3290" s="163"/>
    </row>
    <row r="3291" spans="4:14" ht="11.45" customHeight="1" x14ac:dyDescent="0.2">
      <c r="D3291" s="58"/>
      <c r="G3291" s="58"/>
      <c r="H3291" s="58"/>
      <c r="I3291" s="156"/>
      <c r="K3291" s="58"/>
      <c r="M3291" s="163"/>
      <c r="N3291" s="163"/>
    </row>
    <row r="3292" spans="4:14" ht="11.45" customHeight="1" x14ac:dyDescent="0.2">
      <c r="D3292" s="58"/>
      <c r="G3292" s="58"/>
      <c r="H3292" s="58"/>
      <c r="I3292" s="156"/>
      <c r="K3292" s="58"/>
      <c r="M3292" s="163"/>
      <c r="N3292" s="163"/>
    </row>
    <row r="3293" spans="4:14" ht="11.45" customHeight="1" x14ac:dyDescent="0.2">
      <c r="D3293" s="58"/>
      <c r="G3293" s="58"/>
      <c r="H3293" s="58"/>
      <c r="I3293" s="156"/>
      <c r="K3293" s="58"/>
      <c r="M3293" s="163"/>
      <c r="N3293" s="163"/>
    </row>
    <row r="3294" spans="4:14" ht="11.45" customHeight="1" x14ac:dyDescent="0.2">
      <c r="D3294" s="58"/>
      <c r="G3294" s="58"/>
      <c r="H3294" s="58"/>
      <c r="I3294" s="156"/>
      <c r="K3294" s="58"/>
      <c r="M3294" s="163"/>
      <c r="N3294" s="163"/>
    </row>
    <row r="3295" spans="4:14" ht="11.45" customHeight="1" x14ac:dyDescent="0.2">
      <c r="D3295" s="58"/>
      <c r="G3295" s="58"/>
      <c r="H3295" s="58"/>
      <c r="I3295" s="156"/>
      <c r="K3295" s="58"/>
      <c r="M3295" s="163"/>
      <c r="N3295" s="163"/>
    </row>
    <row r="3296" spans="4:14" ht="11.45" customHeight="1" x14ac:dyDescent="0.2">
      <c r="D3296" s="58"/>
      <c r="G3296" s="58"/>
      <c r="H3296" s="58"/>
      <c r="I3296" s="156"/>
      <c r="K3296" s="58"/>
      <c r="M3296" s="163"/>
      <c r="N3296" s="163"/>
    </row>
    <row r="3297" spans="4:14" ht="11.45" customHeight="1" x14ac:dyDescent="0.2">
      <c r="D3297" s="58"/>
      <c r="G3297" s="58"/>
      <c r="H3297" s="58"/>
      <c r="I3297" s="156"/>
      <c r="K3297" s="58"/>
      <c r="M3297" s="163"/>
      <c r="N3297" s="163"/>
    </row>
    <row r="3298" spans="4:14" ht="11.45" customHeight="1" x14ac:dyDescent="0.2">
      <c r="D3298" s="58"/>
      <c r="G3298" s="58"/>
      <c r="H3298" s="58"/>
      <c r="I3298" s="156"/>
      <c r="K3298" s="58"/>
      <c r="M3298" s="163"/>
      <c r="N3298" s="163"/>
    </row>
    <row r="3299" spans="4:14" ht="11.45" customHeight="1" x14ac:dyDescent="0.2">
      <c r="D3299" s="58"/>
      <c r="G3299" s="58"/>
      <c r="H3299" s="58"/>
      <c r="I3299" s="156"/>
      <c r="K3299" s="58"/>
      <c r="M3299" s="163"/>
      <c r="N3299" s="163"/>
    </row>
    <row r="3300" spans="4:14" ht="11.45" customHeight="1" x14ac:dyDescent="0.2">
      <c r="D3300" s="58"/>
      <c r="G3300" s="58"/>
      <c r="H3300" s="58"/>
      <c r="I3300" s="156"/>
      <c r="K3300" s="58"/>
      <c r="M3300" s="163"/>
      <c r="N3300" s="163"/>
    </row>
    <row r="3301" spans="4:14" ht="11.45" customHeight="1" x14ac:dyDescent="0.2">
      <c r="D3301" s="58"/>
      <c r="G3301" s="58"/>
      <c r="H3301" s="58"/>
      <c r="I3301" s="156"/>
      <c r="K3301" s="58"/>
      <c r="M3301" s="163"/>
      <c r="N3301" s="163"/>
    </row>
    <row r="3302" spans="4:14" ht="11.45" customHeight="1" x14ac:dyDescent="0.2">
      <c r="D3302" s="58"/>
      <c r="G3302" s="58"/>
      <c r="H3302" s="58"/>
      <c r="I3302" s="156"/>
      <c r="K3302" s="58"/>
      <c r="M3302" s="163"/>
      <c r="N3302" s="163"/>
    </row>
    <row r="3303" spans="4:14" ht="11.45" customHeight="1" x14ac:dyDescent="0.2">
      <c r="D3303" s="58"/>
      <c r="G3303" s="58"/>
      <c r="H3303" s="58"/>
      <c r="I3303" s="156"/>
      <c r="K3303" s="58"/>
      <c r="M3303" s="163"/>
      <c r="N3303" s="163"/>
    </row>
    <row r="3304" spans="4:14" ht="11.45" customHeight="1" x14ac:dyDescent="0.2">
      <c r="D3304" s="58"/>
      <c r="G3304" s="58"/>
      <c r="H3304" s="58"/>
      <c r="I3304" s="156"/>
      <c r="K3304" s="58"/>
      <c r="M3304" s="163"/>
      <c r="N3304" s="163"/>
    </row>
    <row r="3305" spans="4:14" ht="11.45" customHeight="1" x14ac:dyDescent="0.2">
      <c r="D3305" s="58"/>
      <c r="G3305" s="58"/>
      <c r="H3305" s="58"/>
      <c r="I3305" s="156"/>
      <c r="K3305" s="58"/>
      <c r="M3305" s="163"/>
      <c r="N3305" s="163"/>
    </row>
    <row r="3306" spans="4:14" ht="11.45" customHeight="1" x14ac:dyDescent="0.2">
      <c r="D3306" s="58"/>
      <c r="G3306" s="58"/>
      <c r="H3306" s="58"/>
      <c r="I3306" s="156"/>
      <c r="K3306" s="58"/>
      <c r="M3306" s="163"/>
      <c r="N3306" s="163"/>
    </row>
    <row r="3307" spans="4:14" ht="11.45" customHeight="1" x14ac:dyDescent="0.2">
      <c r="D3307" s="58"/>
      <c r="G3307" s="58"/>
      <c r="H3307" s="58"/>
      <c r="I3307" s="156"/>
      <c r="K3307" s="58"/>
      <c r="M3307" s="163"/>
      <c r="N3307" s="163"/>
    </row>
    <row r="3308" spans="4:14" ht="11.45" customHeight="1" x14ac:dyDescent="0.2">
      <c r="D3308" s="58"/>
      <c r="G3308" s="58"/>
      <c r="H3308" s="58"/>
      <c r="I3308" s="156"/>
      <c r="K3308" s="58"/>
      <c r="M3308" s="163"/>
      <c r="N3308" s="163"/>
    </row>
    <row r="3309" spans="4:14" ht="11.45" customHeight="1" x14ac:dyDescent="0.2">
      <c r="D3309" s="58"/>
      <c r="G3309" s="58"/>
      <c r="H3309" s="58"/>
      <c r="I3309" s="156"/>
      <c r="K3309" s="58"/>
      <c r="M3309" s="163"/>
      <c r="N3309" s="163"/>
    </row>
    <row r="3310" spans="4:14" ht="11.45" customHeight="1" x14ac:dyDescent="0.2">
      <c r="D3310" s="58"/>
      <c r="G3310" s="58"/>
      <c r="H3310" s="58"/>
      <c r="I3310" s="156"/>
      <c r="K3310" s="58"/>
      <c r="M3310" s="163"/>
      <c r="N3310" s="163"/>
    </row>
    <row r="3311" spans="4:14" ht="11.45" customHeight="1" x14ac:dyDescent="0.2">
      <c r="D3311" s="58"/>
      <c r="G3311" s="58"/>
      <c r="H3311" s="58"/>
      <c r="I3311" s="156"/>
      <c r="K3311" s="58"/>
      <c r="M3311" s="163"/>
      <c r="N3311" s="163"/>
    </row>
    <row r="3312" spans="4:14" ht="11.45" customHeight="1" x14ac:dyDescent="0.2">
      <c r="D3312" s="58"/>
      <c r="G3312" s="58"/>
      <c r="H3312" s="58"/>
      <c r="I3312" s="156"/>
      <c r="K3312" s="58"/>
      <c r="M3312" s="163"/>
      <c r="N3312" s="163"/>
    </row>
    <row r="3313" spans="4:14" ht="11.45" customHeight="1" x14ac:dyDescent="0.2">
      <c r="D3313" s="58"/>
      <c r="G3313" s="58"/>
      <c r="H3313" s="58"/>
      <c r="I3313" s="156"/>
      <c r="K3313" s="58"/>
      <c r="M3313" s="163"/>
      <c r="N3313" s="163"/>
    </row>
    <row r="3314" spans="4:14" ht="11.45" customHeight="1" x14ac:dyDescent="0.2">
      <c r="D3314" s="58"/>
      <c r="G3314" s="58"/>
      <c r="H3314" s="58"/>
      <c r="I3314" s="156"/>
      <c r="K3314" s="58"/>
      <c r="M3314" s="163"/>
      <c r="N3314" s="163"/>
    </row>
    <row r="3315" spans="4:14" ht="11.45" customHeight="1" x14ac:dyDescent="0.2">
      <c r="D3315" s="58"/>
      <c r="G3315" s="58"/>
      <c r="H3315" s="58"/>
      <c r="I3315" s="156"/>
      <c r="K3315" s="58"/>
      <c r="M3315" s="163"/>
      <c r="N3315" s="163"/>
    </row>
    <row r="3316" spans="4:14" ht="11.45" customHeight="1" x14ac:dyDescent="0.2">
      <c r="D3316" s="58"/>
      <c r="G3316" s="58"/>
      <c r="H3316" s="58"/>
      <c r="I3316" s="156"/>
      <c r="K3316" s="58"/>
      <c r="M3316" s="163"/>
      <c r="N3316" s="163"/>
    </row>
    <row r="3317" spans="4:14" ht="11.45" customHeight="1" x14ac:dyDescent="0.2">
      <c r="D3317" s="58"/>
      <c r="G3317" s="58"/>
      <c r="H3317" s="58"/>
      <c r="I3317" s="156"/>
      <c r="K3317" s="58"/>
      <c r="M3317" s="163"/>
      <c r="N3317" s="163"/>
    </row>
    <row r="3318" spans="4:14" ht="11.45" customHeight="1" x14ac:dyDescent="0.2">
      <c r="D3318" s="58"/>
      <c r="G3318" s="58"/>
      <c r="H3318" s="58"/>
      <c r="I3318" s="156"/>
      <c r="K3318" s="58"/>
      <c r="M3318" s="163"/>
      <c r="N3318" s="163"/>
    </row>
    <row r="3319" spans="4:14" ht="11.45" customHeight="1" x14ac:dyDescent="0.2">
      <c r="D3319" s="58"/>
      <c r="G3319" s="58"/>
      <c r="H3319" s="58"/>
      <c r="I3319" s="156"/>
      <c r="K3319" s="58"/>
      <c r="M3319" s="163"/>
      <c r="N3319" s="163"/>
    </row>
    <row r="3320" spans="4:14" ht="11.45" customHeight="1" x14ac:dyDescent="0.2">
      <c r="D3320" s="58"/>
      <c r="G3320" s="58"/>
      <c r="H3320" s="58"/>
      <c r="I3320" s="156"/>
      <c r="K3320" s="58"/>
      <c r="M3320" s="163"/>
      <c r="N3320" s="163"/>
    </row>
    <row r="3321" spans="4:14" ht="11.45" customHeight="1" x14ac:dyDescent="0.2">
      <c r="D3321" s="58"/>
      <c r="G3321" s="58"/>
      <c r="H3321" s="58"/>
      <c r="I3321" s="156"/>
      <c r="K3321" s="58"/>
      <c r="M3321" s="163"/>
      <c r="N3321" s="163"/>
    </row>
    <row r="3322" spans="4:14" ht="11.45" customHeight="1" x14ac:dyDescent="0.2">
      <c r="D3322" s="58"/>
      <c r="G3322" s="58"/>
      <c r="H3322" s="58"/>
      <c r="I3322" s="156"/>
      <c r="K3322" s="58"/>
      <c r="M3322" s="163"/>
      <c r="N3322" s="163"/>
    </row>
    <row r="3323" spans="4:14" ht="11.45" customHeight="1" x14ac:dyDescent="0.2">
      <c r="D3323" s="58"/>
      <c r="G3323" s="58"/>
      <c r="H3323" s="58"/>
      <c r="I3323" s="156"/>
      <c r="K3323" s="58"/>
      <c r="M3323" s="163"/>
      <c r="N3323" s="163"/>
    </row>
    <row r="3324" spans="4:14" ht="11.45" customHeight="1" x14ac:dyDescent="0.2">
      <c r="D3324" s="58"/>
      <c r="G3324" s="58"/>
      <c r="H3324" s="58"/>
      <c r="I3324" s="156"/>
      <c r="K3324" s="58"/>
      <c r="M3324" s="163"/>
      <c r="N3324" s="163"/>
    </row>
    <row r="3325" spans="4:14" ht="11.45" customHeight="1" x14ac:dyDescent="0.2">
      <c r="D3325" s="58"/>
      <c r="G3325" s="58"/>
      <c r="H3325" s="58"/>
      <c r="I3325" s="156"/>
      <c r="K3325" s="58"/>
      <c r="M3325" s="163"/>
      <c r="N3325" s="163"/>
    </row>
    <row r="3326" spans="4:14" ht="11.45" customHeight="1" x14ac:dyDescent="0.2">
      <c r="D3326" s="58"/>
      <c r="G3326" s="58"/>
      <c r="H3326" s="58"/>
      <c r="I3326" s="156"/>
      <c r="K3326" s="58"/>
      <c r="M3326" s="163"/>
      <c r="N3326" s="163"/>
    </row>
    <row r="3327" spans="4:14" ht="11.45" customHeight="1" x14ac:dyDescent="0.2">
      <c r="D3327" s="58"/>
      <c r="G3327" s="58"/>
      <c r="H3327" s="58"/>
      <c r="I3327" s="156"/>
      <c r="K3327" s="58"/>
      <c r="M3327" s="163"/>
      <c r="N3327" s="163"/>
    </row>
    <row r="3328" spans="4:14" ht="11.45" customHeight="1" x14ac:dyDescent="0.2">
      <c r="D3328" s="58"/>
      <c r="G3328" s="58"/>
      <c r="H3328" s="58"/>
      <c r="I3328" s="156"/>
      <c r="K3328" s="58"/>
      <c r="M3328" s="163"/>
      <c r="N3328" s="163"/>
    </row>
    <row r="3329" spans="4:14" ht="11.45" customHeight="1" x14ac:dyDescent="0.2">
      <c r="D3329" s="58"/>
      <c r="G3329" s="58"/>
      <c r="H3329" s="58"/>
      <c r="I3329" s="156"/>
      <c r="K3329" s="58"/>
      <c r="M3329" s="163"/>
      <c r="N3329" s="163"/>
    </row>
    <row r="3330" spans="4:14" ht="11.45" customHeight="1" x14ac:dyDescent="0.2">
      <c r="D3330" s="58"/>
      <c r="G3330" s="58"/>
      <c r="H3330" s="58"/>
      <c r="I3330" s="156"/>
      <c r="K3330" s="58"/>
      <c r="M3330" s="163"/>
      <c r="N3330" s="163"/>
    </row>
    <row r="3331" spans="4:14" ht="11.45" customHeight="1" x14ac:dyDescent="0.2">
      <c r="D3331" s="58"/>
      <c r="G3331" s="58"/>
      <c r="H3331" s="58"/>
      <c r="I3331" s="156"/>
      <c r="K3331" s="58"/>
      <c r="M3331" s="163"/>
      <c r="N3331" s="163"/>
    </row>
    <row r="3332" spans="4:14" ht="11.45" customHeight="1" x14ac:dyDescent="0.2">
      <c r="D3332" s="58"/>
      <c r="G3332" s="58"/>
      <c r="H3332" s="58"/>
      <c r="I3332" s="156"/>
      <c r="K3332" s="58"/>
      <c r="M3332" s="163"/>
      <c r="N3332" s="163"/>
    </row>
    <row r="3333" spans="4:14" ht="11.45" customHeight="1" x14ac:dyDescent="0.2">
      <c r="D3333" s="58"/>
      <c r="G3333" s="58"/>
      <c r="H3333" s="58"/>
      <c r="I3333" s="156"/>
      <c r="K3333" s="58"/>
      <c r="M3333" s="163"/>
      <c r="N3333" s="163"/>
    </row>
    <row r="3334" spans="4:14" ht="11.45" customHeight="1" x14ac:dyDescent="0.2">
      <c r="D3334" s="58"/>
      <c r="G3334" s="58"/>
      <c r="H3334" s="58"/>
      <c r="I3334" s="156"/>
      <c r="K3334" s="58"/>
      <c r="M3334" s="163"/>
      <c r="N3334" s="163"/>
    </row>
    <row r="3335" spans="4:14" ht="11.45" customHeight="1" x14ac:dyDescent="0.2">
      <c r="D3335" s="58"/>
      <c r="G3335" s="58"/>
      <c r="H3335" s="58"/>
      <c r="I3335" s="156"/>
      <c r="K3335" s="58"/>
      <c r="M3335" s="163"/>
      <c r="N3335" s="163"/>
    </row>
    <row r="3336" spans="4:14" ht="11.45" customHeight="1" x14ac:dyDescent="0.2">
      <c r="D3336" s="58"/>
      <c r="G3336" s="58"/>
      <c r="H3336" s="58"/>
      <c r="I3336" s="156"/>
      <c r="K3336" s="58"/>
      <c r="M3336" s="163"/>
      <c r="N3336" s="163"/>
    </row>
    <row r="3337" spans="4:14" ht="11.45" customHeight="1" x14ac:dyDescent="0.2">
      <c r="D3337" s="58"/>
      <c r="G3337" s="58"/>
      <c r="H3337" s="58"/>
      <c r="I3337" s="156"/>
      <c r="K3337" s="58"/>
      <c r="M3337" s="163"/>
      <c r="N3337" s="163"/>
    </row>
    <row r="3338" spans="4:14" ht="11.45" customHeight="1" x14ac:dyDescent="0.2">
      <c r="D3338" s="58"/>
      <c r="G3338" s="58"/>
      <c r="H3338" s="58"/>
      <c r="I3338" s="156"/>
      <c r="K3338" s="58"/>
      <c r="M3338" s="163"/>
      <c r="N3338" s="163"/>
    </row>
    <row r="3339" spans="4:14" ht="11.45" customHeight="1" x14ac:dyDescent="0.2">
      <c r="D3339" s="58"/>
      <c r="G3339" s="58"/>
      <c r="H3339" s="58"/>
      <c r="I3339" s="156"/>
      <c r="K3339" s="58"/>
      <c r="M3339" s="163"/>
      <c r="N3339" s="163"/>
    </row>
    <row r="3340" spans="4:14" ht="11.45" customHeight="1" x14ac:dyDescent="0.2">
      <c r="D3340" s="58"/>
      <c r="G3340" s="58"/>
      <c r="H3340" s="58"/>
      <c r="I3340" s="156"/>
      <c r="K3340" s="58"/>
      <c r="M3340" s="163"/>
      <c r="N3340" s="163"/>
    </row>
    <row r="3341" spans="4:14" ht="11.45" customHeight="1" x14ac:dyDescent="0.2">
      <c r="D3341" s="58"/>
      <c r="G3341" s="58"/>
      <c r="H3341" s="58"/>
      <c r="I3341" s="156"/>
      <c r="K3341" s="58"/>
      <c r="M3341" s="163"/>
      <c r="N3341" s="163"/>
    </row>
    <row r="3342" spans="4:14" ht="11.45" customHeight="1" x14ac:dyDescent="0.2">
      <c r="D3342" s="58"/>
      <c r="G3342" s="58"/>
      <c r="H3342" s="58"/>
      <c r="I3342" s="156"/>
      <c r="K3342" s="58"/>
      <c r="M3342" s="163"/>
      <c r="N3342" s="163"/>
    </row>
    <row r="3343" spans="4:14" ht="11.45" customHeight="1" x14ac:dyDescent="0.2">
      <c r="D3343" s="58"/>
      <c r="G3343" s="58"/>
      <c r="H3343" s="58"/>
      <c r="I3343" s="156"/>
      <c r="K3343" s="58"/>
      <c r="M3343" s="163"/>
      <c r="N3343" s="163"/>
    </row>
    <row r="3344" spans="4:14" ht="11.45" customHeight="1" x14ac:dyDescent="0.2">
      <c r="D3344" s="58"/>
      <c r="G3344" s="58"/>
      <c r="H3344" s="58"/>
      <c r="I3344" s="156"/>
      <c r="K3344" s="58"/>
      <c r="M3344" s="163"/>
      <c r="N3344" s="163"/>
    </row>
    <row r="3345" spans="4:14" ht="11.45" customHeight="1" x14ac:dyDescent="0.2">
      <c r="D3345" s="58"/>
      <c r="G3345" s="58"/>
      <c r="H3345" s="58"/>
      <c r="I3345" s="156"/>
      <c r="K3345" s="58"/>
      <c r="M3345" s="163"/>
      <c r="N3345" s="163"/>
    </row>
    <row r="3346" spans="4:14" ht="11.45" customHeight="1" x14ac:dyDescent="0.2">
      <c r="D3346" s="58"/>
      <c r="G3346" s="58"/>
      <c r="H3346" s="58"/>
      <c r="I3346" s="156"/>
      <c r="K3346" s="58"/>
      <c r="M3346" s="163"/>
      <c r="N3346" s="163"/>
    </row>
    <row r="3347" spans="4:14" ht="11.45" customHeight="1" x14ac:dyDescent="0.2">
      <c r="D3347" s="58"/>
      <c r="G3347" s="58"/>
      <c r="H3347" s="58"/>
      <c r="I3347" s="156"/>
      <c r="K3347" s="58"/>
      <c r="M3347" s="163"/>
      <c r="N3347" s="163"/>
    </row>
    <row r="3348" spans="4:14" ht="11.45" customHeight="1" x14ac:dyDescent="0.2">
      <c r="D3348" s="58"/>
      <c r="G3348" s="58"/>
      <c r="H3348" s="58"/>
      <c r="I3348" s="156"/>
      <c r="K3348" s="58"/>
      <c r="M3348" s="163"/>
      <c r="N3348" s="163"/>
    </row>
    <row r="3349" spans="4:14" ht="11.45" customHeight="1" x14ac:dyDescent="0.2">
      <c r="D3349" s="58"/>
      <c r="G3349" s="58"/>
      <c r="H3349" s="58"/>
      <c r="I3349" s="156"/>
      <c r="K3349" s="58"/>
      <c r="M3349" s="163"/>
      <c r="N3349" s="163"/>
    </row>
    <row r="3350" spans="4:14" ht="11.45" customHeight="1" x14ac:dyDescent="0.2">
      <c r="D3350" s="58"/>
      <c r="G3350" s="58"/>
      <c r="H3350" s="58"/>
      <c r="I3350" s="156"/>
      <c r="K3350" s="58"/>
      <c r="M3350" s="163"/>
      <c r="N3350" s="163"/>
    </row>
    <row r="3351" spans="4:14" ht="11.45" customHeight="1" x14ac:dyDescent="0.2">
      <c r="D3351" s="58"/>
      <c r="G3351" s="58"/>
      <c r="H3351" s="58"/>
      <c r="I3351" s="156"/>
      <c r="K3351" s="58"/>
      <c r="M3351" s="163"/>
      <c r="N3351" s="163"/>
    </row>
    <row r="3352" spans="4:14" ht="11.45" customHeight="1" x14ac:dyDescent="0.2">
      <c r="D3352" s="58"/>
      <c r="G3352" s="58"/>
      <c r="H3352" s="58"/>
      <c r="I3352" s="156"/>
      <c r="K3352" s="58"/>
      <c r="M3352" s="163"/>
      <c r="N3352" s="163"/>
    </row>
    <row r="3353" spans="4:14" ht="11.45" customHeight="1" x14ac:dyDescent="0.2">
      <c r="D3353" s="58"/>
      <c r="G3353" s="58"/>
      <c r="H3353" s="58"/>
      <c r="I3353" s="156"/>
      <c r="K3353" s="58"/>
      <c r="M3353" s="163"/>
      <c r="N3353" s="163"/>
    </row>
    <row r="3354" spans="4:14" ht="11.45" customHeight="1" x14ac:dyDescent="0.2">
      <c r="D3354" s="58"/>
      <c r="G3354" s="58"/>
      <c r="H3354" s="58"/>
      <c r="I3354" s="156"/>
      <c r="K3354" s="58"/>
      <c r="M3354" s="163"/>
      <c r="N3354" s="163"/>
    </row>
    <row r="3355" spans="4:14" ht="11.45" customHeight="1" x14ac:dyDescent="0.2">
      <c r="D3355" s="58"/>
      <c r="G3355" s="58"/>
      <c r="H3355" s="58"/>
      <c r="I3355" s="156"/>
      <c r="K3355" s="58"/>
      <c r="M3355" s="163"/>
      <c r="N3355" s="163"/>
    </row>
    <row r="3356" spans="4:14" ht="11.45" customHeight="1" x14ac:dyDescent="0.2">
      <c r="D3356" s="58"/>
      <c r="G3356" s="58"/>
      <c r="H3356" s="58"/>
      <c r="I3356" s="156"/>
      <c r="K3356" s="58"/>
      <c r="M3356" s="163"/>
      <c r="N3356" s="163"/>
    </row>
    <row r="3357" spans="4:14" ht="11.45" customHeight="1" x14ac:dyDescent="0.2">
      <c r="D3357" s="58"/>
      <c r="G3357" s="58"/>
      <c r="H3357" s="58"/>
      <c r="I3357" s="156"/>
      <c r="K3357" s="58"/>
      <c r="M3357" s="163"/>
      <c r="N3357" s="163"/>
    </row>
    <row r="3358" spans="4:14" ht="11.45" customHeight="1" x14ac:dyDescent="0.2">
      <c r="D3358" s="58"/>
      <c r="G3358" s="58"/>
      <c r="H3358" s="58"/>
      <c r="I3358" s="156"/>
      <c r="K3358" s="58"/>
      <c r="M3358" s="163"/>
      <c r="N3358" s="163"/>
    </row>
    <row r="3359" spans="4:14" ht="11.45" customHeight="1" x14ac:dyDescent="0.2">
      <c r="D3359" s="58"/>
      <c r="G3359" s="58"/>
      <c r="H3359" s="58"/>
      <c r="I3359" s="156"/>
      <c r="K3359" s="58"/>
      <c r="M3359" s="163"/>
      <c r="N3359" s="163"/>
    </row>
    <row r="3360" spans="4:14" ht="11.45" customHeight="1" x14ac:dyDescent="0.2">
      <c r="D3360" s="58"/>
      <c r="G3360" s="58"/>
      <c r="H3360" s="58"/>
      <c r="I3360" s="156"/>
      <c r="K3360" s="58"/>
      <c r="M3360" s="163"/>
      <c r="N3360" s="163"/>
    </row>
    <row r="3361" spans="4:14" ht="11.45" customHeight="1" x14ac:dyDescent="0.2">
      <c r="D3361" s="58"/>
      <c r="G3361" s="58"/>
      <c r="H3361" s="58"/>
      <c r="I3361" s="156"/>
      <c r="K3361" s="58"/>
      <c r="M3361" s="163"/>
      <c r="N3361" s="163"/>
    </row>
    <row r="3362" spans="4:14" ht="11.45" customHeight="1" x14ac:dyDescent="0.2">
      <c r="D3362" s="58"/>
      <c r="G3362" s="58"/>
      <c r="H3362" s="58"/>
      <c r="I3362" s="156"/>
      <c r="K3362" s="58"/>
      <c r="M3362" s="163"/>
      <c r="N3362" s="163"/>
    </row>
    <row r="3363" spans="4:14" ht="11.45" customHeight="1" x14ac:dyDescent="0.2">
      <c r="D3363" s="58"/>
      <c r="G3363" s="58"/>
      <c r="H3363" s="58"/>
      <c r="I3363" s="156"/>
      <c r="K3363" s="58"/>
      <c r="M3363" s="163"/>
      <c r="N3363" s="163"/>
    </row>
    <row r="3364" spans="4:14" ht="11.45" customHeight="1" x14ac:dyDescent="0.2">
      <c r="D3364" s="58"/>
      <c r="G3364" s="58"/>
      <c r="H3364" s="58"/>
      <c r="I3364" s="156"/>
      <c r="K3364" s="58"/>
      <c r="M3364" s="163"/>
      <c r="N3364" s="163"/>
    </row>
    <row r="3365" spans="4:14" ht="11.45" customHeight="1" x14ac:dyDescent="0.2">
      <c r="D3365" s="58"/>
      <c r="G3365" s="58"/>
      <c r="H3365" s="58"/>
      <c r="I3365" s="156"/>
      <c r="K3365" s="58"/>
      <c r="M3365" s="163"/>
      <c r="N3365" s="163"/>
    </row>
    <row r="3366" spans="4:14" ht="11.45" customHeight="1" x14ac:dyDescent="0.2">
      <c r="D3366" s="58"/>
      <c r="G3366" s="58"/>
      <c r="H3366" s="58"/>
      <c r="I3366" s="156"/>
      <c r="K3366" s="58"/>
      <c r="M3366" s="163"/>
      <c r="N3366" s="163"/>
    </row>
    <row r="3367" spans="4:14" ht="11.45" customHeight="1" x14ac:dyDescent="0.2">
      <c r="D3367" s="58"/>
      <c r="G3367" s="58"/>
      <c r="H3367" s="58"/>
      <c r="I3367" s="156"/>
      <c r="K3367" s="58"/>
      <c r="M3367" s="163"/>
      <c r="N3367" s="163"/>
    </row>
    <row r="3368" spans="4:14" ht="11.45" customHeight="1" x14ac:dyDescent="0.2">
      <c r="D3368" s="58"/>
      <c r="G3368" s="58"/>
      <c r="H3368" s="58"/>
      <c r="I3368" s="156"/>
      <c r="K3368" s="58"/>
      <c r="M3368" s="163"/>
      <c r="N3368" s="163"/>
    </row>
    <row r="3369" spans="4:14" ht="11.45" customHeight="1" x14ac:dyDescent="0.2">
      <c r="D3369" s="58"/>
      <c r="G3369" s="58"/>
      <c r="H3369" s="58"/>
      <c r="I3369" s="156"/>
      <c r="K3369" s="58"/>
      <c r="M3369" s="163"/>
      <c r="N3369" s="163"/>
    </row>
    <row r="3370" spans="4:14" ht="11.45" customHeight="1" x14ac:dyDescent="0.2">
      <c r="D3370" s="58"/>
      <c r="G3370" s="58"/>
      <c r="H3370" s="58"/>
      <c r="I3370" s="156"/>
      <c r="K3370" s="58"/>
      <c r="M3370" s="163"/>
      <c r="N3370" s="163"/>
    </row>
    <row r="3371" spans="4:14" ht="11.45" customHeight="1" x14ac:dyDescent="0.2">
      <c r="D3371" s="58"/>
      <c r="G3371" s="58"/>
      <c r="H3371" s="58"/>
      <c r="I3371" s="156"/>
      <c r="K3371" s="58"/>
      <c r="M3371" s="163"/>
      <c r="N3371" s="163"/>
    </row>
    <row r="3372" spans="4:14" ht="11.45" customHeight="1" x14ac:dyDescent="0.2">
      <c r="D3372" s="58"/>
      <c r="G3372" s="58"/>
      <c r="H3372" s="58"/>
      <c r="I3372" s="156"/>
      <c r="K3372" s="58"/>
      <c r="M3372" s="163"/>
      <c r="N3372" s="163"/>
    </row>
    <row r="3373" spans="4:14" ht="11.45" customHeight="1" x14ac:dyDescent="0.2">
      <c r="D3373" s="58"/>
      <c r="G3373" s="58"/>
      <c r="H3373" s="58"/>
      <c r="I3373" s="156"/>
      <c r="K3373" s="58"/>
      <c r="M3373" s="163"/>
      <c r="N3373" s="163"/>
    </row>
    <row r="3374" spans="4:14" ht="11.45" customHeight="1" x14ac:dyDescent="0.2">
      <c r="D3374" s="58"/>
      <c r="G3374" s="58"/>
      <c r="H3374" s="58"/>
      <c r="I3374" s="156"/>
      <c r="K3374" s="58"/>
      <c r="M3374" s="163"/>
      <c r="N3374" s="163"/>
    </row>
    <row r="3375" spans="4:14" ht="11.45" customHeight="1" x14ac:dyDescent="0.2">
      <c r="D3375" s="58"/>
      <c r="G3375" s="58"/>
      <c r="H3375" s="58"/>
      <c r="I3375" s="156"/>
      <c r="K3375" s="58"/>
      <c r="M3375" s="163"/>
      <c r="N3375" s="163"/>
    </row>
    <row r="3376" spans="4:14" ht="11.45" customHeight="1" x14ac:dyDescent="0.2">
      <c r="D3376" s="58"/>
      <c r="G3376" s="58"/>
      <c r="H3376" s="58"/>
      <c r="I3376" s="156"/>
      <c r="K3376" s="58"/>
      <c r="M3376" s="163"/>
      <c r="N3376" s="163"/>
    </row>
    <row r="3377" spans="4:14" ht="11.45" customHeight="1" x14ac:dyDescent="0.2">
      <c r="D3377" s="58"/>
      <c r="G3377" s="58"/>
      <c r="H3377" s="58"/>
      <c r="I3377" s="156"/>
      <c r="K3377" s="58"/>
      <c r="M3377" s="163"/>
      <c r="N3377" s="163"/>
    </row>
    <row r="3378" spans="4:14" ht="11.45" customHeight="1" x14ac:dyDescent="0.2">
      <c r="D3378" s="58"/>
      <c r="G3378" s="58"/>
      <c r="H3378" s="58"/>
      <c r="I3378" s="156"/>
      <c r="K3378" s="58"/>
      <c r="M3378" s="163"/>
      <c r="N3378" s="163"/>
    </row>
    <row r="3379" spans="4:14" ht="11.45" customHeight="1" x14ac:dyDescent="0.2">
      <c r="D3379" s="58"/>
      <c r="G3379" s="58"/>
      <c r="H3379" s="58"/>
      <c r="I3379" s="156"/>
      <c r="K3379" s="58"/>
      <c r="M3379" s="163"/>
      <c r="N3379" s="163"/>
    </row>
    <row r="3380" spans="4:14" ht="11.45" customHeight="1" x14ac:dyDescent="0.2">
      <c r="D3380" s="58"/>
      <c r="G3380" s="58"/>
      <c r="H3380" s="58"/>
      <c r="I3380" s="156"/>
      <c r="K3380" s="58"/>
      <c r="M3380" s="163"/>
      <c r="N3380" s="163"/>
    </row>
    <row r="3381" spans="4:14" ht="11.45" customHeight="1" x14ac:dyDescent="0.2">
      <c r="D3381" s="58"/>
      <c r="G3381" s="58"/>
      <c r="H3381" s="58"/>
      <c r="I3381" s="156"/>
      <c r="K3381" s="58"/>
      <c r="M3381" s="163"/>
      <c r="N3381" s="163"/>
    </row>
    <row r="3382" spans="4:14" ht="11.45" customHeight="1" x14ac:dyDescent="0.2">
      <c r="D3382" s="58"/>
      <c r="G3382" s="58"/>
      <c r="H3382" s="58"/>
      <c r="I3382" s="156"/>
      <c r="K3382" s="58"/>
      <c r="M3382" s="163"/>
      <c r="N3382" s="163"/>
    </row>
    <row r="3383" spans="4:14" ht="11.45" customHeight="1" x14ac:dyDescent="0.2">
      <c r="D3383" s="58"/>
      <c r="G3383" s="58"/>
      <c r="H3383" s="58"/>
      <c r="I3383" s="156"/>
      <c r="K3383" s="58"/>
      <c r="M3383" s="163"/>
      <c r="N3383" s="163"/>
    </row>
    <row r="3384" spans="4:14" ht="11.45" customHeight="1" x14ac:dyDescent="0.2">
      <c r="D3384" s="58"/>
      <c r="G3384" s="58"/>
      <c r="H3384" s="58"/>
      <c r="I3384" s="156"/>
      <c r="K3384" s="58"/>
      <c r="M3384" s="163"/>
      <c r="N3384" s="163"/>
    </row>
    <row r="3385" spans="4:14" ht="11.45" customHeight="1" x14ac:dyDescent="0.2">
      <c r="D3385" s="58"/>
      <c r="G3385" s="58"/>
      <c r="H3385" s="58"/>
      <c r="I3385" s="156"/>
      <c r="K3385" s="58"/>
      <c r="M3385" s="163"/>
      <c r="N3385" s="163"/>
    </row>
    <row r="3386" spans="4:14" ht="11.45" customHeight="1" x14ac:dyDescent="0.2">
      <c r="D3386" s="58"/>
      <c r="G3386" s="58"/>
      <c r="H3386" s="58"/>
      <c r="I3386" s="156"/>
      <c r="K3386" s="58"/>
      <c r="M3386" s="163"/>
      <c r="N3386" s="163"/>
    </row>
    <row r="3387" spans="4:14" ht="11.45" customHeight="1" x14ac:dyDescent="0.2">
      <c r="D3387" s="58"/>
      <c r="G3387" s="58"/>
      <c r="H3387" s="58"/>
      <c r="I3387" s="156"/>
      <c r="K3387" s="58"/>
      <c r="M3387" s="163"/>
      <c r="N3387" s="163"/>
    </row>
    <row r="3388" spans="4:14" ht="11.45" customHeight="1" x14ac:dyDescent="0.2">
      <c r="D3388" s="58"/>
      <c r="G3388" s="58"/>
      <c r="H3388" s="58"/>
      <c r="I3388" s="156"/>
      <c r="K3388" s="58"/>
      <c r="M3388" s="163"/>
      <c r="N3388" s="163"/>
    </row>
    <row r="3389" spans="4:14" ht="11.45" customHeight="1" x14ac:dyDescent="0.2">
      <c r="D3389" s="58"/>
      <c r="G3389" s="58"/>
      <c r="H3389" s="58"/>
      <c r="I3389" s="156"/>
      <c r="K3389" s="58"/>
      <c r="M3389" s="163"/>
      <c r="N3389" s="163"/>
    </row>
    <row r="3390" spans="4:14" ht="11.45" customHeight="1" x14ac:dyDescent="0.2">
      <c r="D3390" s="58"/>
      <c r="G3390" s="58"/>
      <c r="H3390" s="58"/>
      <c r="I3390" s="156"/>
      <c r="K3390" s="58"/>
      <c r="M3390" s="163"/>
      <c r="N3390" s="163"/>
    </row>
    <row r="3391" spans="4:14" ht="11.45" customHeight="1" x14ac:dyDescent="0.2">
      <c r="D3391" s="58"/>
      <c r="G3391" s="58"/>
      <c r="H3391" s="58"/>
      <c r="I3391" s="156"/>
      <c r="K3391" s="58"/>
      <c r="M3391" s="163"/>
      <c r="N3391" s="163"/>
    </row>
    <row r="3392" spans="4:14" ht="11.45" customHeight="1" x14ac:dyDescent="0.2">
      <c r="D3392" s="58"/>
      <c r="G3392" s="58"/>
      <c r="H3392" s="58"/>
      <c r="I3392" s="156"/>
      <c r="K3392" s="58"/>
      <c r="M3392" s="163"/>
      <c r="N3392" s="163"/>
    </row>
    <row r="3393" spans="4:14" ht="11.45" customHeight="1" x14ac:dyDescent="0.2">
      <c r="D3393" s="58"/>
      <c r="G3393" s="58"/>
      <c r="H3393" s="58"/>
      <c r="I3393" s="156"/>
      <c r="K3393" s="58"/>
      <c r="M3393" s="163"/>
      <c r="N3393" s="163"/>
    </row>
    <row r="3394" spans="4:14" ht="11.45" customHeight="1" x14ac:dyDescent="0.2">
      <c r="D3394" s="58"/>
      <c r="G3394" s="58"/>
      <c r="H3394" s="58"/>
      <c r="I3394" s="156"/>
      <c r="K3394" s="58"/>
      <c r="M3394" s="163"/>
      <c r="N3394" s="163"/>
    </row>
    <row r="3395" spans="4:14" ht="11.45" customHeight="1" x14ac:dyDescent="0.2">
      <c r="D3395" s="58"/>
      <c r="G3395" s="58"/>
      <c r="H3395" s="58"/>
      <c r="I3395" s="156"/>
      <c r="K3395" s="58"/>
      <c r="M3395" s="163"/>
      <c r="N3395" s="163"/>
    </row>
    <row r="3396" spans="4:14" ht="11.45" customHeight="1" x14ac:dyDescent="0.2">
      <c r="D3396" s="58"/>
      <c r="G3396" s="58"/>
      <c r="H3396" s="58"/>
      <c r="I3396" s="156"/>
      <c r="K3396" s="58"/>
      <c r="M3396" s="163"/>
      <c r="N3396" s="163"/>
    </row>
    <row r="3397" spans="4:14" ht="11.45" customHeight="1" x14ac:dyDescent="0.2">
      <c r="D3397" s="58"/>
      <c r="G3397" s="58"/>
      <c r="H3397" s="58"/>
      <c r="I3397" s="156"/>
      <c r="K3397" s="58"/>
      <c r="M3397" s="163"/>
      <c r="N3397" s="163"/>
    </row>
    <row r="3398" spans="4:14" ht="11.45" customHeight="1" x14ac:dyDescent="0.2">
      <c r="D3398" s="58"/>
      <c r="G3398" s="58"/>
      <c r="H3398" s="58"/>
      <c r="I3398" s="156"/>
      <c r="K3398" s="58"/>
      <c r="M3398" s="163"/>
      <c r="N3398" s="163"/>
    </row>
    <row r="3399" spans="4:14" ht="11.45" customHeight="1" x14ac:dyDescent="0.2">
      <c r="D3399" s="58"/>
      <c r="G3399" s="58"/>
      <c r="H3399" s="58"/>
      <c r="I3399" s="156"/>
      <c r="K3399" s="58"/>
      <c r="M3399" s="163"/>
      <c r="N3399" s="163"/>
    </row>
    <row r="3400" spans="4:14" ht="11.45" customHeight="1" x14ac:dyDescent="0.2">
      <c r="D3400" s="58"/>
      <c r="G3400" s="58"/>
      <c r="H3400" s="58"/>
      <c r="I3400" s="156"/>
      <c r="K3400" s="58"/>
      <c r="M3400" s="163"/>
      <c r="N3400" s="163"/>
    </row>
    <row r="3401" spans="4:14" ht="11.45" customHeight="1" x14ac:dyDescent="0.2">
      <c r="D3401" s="58"/>
      <c r="G3401" s="58"/>
      <c r="H3401" s="58"/>
      <c r="I3401" s="156"/>
      <c r="K3401" s="58"/>
      <c r="M3401" s="163"/>
      <c r="N3401" s="163"/>
    </row>
    <row r="3402" spans="4:14" ht="11.45" customHeight="1" x14ac:dyDescent="0.2">
      <c r="D3402" s="58"/>
      <c r="G3402" s="58"/>
      <c r="H3402" s="58"/>
      <c r="I3402" s="156"/>
      <c r="K3402" s="58"/>
      <c r="M3402" s="163"/>
      <c r="N3402" s="163"/>
    </row>
    <row r="3403" spans="4:14" ht="11.45" customHeight="1" x14ac:dyDescent="0.2">
      <c r="D3403" s="58"/>
      <c r="G3403" s="58"/>
      <c r="H3403" s="58"/>
      <c r="I3403" s="156"/>
      <c r="K3403" s="58"/>
      <c r="M3403" s="163"/>
      <c r="N3403" s="163"/>
    </row>
    <row r="3404" spans="4:14" ht="11.45" customHeight="1" x14ac:dyDescent="0.2">
      <c r="D3404" s="58"/>
      <c r="G3404" s="58"/>
      <c r="H3404" s="58"/>
      <c r="I3404" s="156"/>
      <c r="K3404" s="58"/>
      <c r="M3404" s="163"/>
      <c r="N3404" s="163"/>
    </row>
    <row r="3405" spans="4:14" ht="11.45" customHeight="1" x14ac:dyDescent="0.2">
      <c r="D3405" s="58"/>
      <c r="G3405" s="58"/>
      <c r="H3405" s="58"/>
      <c r="I3405" s="156"/>
      <c r="K3405" s="58"/>
      <c r="M3405" s="163"/>
      <c r="N3405" s="163"/>
    </row>
    <row r="3406" spans="4:14" ht="11.45" customHeight="1" x14ac:dyDescent="0.2">
      <c r="D3406" s="58"/>
      <c r="G3406" s="58"/>
      <c r="H3406" s="58"/>
      <c r="I3406" s="156"/>
      <c r="K3406" s="58"/>
      <c r="M3406" s="163"/>
      <c r="N3406" s="163"/>
    </row>
    <row r="3407" spans="4:14" ht="11.45" customHeight="1" x14ac:dyDescent="0.2">
      <c r="D3407" s="58"/>
      <c r="G3407" s="58"/>
      <c r="H3407" s="58"/>
      <c r="I3407" s="156"/>
      <c r="K3407" s="58"/>
      <c r="M3407" s="163"/>
      <c r="N3407" s="163"/>
    </row>
    <row r="3408" spans="4:14" ht="11.45" customHeight="1" x14ac:dyDescent="0.2">
      <c r="D3408" s="58"/>
      <c r="G3408" s="58"/>
      <c r="H3408" s="58"/>
      <c r="I3408" s="156"/>
      <c r="K3408" s="58"/>
      <c r="M3408" s="163"/>
      <c r="N3408" s="163"/>
    </row>
    <row r="3409" spans="4:14" ht="11.45" customHeight="1" x14ac:dyDescent="0.2">
      <c r="D3409" s="58"/>
      <c r="G3409" s="58"/>
      <c r="H3409" s="58"/>
      <c r="I3409" s="156"/>
      <c r="K3409" s="58"/>
      <c r="M3409" s="163"/>
      <c r="N3409" s="163"/>
    </row>
    <row r="3410" spans="4:14" ht="11.45" customHeight="1" x14ac:dyDescent="0.2">
      <c r="D3410" s="58"/>
      <c r="G3410" s="58"/>
      <c r="H3410" s="58"/>
      <c r="I3410" s="156"/>
      <c r="K3410" s="58"/>
      <c r="M3410" s="163"/>
      <c r="N3410" s="163"/>
    </row>
    <row r="3411" spans="4:14" ht="11.45" customHeight="1" x14ac:dyDescent="0.2">
      <c r="D3411" s="58"/>
      <c r="G3411" s="58"/>
      <c r="H3411" s="58"/>
      <c r="I3411" s="156"/>
      <c r="K3411" s="58"/>
      <c r="M3411" s="163"/>
      <c r="N3411" s="163"/>
    </row>
    <row r="3412" spans="4:14" ht="11.45" customHeight="1" x14ac:dyDescent="0.2">
      <c r="D3412" s="58"/>
      <c r="G3412" s="58"/>
      <c r="H3412" s="58"/>
      <c r="I3412" s="156"/>
      <c r="K3412" s="58"/>
      <c r="M3412" s="163"/>
      <c r="N3412" s="163"/>
    </row>
    <row r="3413" spans="4:14" ht="11.45" customHeight="1" x14ac:dyDescent="0.2">
      <c r="D3413" s="58"/>
      <c r="G3413" s="58"/>
      <c r="H3413" s="58"/>
      <c r="I3413" s="156"/>
      <c r="K3413" s="58"/>
      <c r="M3413" s="163"/>
      <c r="N3413" s="163"/>
    </row>
    <row r="3414" spans="4:14" ht="11.45" customHeight="1" x14ac:dyDescent="0.2">
      <c r="D3414" s="58"/>
      <c r="G3414" s="58"/>
      <c r="H3414" s="58"/>
      <c r="I3414" s="156"/>
      <c r="K3414" s="58"/>
      <c r="M3414" s="163"/>
      <c r="N3414" s="163"/>
    </row>
    <row r="3415" spans="4:14" ht="11.45" customHeight="1" x14ac:dyDescent="0.2">
      <c r="D3415" s="58"/>
      <c r="G3415" s="58"/>
      <c r="H3415" s="58"/>
      <c r="I3415" s="156"/>
      <c r="K3415" s="58"/>
      <c r="M3415" s="163"/>
      <c r="N3415" s="163"/>
    </row>
    <row r="3416" spans="4:14" ht="11.45" customHeight="1" x14ac:dyDescent="0.2">
      <c r="D3416" s="58"/>
      <c r="G3416" s="58"/>
      <c r="H3416" s="58"/>
      <c r="I3416" s="156"/>
      <c r="K3416" s="58"/>
      <c r="M3416" s="163"/>
      <c r="N3416" s="163"/>
    </row>
    <row r="3417" spans="4:14" ht="11.45" customHeight="1" x14ac:dyDescent="0.2">
      <c r="D3417" s="58"/>
      <c r="G3417" s="58"/>
      <c r="H3417" s="58"/>
      <c r="I3417" s="156"/>
      <c r="K3417" s="58"/>
      <c r="M3417" s="163"/>
      <c r="N3417" s="163"/>
    </row>
    <row r="3418" spans="4:14" ht="11.45" customHeight="1" x14ac:dyDescent="0.2">
      <c r="D3418" s="58"/>
      <c r="G3418" s="58"/>
      <c r="H3418" s="58"/>
      <c r="I3418" s="156"/>
      <c r="K3418" s="58"/>
      <c r="M3418" s="163"/>
      <c r="N3418" s="163"/>
    </row>
    <row r="3419" spans="4:14" ht="11.45" customHeight="1" x14ac:dyDescent="0.2">
      <c r="D3419" s="58"/>
      <c r="G3419" s="58"/>
      <c r="H3419" s="58"/>
      <c r="I3419" s="156"/>
      <c r="K3419" s="58"/>
      <c r="M3419" s="163"/>
      <c r="N3419" s="163"/>
    </row>
    <row r="3420" spans="4:14" ht="11.45" customHeight="1" x14ac:dyDescent="0.2">
      <c r="D3420" s="58"/>
      <c r="G3420" s="58"/>
      <c r="H3420" s="58"/>
      <c r="I3420" s="156"/>
      <c r="K3420" s="58"/>
      <c r="M3420" s="163"/>
      <c r="N3420" s="163"/>
    </row>
    <row r="3421" spans="4:14" ht="11.45" customHeight="1" x14ac:dyDescent="0.2">
      <c r="D3421" s="58"/>
      <c r="G3421" s="58"/>
      <c r="H3421" s="58"/>
      <c r="I3421" s="156"/>
      <c r="K3421" s="58"/>
      <c r="M3421" s="163"/>
      <c r="N3421" s="163"/>
    </row>
    <row r="3422" spans="4:14" ht="11.45" customHeight="1" x14ac:dyDescent="0.2">
      <c r="D3422" s="58"/>
      <c r="G3422" s="58"/>
      <c r="H3422" s="58"/>
      <c r="I3422" s="156"/>
      <c r="K3422" s="58"/>
      <c r="M3422" s="163"/>
      <c r="N3422" s="163"/>
    </row>
    <row r="3423" spans="4:14" ht="11.45" customHeight="1" x14ac:dyDescent="0.2">
      <c r="D3423" s="58"/>
      <c r="G3423" s="58"/>
      <c r="H3423" s="58"/>
      <c r="I3423" s="156"/>
      <c r="K3423" s="58"/>
      <c r="M3423" s="163"/>
      <c r="N3423" s="163"/>
    </row>
    <row r="3424" spans="4:14" ht="11.45" customHeight="1" x14ac:dyDescent="0.2">
      <c r="D3424" s="58"/>
      <c r="G3424" s="58"/>
      <c r="H3424" s="58"/>
      <c r="I3424" s="156"/>
      <c r="K3424" s="58"/>
      <c r="M3424" s="163"/>
      <c r="N3424" s="163"/>
    </row>
    <row r="3425" spans="4:14" ht="11.45" customHeight="1" x14ac:dyDescent="0.2">
      <c r="D3425" s="58"/>
      <c r="G3425" s="58"/>
      <c r="H3425" s="58"/>
      <c r="I3425" s="156"/>
      <c r="K3425" s="58"/>
      <c r="M3425" s="163"/>
      <c r="N3425" s="163"/>
    </row>
    <row r="3426" spans="4:14" ht="11.45" customHeight="1" x14ac:dyDescent="0.2">
      <c r="D3426" s="58"/>
      <c r="G3426" s="58"/>
      <c r="H3426" s="58"/>
      <c r="I3426" s="156"/>
      <c r="K3426" s="58"/>
      <c r="M3426" s="163"/>
      <c r="N3426" s="163"/>
    </row>
    <row r="3427" spans="4:14" ht="11.45" customHeight="1" x14ac:dyDescent="0.2">
      <c r="D3427" s="58"/>
      <c r="G3427" s="58"/>
      <c r="H3427" s="58"/>
      <c r="I3427" s="156"/>
      <c r="K3427" s="58"/>
      <c r="M3427" s="163"/>
      <c r="N3427" s="163"/>
    </row>
    <row r="3428" spans="4:14" ht="11.45" customHeight="1" x14ac:dyDescent="0.2">
      <c r="D3428" s="58"/>
      <c r="G3428" s="58"/>
      <c r="H3428" s="58"/>
      <c r="I3428" s="156"/>
      <c r="K3428" s="58"/>
      <c r="M3428" s="163"/>
      <c r="N3428" s="163"/>
    </row>
    <row r="3429" spans="4:14" ht="11.45" customHeight="1" x14ac:dyDescent="0.2">
      <c r="D3429" s="58"/>
      <c r="G3429" s="58"/>
      <c r="H3429" s="58"/>
      <c r="I3429" s="156"/>
      <c r="K3429" s="58"/>
      <c r="M3429" s="163"/>
      <c r="N3429" s="163"/>
    </row>
    <row r="3430" spans="4:14" ht="11.45" customHeight="1" x14ac:dyDescent="0.2">
      <c r="D3430" s="58"/>
      <c r="G3430" s="58"/>
      <c r="H3430" s="58"/>
      <c r="I3430" s="156"/>
      <c r="K3430" s="58"/>
      <c r="M3430" s="163"/>
      <c r="N3430" s="163"/>
    </row>
    <row r="3431" spans="4:14" ht="11.45" customHeight="1" x14ac:dyDescent="0.2">
      <c r="D3431" s="58"/>
      <c r="G3431" s="58"/>
      <c r="H3431" s="58"/>
      <c r="I3431" s="156"/>
      <c r="K3431" s="58"/>
      <c r="M3431" s="163"/>
      <c r="N3431" s="163"/>
    </row>
    <row r="3432" spans="4:14" ht="11.45" customHeight="1" x14ac:dyDescent="0.2">
      <c r="D3432" s="58"/>
      <c r="G3432" s="58"/>
      <c r="H3432" s="58"/>
      <c r="I3432" s="156"/>
      <c r="K3432" s="58"/>
      <c r="M3432" s="163"/>
      <c r="N3432" s="163"/>
    </row>
    <row r="3433" spans="4:14" ht="11.45" customHeight="1" x14ac:dyDescent="0.2">
      <c r="D3433" s="58"/>
      <c r="G3433" s="58"/>
      <c r="H3433" s="58"/>
      <c r="I3433" s="156"/>
      <c r="K3433" s="58"/>
      <c r="M3433" s="163"/>
      <c r="N3433" s="163"/>
    </row>
    <row r="3434" spans="4:14" ht="11.45" customHeight="1" x14ac:dyDescent="0.2">
      <c r="D3434" s="58"/>
      <c r="G3434" s="58"/>
      <c r="H3434" s="58"/>
      <c r="I3434" s="156"/>
      <c r="K3434" s="58"/>
      <c r="M3434" s="163"/>
      <c r="N3434" s="163"/>
    </row>
    <row r="3435" spans="4:14" ht="11.45" customHeight="1" x14ac:dyDescent="0.2">
      <c r="D3435" s="58"/>
      <c r="G3435" s="58"/>
      <c r="H3435" s="58"/>
      <c r="I3435" s="156"/>
      <c r="K3435" s="58"/>
      <c r="M3435" s="163"/>
      <c r="N3435" s="163"/>
    </row>
    <row r="3436" spans="4:14" ht="11.45" customHeight="1" x14ac:dyDescent="0.2">
      <c r="D3436" s="58"/>
      <c r="G3436" s="58"/>
      <c r="H3436" s="58"/>
      <c r="I3436" s="156"/>
      <c r="K3436" s="58"/>
      <c r="M3436" s="163"/>
      <c r="N3436" s="163"/>
    </row>
    <row r="3437" spans="4:14" ht="11.45" customHeight="1" x14ac:dyDescent="0.2">
      <c r="D3437" s="58"/>
      <c r="G3437" s="58"/>
      <c r="H3437" s="58"/>
      <c r="I3437" s="156"/>
      <c r="K3437" s="58"/>
      <c r="M3437" s="163"/>
      <c r="N3437" s="163"/>
    </row>
    <row r="3438" spans="4:14" ht="11.45" customHeight="1" x14ac:dyDescent="0.2">
      <c r="D3438" s="58"/>
      <c r="G3438" s="58"/>
      <c r="H3438" s="58"/>
      <c r="I3438" s="156"/>
      <c r="K3438" s="58"/>
      <c r="M3438" s="163"/>
      <c r="N3438" s="163"/>
    </row>
    <row r="3439" spans="4:14" ht="11.45" customHeight="1" x14ac:dyDescent="0.2">
      <c r="D3439" s="58"/>
      <c r="G3439" s="58"/>
      <c r="H3439" s="58"/>
      <c r="I3439" s="156"/>
      <c r="K3439" s="58"/>
      <c r="M3439" s="163"/>
      <c r="N3439" s="163"/>
    </row>
    <row r="3440" spans="4:14" ht="11.45" customHeight="1" x14ac:dyDescent="0.2">
      <c r="D3440" s="58"/>
      <c r="G3440" s="58"/>
      <c r="H3440" s="58"/>
      <c r="I3440" s="156"/>
      <c r="K3440" s="58"/>
      <c r="M3440" s="163"/>
      <c r="N3440" s="163"/>
    </row>
    <row r="3441" spans="4:14" ht="11.45" customHeight="1" x14ac:dyDescent="0.2">
      <c r="D3441" s="58"/>
      <c r="G3441" s="58"/>
      <c r="H3441" s="58"/>
      <c r="I3441" s="156"/>
      <c r="K3441" s="58"/>
      <c r="M3441" s="163"/>
      <c r="N3441" s="163"/>
    </row>
    <row r="3442" spans="4:14" ht="11.45" customHeight="1" x14ac:dyDescent="0.2">
      <c r="D3442" s="58"/>
      <c r="G3442" s="58"/>
      <c r="H3442" s="58"/>
      <c r="I3442" s="156"/>
      <c r="K3442" s="58"/>
      <c r="M3442" s="163"/>
      <c r="N3442" s="163"/>
    </row>
    <row r="3443" spans="4:14" ht="11.45" customHeight="1" x14ac:dyDescent="0.2">
      <c r="D3443" s="58"/>
      <c r="G3443" s="58"/>
      <c r="H3443" s="58"/>
      <c r="I3443" s="156"/>
      <c r="K3443" s="58"/>
      <c r="M3443" s="163"/>
      <c r="N3443" s="163"/>
    </row>
    <row r="3444" spans="4:14" ht="11.45" customHeight="1" x14ac:dyDescent="0.2">
      <c r="D3444" s="58"/>
      <c r="G3444" s="58"/>
      <c r="H3444" s="58"/>
      <c r="I3444" s="156"/>
      <c r="K3444" s="58"/>
      <c r="M3444" s="163"/>
      <c r="N3444" s="163"/>
    </row>
    <row r="3445" spans="4:14" ht="11.45" customHeight="1" x14ac:dyDescent="0.2">
      <c r="D3445" s="58"/>
      <c r="G3445" s="58"/>
      <c r="H3445" s="58"/>
      <c r="I3445" s="156"/>
      <c r="K3445" s="58"/>
      <c r="M3445" s="163"/>
      <c r="N3445" s="163"/>
    </row>
    <row r="3446" spans="4:14" ht="11.45" customHeight="1" x14ac:dyDescent="0.2">
      <c r="D3446" s="58"/>
      <c r="G3446" s="58"/>
      <c r="H3446" s="58"/>
      <c r="I3446" s="156"/>
      <c r="K3446" s="58"/>
      <c r="M3446" s="163"/>
      <c r="N3446" s="163"/>
    </row>
    <row r="3447" spans="4:14" ht="11.45" customHeight="1" x14ac:dyDescent="0.2">
      <c r="D3447" s="58"/>
      <c r="G3447" s="58"/>
      <c r="H3447" s="58"/>
      <c r="I3447" s="156"/>
      <c r="K3447" s="58"/>
      <c r="M3447" s="163"/>
      <c r="N3447" s="163"/>
    </row>
    <row r="3448" spans="4:14" ht="11.45" customHeight="1" x14ac:dyDescent="0.2">
      <c r="D3448" s="58"/>
      <c r="G3448" s="58"/>
      <c r="H3448" s="58"/>
      <c r="I3448" s="156"/>
      <c r="K3448" s="58"/>
      <c r="M3448" s="163"/>
      <c r="N3448" s="163"/>
    </row>
    <row r="3449" spans="4:14" ht="11.45" customHeight="1" x14ac:dyDescent="0.2">
      <c r="D3449" s="58"/>
      <c r="G3449" s="58"/>
      <c r="H3449" s="58"/>
      <c r="I3449" s="156"/>
      <c r="K3449" s="58"/>
      <c r="M3449" s="163"/>
      <c r="N3449" s="163"/>
    </row>
    <row r="3450" spans="4:14" ht="11.45" customHeight="1" x14ac:dyDescent="0.2">
      <c r="D3450" s="58"/>
      <c r="G3450" s="58"/>
      <c r="H3450" s="58"/>
      <c r="I3450" s="156"/>
      <c r="K3450" s="58"/>
      <c r="M3450" s="163"/>
      <c r="N3450" s="163"/>
    </row>
    <row r="3451" spans="4:14" ht="11.45" customHeight="1" x14ac:dyDescent="0.2">
      <c r="D3451" s="58"/>
      <c r="G3451" s="58"/>
      <c r="H3451" s="58"/>
      <c r="I3451" s="156"/>
      <c r="K3451" s="58"/>
      <c r="M3451" s="163"/>
      <c r="N3451" s="163"/>
    </row>
    <row r="3452" spans="4:14" ht="11.45" customHeight="1" x14ac:dyDescent="0.2">
      <c r="D3452" s="58"/>
      <c r="G3452" s="58"/>
      <c r="H3452" s="58"/>
      <c r="I3452" s="156"/>
      <c r="K3452" s="58"/>
      <c r="M3452" s="163"/>
      <c r="N3452" s="163"/>
    </row>
    <row r="3453" spans="4:14" ht="11.45" customHeight="1" x14ac:dyDescent="0.2">
      <c r="D3453" s="58"/>
      <c r="G3453" s="58"/>
      <c r="H3453" s="58"/>
      <c r="I3453" s="156"/>
      <c r="K3453" s="58"/>
      <c r="M3453" s="163"/>
      <c r="N3453" s="163"/>
    </row>
    <row r="3454" spans="4:14" ht="11.45" customHeight="1" x14ac:dyDescent="0.2">
      <c r="D3454" s="58"/>
      <c r="G3454" s="58"/>
      <c r="H3454" s="58"/>
      <c r="I3454" s="156"/>
      <c r="K3454" s="58"/>
      <c r="M3454" s="163"/>
      <c r="N3454" s="163"/>
    </row>
    <row r="3455" spans="4:14" ht="11.45" customHeight="1" x14ac:dyDescent="0.2">
      <c r="D3455" s="58"/>
      <c r="G3455" s="58"/>
      <c r="H3455" s="58"/>
      <c r="I3455" s="156"/>
      <c r="K3455" s="58"/>
      <c r="M3455" s="163"/>
      <c r="N3455" s="163"/>
    </row>
    <row r="3456" spans="4:14" ht="11.45" customHeight="1" x14ac:dyDescent="0.2">
      <c r="D3456" s="58"/>
      <c r="G3456" s="58"/>
      <c r="H3456" s="58"/>
      <c r="I3456" s="156"/>
      <c r="K3456" s="58"/>
      <c r="M3456" s="163"/>
      <c r="N3456" s="163"/>
    </row>
    <row r="3457" spans="4:14" ht="11.45" customHeight="1" x14ac:dyDescent="0.2">
      <c r="D3457" s="58"/>
      <c r="G3457" s="58"/>
      <c r="H3457" s="58"/>
      <c r="I3457" s="156"/>
      <c r="K3457" s="58"/>
      <c r="M3457" s="163"/>
      <c r="N3457" s="163"/>
    </row>
    <row r="3458" spans="4:14" ht="11.45" customHeight="1" x14ac:dyDescent="0.2">
      <c r="D3458" s="58"/>
      <c r="G3458" s="58"/>
      <c r="H3458" s="58"/>
      <c r="I3458" s="156"/>
      <c r="K3458" s="58"/>
      <c r="M3458" s="163"/>
      <c r="N3458" s="163"/>
    </row>
    <row r="3459" spans="4:14" ht="11.45" customHeight="1" x14ac:dyDescent="0.2">
      <c r="D3459" s="58"/>
      <c r="G3459" s="58"/>
      <c r="H3459" s="58"/>
      <c r="I3459" s="156"/>
      <c r="K3459" s="58"/>
      <c r="M3459" s="163"/>
      <c r="N3459" s="163"/>
    </row>
    <row r="3460" spans="4:14" ht="11.45" customHeight="1" x14ac:dyDescent="0.2">
      <c r="D3460" s="58"/>
      <c r="G3460" s="58"/>
      <c r="H3460" s="58"/>
      <c r="I3460" s="156"/>
      <c r="K3460" s="58"/>
      <c r="M3460" s="163"/>
      <c r="N3460" s="163"/>
    </row>
    <row r="3461" spans="4:14" ht="11.45" customHeight="1" x14ac:dyDescent="0.2">
      <c r="D3461" s="58"/>
      <c r="G3461" s="58"/>
      <c r="H3461" s="58"/>
      <c r="I3461" s="156"/>
      <c r="K3461" s="58"/>
      <c r="M3461" s="163"/>
      <c r="N3461" s="163"/>
    </row>
    <row r="3462" spans="4:14" ht="11.45" customHeight="1" x14ac:dyDescent="0.2">
      <c r="D3462" s="58"/>
      <c r="G3462" s="58"/>
      <c r="H3462" s="58"/>
      <c r="I3462" s="156"/>
      <c r="K3462" s="58"/>
      <c r="M3462" s="163"/>
      <c r="N3462" s="163"/>
    </row>
    <row r="3463" spans="4:14" ht="11.45" customHeight="1" x14ac:dyDescent="0.2">
      <c r="D3463" s="58"/>
      <c r="G3463" s="58"/>
      <c r="H3463" s="58"/>
      <c r="I3463" s="156"/>
      <c r="K3463" s="58"/>
      <c r="M3463" s="163"/>
      <c r="N3463" s="163"/>
    </row>
    <row r="3464" spans="4:14" ht="11.45" customHeight="1" x14ac:dyDescent="0.2">
      <c r="D3464" s="58"/>
      <c r="G3464" s="58"/>
      <c r="H3464" s="58"/>
      <c r="I3464" s="156"/>
      <c r="K3464" s="58"/>
      <c r="M3464" s="163"/>
      <c r="N3464" s="163"/>
    </row>
    <row r="3465" spans="4:14" ht="11.45" customHeight="1" x14ac:dyDescent="0.2">
      <c r="D3465" s="58"/>
      <c r="G3465" s="58"/>
      <c r="H3465" s="58"/>
      <c r="I3465" s="156"/>
      <c r="K3465" s="58"/>
      <c r="M3465" s="163"/>
      <c r="N3465" s="163"/>
    </row>
    <row r="3466" spans="4:14" ht="11.45" customHeight="1" x14ac:dyDescent="0.2">
      <c r="D3466" s="58"/>
      <c r="G3466" s="58"/>
      <c r="H3466" s="58"/>
      <c r="I3466" s="156"/>
      <c r="K3466" s="58"/>
      <c r="M3466" s="163"/>
      <c r="N3466" s="163"/>
    </row>
    <row r="3467" spans="4:14" ht="11.45" customHeight="1" x14ac:dyDescent="0.2">
      <c r="D3467" s="58"/>
      <c r="G3467" s="58"/>
      <c r="H3467" s="58"/>
      <c r="I3467" s="156"/>
      <c r="K3467" s="58"/>
      <c r="M3467" s="163"/>
      <c r="N3467" s="163"/>
    </row>
    <row r="3468" spans="4:14" ht="11.45" customHeight="1" x14ac:dyDescent="0.2">
      <c r="D3468" s="58"/>
      <c r="G3468" s="58"/>
      <c r="H3468" s="58"/>
      <c r="I3468" s="156"/>
      <c r="K3468" s="58"/>
      <c r="M3468" s="163"/>
      <c r="N3468" s="163"/>
    </row>
    <row r="3469" spans="4:14" ht="11.45" customHeight="1" x14ac:dyDescent="0.2">
      <c r="D3469" s="58"/>
      <c r="G3469" s="58"/>
      <c r="H3469" s="58"/>
      <c r="I3469" s="156"/>
      <c r="K3469" s="58"/>
      <c r="M3469" s="163"/>
      <c r="N3469" s="163"/>
    </row>
    <row r="3470" spans="4:14" ht="11.45" customHeight="1" x14ac:dyDescent="0.2">
      <c r="D3470" s="58"/>
      <c r="G3470" s="58"/>
      <c r="H3470" s="58"/>
      <c r="I3470" s="156"/>
      <c r="K3470" s="58"/>
      <c r="M3470" s="163"/>
      <c r="N3470" s="163"/>
    </row>
    <row r="3471" spans="4:14" ht="11.45" customHeight="1" x14ac:dyDescent="0.2">
      <c r="D3471" s="58"/>
      <c r="G3471" s="58"/>
      <c r="H3471" s="58"/>
      <c r="I3471" s="156"/>
      <c r="K3471" s="58"/>
      <c r="M3471" s="163"/>
      <c r="N3471" s="163"/>
    </row>
    <row r="3472" spans="4:14" ht="11.45" customHeight="1" x14ac:dyDescent="0.2">
      <c r="D3472" s="58"/>
      <c r="G3472" s="58"/>
      <c r="H3472" s="58"/>
      <c r="I3472" s="156"/>
      <c r="K3472" s="58"/>
      <c r="M3472" s="163"/>
      <c r="N3472" s="163"/>
    </row>
    <row r="3473" spans="4:14" ht="11.45" customHeight="1" x14ac:dyDescent="0.2">
      <c r="D3473" s="58"/>
      <c r="G3473" s="58"/>
      <c r="H3473" s="58"/>
      <c r="I3473" s="156"/>
      <c r="K3473" s="58"/>
      <c r="M3473" s="163"/>
      <c r="N3473" s="163"/>
    </row>
    <row r="3474" spans="4:14" ht="11.45" customHeight="1" x14ac:dyDescent="0.2">
      <c r="D3474" s="58"/>
      <c r="G3474" s="58"/>
      <c r="H3474" s="58"/>
      <c r="I3474" s="156"/>
      <c r="K3474" s="58"/>
      <c r="M3474" s="163"/>
      <c r="N3474" s="163"/>
    </row>
    <row r="3475" spans="4:14" ht="11.45" customHeight="1" x14ac:dyDescent="0.2">
      <c r="D3475" s="58"/>
      <c r="G3475" s="58"/>
      <c r="H3475" s="58"/>
      <c r="I3475" s="156"/>
      <c r="K3475" s="58"/>
      <c r="M3475" s="163"/>
      <c r="N3475" s="163"/>
    </row>
    <row r="3476" spans="4:14" ht="11.45" customHeight="1" x14ac:dyDescent="0.2">
      <c r="D3476" s="58"/>
      <c r="G3476" s="58"/>
      <c r="H3476" s="58"/>
      <c r="I3476" s="156"/>
      <c r="K3476" s="58"/>
      <c r="M3476" s="163"/>
      <c r="N3476" s="163"/>
    </row>
    <row r="3477" spans="4:14" ht="11.45" customHeight="1" x14ac:dyDescent="0.2">
      <c r="D3477" s="58"/>
      <c r="G3477" s="58"/>
      <c r="H3477" s="58"/>
      <c r="I3477" s="156"/>
      <c r="K3477" s="58"/>
      <c r="M3477" s="163"/>
      <c r="N3477" s="163"/>
    </row>
    <row r="3478" spans="4:14" ht="11.45" customHeight="1" x14ac:dyDescent="0.2">
      <c r="D3478" s="58"/>
      <c r="G3478" s="58"/>
      <c r="H3478" s="58"/>
      <c r="I3478" s="156"/>
      <c r="K3478" s="58"/>
      <c r="M3478" s="163"/>
      <c r="N3478" s="163"/>
    </row>
    <row r="3479" spans="4:14" ht="11.45" customHeight="1" x14ac:dyDescent="0.2">
      <c r="D3479" s="58"/>
      <c r="G3479" s="58"/>
      <c r="H3479" s="58"/>
      <c r="I3479" s="156"/>
      <c r="K3479" s="58"/>
      <c r="M3479" s="163"/>
      <c r="N3479" s="163"/>
    </row>
    <row r="3480" spans="4:14" ht="11.45" customHeight="1" x14ac:dyDescent="0.2">
      <c r="D3480" s="58"/>
      <c r="G3480" s="58"/>
      <c r="H3480" s="58"/>
      <c r="I3480" s="156"/>
      <c r="K3480" s="58"/>
      <c r="M3480" s="163"/>
      <c r="N3480" s="163"/>
    </row>
    <row r="3481" spans="4:14" ht="11.45" customHeight="1" x14ac:dyDescent="0.2">
      <c r="D3481" s="58"/>
      <c r="G3481" s="58"/>
      <c r="H3481" s="58"/>
      <c r="I3481" s="156"/>
      <c r="K3481" s="58"/>
      <c r="M3481" s="163"/>
      <c r="N3481" s="163"/>
    </row>
    <row r="3482" spans="4:14" ht="11.45" customHeight="1" x14ac:dyDescent="0.2">
      <c r="D3482" s="58"/>
      <c r="G3482" s="58"/>
      <c r="H3482" s="58"/>
      <c r="I3482" s="156"/>
      <c r="K3482" s="58"/>
      <c r="M3482" s="163"/>
      <c r="N3482" s="163"/>
    </row>
    <row r="3483" spans="4:14" ht="11.45" customHeight="1" x14ac:dyDescent="0.2">
      <c r="D3483" s="58"/>
      <c r="G3483" s="58"/>
      <c r="H3483" s="58"/>
      <c r="I3483" s="156"/>
      <c r="K3483" s="58"/>
      <c r="M3483" s="163"/>
      <c r="N3483" s="163"/>
    </row>
    <row r="3484" spans="4:14" ht="11.45" customHeight="1" x14ac:dyDescent="0.2">
      <c r="D3484" s="58"/>
      <c r="G3484" s="58"/>
      <c r="H3484" s="58"/>
      <c r="I3484" s="156"/>
      <c r="K3484" s="58"/>
      <c r="M3484" s="163"/>
      <c r="N3484" s="163"/>
    </row>
    <row r="3485" spans="4:14" ht="11.45" customHeight="1" x14ac:dyDescent="0.2">
      <c r="D3485" s="58"/>
      <c r="G3485" s="58"/>
      <c r="H3485" s="58"/>
      <c r="I3485" s="156"/>
      <c r="K3485" s="58"/>
      <c r="M3485" s="163"/>
      <c r="N3485" s="163"/>
    </row>
    <row r="3486" spans="4:14" ht="11.45" customHeight="1" x14ac:dyDescent="0.2">
      <c r="D3486" s="58"/>
      <c r="G3486" s="58"/>
      <c r="H3486" s="58"/>
      <c r="I3486" s="156"/>
      <c r="K3486" s="58"/>
      <c r="M3486" s="163"/>
      <c r="N3486" s="163"/>
    </row>
    <row r="3487" spans="4:14" ht="11.45" customHeight="1" x14ac:dyDescent="0.2">
      <c r="D3487" s="58"/>
      <c r="G3487" s="58"/>
      <c r="H3487" s="58"/>
      <c r="I3487" s="156"/>
      <c r="K3487" s="58"/>
      <c r="M3487" s="163"/>
      <c r="N3487" s="163"/>
    </row>
    <row r="3488" spans="4:14" ht="11.45" customHeight="1" x14ac:dyDescent="0.2">
      <c r="D3488" s="58"/>
      <c r="G3488" s="58"/>
      <c r="H3488" s="58"/>
      <c r="I3488" s="156"/>
      <c r="K3488" s="58"/>
      <c r="M3488" s="163"/>
      <c r="N3488" s="163"/>
    </row>
    <row r="3489" spans="4:14" ht="11.45" customHeight="1" x14ac:dyDescent="0.2">
      <c r="D3489" s="58"/>
      <c r="G3489" s="58"/>
      <c r="H3489" s="58"/>
      <c r="I3489" s="156"/>
      <c r="K3489" s="58"/>
      <c r="M3489" s="163"/>
      <c r="N3489" s="163"/>
    </row>
    <row r="3490" spans="4:14" ht="11.45" customHeight="1" x14ac:dyDescent="0.2">
      <c r="D3490" s="58"/>
      <c r="G3490" s="58"/>
      <c r="H3490" s="58"/>
      <c r="I3490" s="156"/>
      <c r="K3490" s="58"/>
      <c r="M3490" s="163"/>
      <c r="N3490" s="163"/>
    </row>
    <row r="3491" spans="4:14" ht="11.45" customHeight="1" x14ac:dyDescent="0.2">
      <c r="D3491" s="58"/>
      <c r="G3491" s="58"/>
      <c r="H3491" s="58"/>
      <c r="I3491" s="156"/>
      <c r="K3491" s="58"/>
      <c r="M3491" s="163"/>
      <c r="N3491" s="163"/>
    </row>
    <row r="3492" spans="4:14" ht="11.45" customHeight="1" x14ac:dyDescent="0.2">
      <c r="D3492" s="58"/>
      <c r="G3492" s="58"/>
      <c r="H3492" s="58"/>
      <c r="I3492" s="156"/>
      <c r="K3492" s="58"/>
      <c r="M3492" s="163"/>
      <c r="N3492" s="163"/>
    </row>
    <row r="3493" spans="4:14" ht="11.45" customHeight="1" x14ac:dyDescent="0.2">
      <c r="D3493" s="58"/>
      <c r="G3493" s="58"/>
      <c r="H3493" s="58"/>
      <c r="I3493" s="156"/>
      <c r="K3493" s="58"/>
      <c r="M3493" s="163"/>
      <c r="N3493" s="163"/>
    </row>
    <row r="3494" spans="4:14" ht="11.45" customHeight="1" x14ac:dyDescent="0.2">
      <c r="D3494" s="58"/>
      <c r="G3494" s="58"/>
      <c r="H3494" s="58"/>
      <c r="I3494" s="156"/>
      <c r="K3494" s="58"/>
      <c r="M3494" s="163"/>
      <c r="N3494" s="163"/>
    </row>
    <row r="3495" spans="4:14" ht="11.45" customHeight="1" x14ac:dyDescent="0.2">
      <c r="D3495" s="58"/>
      <c r="G3495" s="58"/>
      <c r="H3495" s="58"/>
      <c r="I3495" s="156"/>
      <c r="K3495" s="58"/>
      <c r="M3495" s="163"/>
      <c r="N3495" s="163"/>
    </row>
    <row r="3496" spans="4:14" ht="11.45" customHeight="1" x14ac:dyDescent="0.2">
      <c r="D3496" s="58"/>
      <c r="G3496" s="58"/>
      <c r="H3496" s="58"/>
      <c r="I3496" s="156"/>
      <c r="K3496" s="58"/>
      <c r="M3496" s="163"/>
      <c r="N3496" s="163"/>
    </row>
    <row r="3497" spans="4:14" ht="11.45" customHeight="1" x14ac:dyDescent="0.2">
      <c r="D3497" s="58"/>
      <c r="G3497" s="58"/>
      <c r="H3497" s="58"/>
      <c r="I3497" s="156"/>
      <c r="K3497" s="58"/>
      <c r="M3497" s="163"/>
      <c r="N3497" s="163"/>
    </row>
    <row r="3498" spans="4:14" ht="11.45" customHeight="1" x14ac:dyDescent="0.2">
      <c r="D3498" s="58"/>
      <c r="G3498" s="58"/>
      <c r="H3498" s="58"/>
      <c r="I3498" s="156"/>
      <c r="K3498" s="58"/>
      <c r="M3498" s="163"/>
      <c r="N3498" s="163"/>
    </row>
    <row r="3499" spans="4:14" ht="11.45" customHeight="1" x14ac:dyDescent="0.2">
      <c r="D3499" s="58"/>
      <c r="G3499" s="58"/>
      <c r="H3499" s="58"/>
      <c r="I3499" s="156"/>
      <c r="K3499" s="58"/>
      <c r="M3499" s="163"/>
      <c r="N3499" s="163"/>
    </row>
    <row r="3500" spans="4:14" ht="11.45" customHeight="1" x14ac:dyDescent="0.2">
      <c r="D3500" s="58"/>
      <c r="G3500" s="58"/>
      <c r="H3500" s="58"/>
      <c r="I3500" s="156"/>
      <c r="K3500" s="58"/>
      <c r="M3500" s="163"/>
      <c r="N3500" s="163"/>
    </row>
    <row r="3501" spans="4:14" ht="11.45" customHeight="1" x14ac:dyDescent="0.2">
      <c r="D3501" s="58"/>
      <c r="G3501" s="58"/>
      <c r="H3501" s="58"/>
      <c r="I3501" s="156"/>
      <c r="K3501" s="58"/>
      <c r="M3501" s="163"/>
      <c r="N3501" s="163"/>
    </row>
    <row r="3502" spans="4:14" ht="11.45" customHeight="1" x14ac:dyDescent="0.2">
      <c r="D3502" s="58"/>
      <c r="G3502" s="58"/>
      <c r="H3502" s="58"/>
      <c r="I3502" s="156"/>
      <c r="K3502" s="58"/>
      <c r="M3502" s="163"/>
      <c r="N3502" s="163"/>
    </row>
    <row r="3503" spans="4:14" ht="11.45" customHeight="1" x14ac:dyDescent="0.2">
      <c r="D3503" s="58"/>
      <c r="G3503" s="58"/>
      <c r="H3503" s="58"/>
      <c r="I3503" s="156"/>
      <c r="K3503" s="58"/>
      <c r="M3503" s="163"/>
      <c r="N3503" s="163"/>
    </row>
    <row r="3504" spans="4:14" ht="11.45" customHeight="1" x14ac:dyDescent="0.2">
      <c r="D3504" s="58"/>
      <c r="G3504" s="58"/>
      <c r="H3504" s="58"/>
      <c r="I3504" s="156"/>
      <c r="K3504" s="58"/>
      <c r="M3504" s="163"/>
      <c r="N3504" s="163"/>
    </row>
    <row r="3505" spans="4:14" ht="11.45" customHeight="1" x14ac:dyDescent="0.2">
      <c r="D3505" s="58"/>
      <c r="G3505" s="58"/>
      <c r="H3505" s="58"/>
      <c r="I3505" s="156"/>
      <c r="K3505" s="58"/>
      <c r="M3505" s="163"/>
      <c r="N3505" s="163"/>
    </row>
    <row r="3506" spans="4:14" ht="11.45" customHeight="1" x14ac:dyDescent="0.2">
      <c r="D3506" s="58"/>
      <c r="G3506" s="58"/>
      <c r="H3506" s="58"/>
      <c r="I3506" s="156"/>
      <c r="K3506" s="58"/>
      <c r="M3506" s="163"/>
      <c r="N3506" s="163"/>
    </row>
    <row r="3507" spans="4:14" ht="11.45" customHeight="1" x14ac:dyDescent="0.2">
      <c r="D3507" s="58"/>
      <c r="G3507" s="58"/>
      <c r="H3507" s="58"/>
      <c r="I3507" s="156"/>
      <c r="K3507" s="58"/>
      <c r="M3507" s="163"/>
      <c r="N3507" s="163"/>
    </row>
    <row r="3508" spans="4:14" ht="11.45" customHeight="1" x14ac:dyDescent="0.2">
      <c r="D3508" s="58"/>
      <c r="G3508" s="58"/>
      <c r="H3508" s="58"/>
      <c r="I3508" s="156"/>
      <c r="K3508" s="58"/>
      <c r="M3508" s="163"/>
      <c r="N3508" s="163"/>
    </row>
    <row r="3509" spans="4:14" ht="11.45" customHeight="1" x14ac:dyDescent="0.2">
      <c r="D3509" s="58"/>
      <c r="G3509" s="58"/>
      <c r="H3509" s="58"/>
      <c r="I3509" s="156"/>
      <c r="K3509" s="58"/>
      <c r="M3509" s="163"/>
      <c r="N3509" s="163"/>
    </row>
    <row r="3510" spans="4:14" ht="11.45" customHeight="1" x14ac:dyDescent="0.2">
      <c r="D3510" s="58"/>
      <c r="G3510" s="58"/>
      <c r="H3510" s="58"/>
      <c r="I3510" s="156"/>
      <c r="K3510" s="58"/>
      <c r="M3510" s="163"/>
      <c r="N3510" s="163"/>
    </row>
    <row r="3511" spans="4:14" ht="11.45" customHeight="1" x14ac:dyDescent="0.2">
      <c r="D3511" s="58"/>
      <c r="G3511" s="58"/>
      <c r="H3511" s="58"/>
      <c r="I3511" s="156"/>
      <c r="K3511" s="58"/>
      <c r="M3511" s="163"/>
      <c r="N3511" s="163"/>
    </row>
    <row r="3512" spans="4:14" ht="11.45" customHeight="1" x14ac:dyDescent="0.2">
      <c r="D3512" s="58"/>
      <c r="G3512" s="58"/>
      <c r="H3512" s="58"/>
      <c r="I3512" s="156"/>
      <c r="K3512" s="58"/>
      <c r="M3512" s="163"/>
      <c r="N3512" s="163"/>
    </row>
    <row r="3513" spans="4:14" ht="11.45" customHeight="1" x14ac:dyDescent="0.2">
      <c r="D3513" s="58"/>
      <c r="G3513" s="58"/>
      <c r="H3513" s="58"/>
      <c r="I3513" s="156"/>
      <c r="K3513" s="58"/>
      <c r="M3513" s="163"/>
      <c r="N3513" s="163"/>
    </row>
    <row r="3514" spans="4:14" ht="11.45" customHeight="1" x14ac:dyDescent="0.2">
      <c r="D3514" s="58"/>
      <c r="G3514" s="58"/>
      <c r="H3514" s="58"/>
      <c r="I3514" s="156"/>
      <c r="K3514" s="58"/>
      <c r="M3514" s="163"/>
      <c r="N3514" s="163"/>
    </row>
    <row r="3515" spans="4:14" ht="11.45" customHeight="1" x14ac:dyDescent="0.2">
      <c r="D3515" s="58"/>
      <c r="G3515" s="58"/>
      <c r="H3515" s="58"/>
      <c r="I3515" s="156"/>
      <c r="K3515" s="58"/>
      <c r="M3515" s="163"/>
      <c r="N3515" s="163"/>
    </row>
    <row r="3516" spans="4:14" ht="11.45" customHeight="1" x14ac:dyDescent="0.2">
      <c r="D3516" s="58"/>
      <c r="G3516" s="58"/>
      <c r="H3516" s="58"/>
      <c r="I3516" s="156"/>
      <c r="K3516" s="58"/>
      <c r="M3516" s="163"/>
      <c r="N3516" s="163"/>
    </row>
    <row r="3517" spans="4:14" ht="11.45" customHeight="1" x14ac:dyDescent="0.2">
      <c r="D3517" s="58"/>
      <c r="G3517" s="58"/>
      <c r="H3517" s="58"/>
      <c r="I3517" s="156"/>
      <c r="K3517" s="58"/>
      <c r="M3517" s="163"/>
      <c r="N3517" s="163"/>
    </row>
    <row r="3518" spans="4:14" ht="11.45" customHeight="1" x14ac:dyDescent="0.2">
      <c r="D3518" s="58"/>
      <c r="G3518" s="58"/>
      <c r="H3518" s="58"/>
      <c r="I3518" s="156"/>
      <c r="K3518" s="58"/>
      <c r="M3518" s="163"/>
      <c r="N3518" s="163"/>
    </row>
    <row r="3519" spans="4:14" ht="11.45" customHeight="1" x14ac:dyDescent="0.2">
      <c r="D3519" s="58"/>
      <c r="G3519" s="58"/>
      <c r="H3519" s="58"/>
      <c r="I3519" s="156"/>
      <c r="K3519" s="58"/>
      <c r="M3519" s="163"/>
      <c r="N3519" s="163"/>
    </row>
    <row r="3520" spans="4:14" ht="11.45" customHeight="1" x14ac:dyDescent="0.2">
      <c r="D3520" s="58"/>
      <c r="G3520" s="58"/>
      <c r="H3520" s="58"/>
      <c r="I3520" s="156"/>
      <c r="K3520" s="58"/>
      <c r="M3520" s="163"/>
      <c r="N3520" s="163"/>
    </row>
    <row r="3521" spans="4:14" ht="11.45" customHeight="1" x14ac:dyDescent="0.2">
      <c r="D3521" s="58"/>
      <c r="G3521" s="58"/>
      <c r="H3521" s="58"/>
      <c r="I3521" s="156"/>
      <c r="K3521" s="58"/>
      <c r="M3521" s="163"/>
      <c r="N3521" s="163"/>
    </row>
    <row r="3522" spans="4:14" ht="11.45" customHeight="1" x14ac:dyDescent="0.2">
      <c r="D3522" s="58"/>
      <c r="G3522" s="58"/>
      <c r="H3522" s="58"/>
      <c r="I3522" s="156"/>
      <c r="K3522" s="58"/>
      <c r="M3522" s="163"/>
      <c r="N3522" s="163"/>
    </row>
    <row r="3523" spans="4:14" ht="11.45" customHeight="1" x14ac:dyDescent="0.2">
      <c r="D3523" s="58"/>
      <c r="G3523" s="58"/>
      <c r="H3523" s="58"/>
      <c r="I3523" s="156"/>
      <c r="K3523" s="58"/>
      <c r="M3523" s="163"/>
      <c r="N3523" s="163"/>
    </row>
    <row r="3524" spans="4:14" ht="11.45" customHeight="1" x14ac:dyDescent="0.2">
      <c r="D3524" s="58"/>
      <c r="G3524" s="58"/>
      <c r="H3524" s="58"/>
      <c r="I3524" s="156"/>
      <c r="K3524" s="58"/>
      <c r="M3524" s="163"/>
      <c r="N3524" s="163"/>
    </row>
    <row r="3525" spans="4:14" ht="11.45" customHeight="1" x14ac:dyDescent="0.2">
      <c r="D3525" s="58"/>
      <c r="G3525" s="58"/>
      <c r="H3525" s="58"/>
      <c r="I3525" s="156"/>
      <c r="K3525" s="58"/>
      <c r="M3525" s="163"/>
      <c r="N3525" s="163"/>
    </row>
    <row r="3526" spans="4:14" ht="11.45" customHeight="1" x14ac:dyDescent="0.2">
      <c r="D3526" s="58"/>
      <c r="G3526" s="58"/>
      <c r="H3526" s="58"/>
      <c r="I3526" s="156"/>
      <c r="K3526" s="58"/>
      <c r="M3526" s="163"/>
      <c r="N3526" s="163"/>
    </row>
    <row r="3527" spans="4:14" ht="11.45" customHeight="1" x14ac:dyDescent="0.2">
      <c r="D3527" s="58"/>
      <c r="G3527" s="58"/>
      <c r="H3527" s="58"/>
      <c r="I3527" s="156"/>
      <c r="K3527" s="58"/>
      <c r="M3527" s="163"/>
      <c r="N3527" s="163"/>
    </row>
    <row r="3528" spans="4:14" ht="11.45" customHeight="1" x14ac:dyDescent="0.2">
      <c r="D3528" s="58"/>
      <c r="G3528" s="58"/>
      <c r="H3528" s="58"/>
      <c r="I3528" s="156"/>
      <c r="K3528" s="58"/>
      <c r="M3528" s="163"/>
      <c r="N3528" s="163"/>
    </row>
    <row r="3529" spans="4:14" ht="11.45" customHeight="1" x14ac:dyDescent="0.2">
      <c r="D3529" s="58"/>
      <c r="G3529" s="58"/>
      <c r="H3529" s="58"/>
      <c r="I3529" s="156"/>
      <c r="K3529" s="58"/>
      <c r="M3529" s="163"/>
      <c r="N3529" s="163"/>
    </row>
    <row r="3530" spans="4:14" ht="11.45" customHeight="1" x14ac:dyDescent="0.2">
      <c r="D3530" s="58"/>
      <c r="G3530" s="58"/>
      <c r="H3530" s="58"/>
      <c r="I3530" s="156"/>
      <c r="K3530" s="58"/>
      <c r="M3530" s="163"/>
      <c r="N3530" s="163"/>
    </row>
    <row r="3531" spans="4:14" ht="11.45" customHeight="1" x14ac:dyDescent="0.2">
      <c r="D3531" s="58"/>
      <c r="G3531" s="58"/>
      <c r="H3531" s="58"/>
      <c r="I3531" s="156"/>
      <c r="K3531" s="58"/>
      <c r="M3531" s="163"/>
      <c r="N3531" s="163"/>
    </row>
    <row r="3532" spans="4:14" ht="11.45" customHeight="1" x14ac:dyDescent="0.2">
      <c r="D3532" s="58"/>
      <c r="G3532" s="58"/>
      <c r="H3532" s="58"/>
      <c r="I3532" s="156"/>
      <c r="K3532" s="58"/>
      <c r="M3532" s="163"/>
      <c r="N3532" s="163"/>
    </row>
    <row r="3533" spans="4:14" ht="11.45" customHeight="1" x14ac:dyDescent="0.2">
      <c r="D3533" s="58"/>
      <c r="G3533" s="58"/>
      <c r="H3533" s="58"/>
      <c r="I3533" s="156"/>
      <c r="K3533" s="58"/>
      <c r="M3533" s="163"/>
      <c r="N3533" s="163"/>
    </row>
    <row r="3534" spans="4:14" ht="11.45" customHeight="1" x14ac:dyDescent="0.2">
      <c r="D3534" s="58"/>
      <c r="G3534" s="58"/>
      <c r="H3534" s="58"/>
      <c r="I3534" s="156"/>
      <c r="K3534" s="58"/>
      <c r="M3534" s="163"/>
      <c r="N3534" s="163"/>
    </row>
    <row r="3535" spans="4:14" ht="11.45" customHeight="1" x14ac:dyDescent="0.2">
      <c r="D3535" s="58"/>
      <c r="G3535" s="58"/>
      <c r="H3535" s="58"/>
      <c r="I3535" s="156"/>
      <c r="K3535" s="58"/>
      <c r="M3535" s="163"/>
      <c r="N3535" s="163"/>
    </row>
    <row r="3536" spans="4:14" ht="11.45" customHeight="1" x14ac:dyDescent="0.2">
      <c r="D3536" s="58"/>
      <c r="G3536" s="58"/>
      <c r="H3536" s="58"/>
      <c r="I3536" s="156"/>
      <c r="K3536" s="58"/>
      <c r="M3536" s="163"/>
      <c r="N3536" s="163"/>
    </row>
    <row r="3537" spans="4:14" ht="11.45" customHeight="1" x14ac:dyDescent="0.2">
      <c r="D3537" s="58"/>
      <c r="G3537" s="58"/>
      <c r="H3537" s="58"/>
      <c r="I3537" s="156"/>
      <c r="K3537" s="58"/>
      <c r="M3537" s="163"/>
      <c r="N3537" s="163"/>
    </row>
    <row r="3538" spans="4:14" ht="11.45" customHeight="1" x14ac:dyDescent="0.2">
      <c r="D3538" s="58"/>
      <c r="G3538" s="58"/>
      <c r="H3538" s="58"/>
      <c r="I3538" s="156"/>
      <c r="K3538" s="58"/>
      <c r="M3538" s="163"/>
      <c r="N3538" s="163"/>
    </row>
    <row r="3539" spans="4:14" ht="11.45" customHeight="1" x14ac:dyDescent="0.2">
      <c r="D3539" s="58"/>
      <c r="G3539" s="58"/>
      <c r="H3539" s="58"/>
      <c r="I3539" s="156"/>
      <c r="K3539" s="58"/>
      <c r="M3539" s="163"/>
      <c r="N3539" s="163"/>
    </row>
    <row r="3540" spans="4:14" ht="11.45" customHeight="1" x14ac:dyDescent="0.2">
      <c r="D3540" s="58"/>
      <c r="G3540" s="58"/>
      <c r="H3540" s="58"/>
      <c r="I3540" s="156"/>
      <c r="K3540" s="58"/>
      <c r="M3540" s="163"/>
      <c r="N3540" s="163"/>
    </row>
    <row r="3541" spans="4:14" ht="11.45" customHeight="1" x14ac:dyDescent="0.2">
      <c r="D3541" s="58"/>
      <c r="G3541" s="58"/>
      <c r="H3541" s="58"/>
      <c r="I3541" s="156"/>
      <c r="K3541" s="58"/>
      <c r="M3541" s="163"/>
      <c r="N3541" s="163"/>
    </row>
    <row r="3542" spans="4:14" ht="11.45" customHeight="1" x14ac:dyDescent="0.2">
      <c r="D3542" s="58"/>
      <c r="G3542" s="58"/>
      <c r="H3542" s="58"/>
      <c r="I3542" s="156"/>
      <c r="K3542" s="58"/>
      <c r="M3542" s="163"/>
      <c r="N3542" s="163"/>
    </row>
    <row r="3543" spans="4:14" ht="11.45" customHeight="1" x14ac:dyDescent="0.2">
      <c r="D3543" s="58"/>
      <c r="G3543" s="58"/>
      <c r="H3543" s="58"/>
      <c r="I3543" s="156"/>
      <c r="K3543" s="58"/>
      <c r="M3543" s="163"/>
      <c r="N3543" s="163"/>
    </row>
    <row r="3544" spans="4:14" ht="11.45" customHeight="1" x14ac:dyDescent="0.2">
      <c r="D3544" s="58"/>
      <c r="G3544" s="58"/>
      <c r="H3544" s="58"/>
      <c r="I3544" s="156"/>
      <c r="K3544" s="58"/>
      <c r="M3544" s="163"/>
      <c r="N3544" s="163"/>
    </row>
    <row r="3545" spans="4:14" ht="11.45" customHeight="1" x14ac:dyDescent="0.2">
      <c r="D3545" s="58"/>
      <c r="G3545" s="58"/>
      <c r="H3545" s="58"/>
      <c r="I3545" s="156"/>
      <c r="K3545" s="58"/>
      <c r="M3545" s="163"/>
      <c r="N3545" s="163"/>
    </row>
    <row r="3546" spans="4:14" ht="11.45" customHeight="1" x14ac:dyDescent="0.2">
      <c r="D3546" s="58"/>
      <c r="G3546" s="58"/>
      <c r="H3546" s="58"/>
      <c r="I3546" s="156"/>
      <c r="K3546" s="58"/>
      <c r="M3546" s="163"/>
      <c r="N3546" s="163"/>
    </row>
    <row r="3547" spans="4:14" ht="11.45" customHeight="1" x14ac:dyDescent="0.2">
      <c r="D3547" s="58"/>
      <c r="G3547" s="58"/>
      <c r="H3547" s="58"/>
      <c r="I3547" s="156"/>
      <c r="K3547" s="58"/>
      <c r="M3547" s="163"/>
      <c r="N3547" s="163"/>
    </row>
    <row r="3548" spans="4:14" ht="11.45" customHeight="1" x14ac:dyDescent="0.2">
      <c r="D3548" s="58"/>
      <c r="G3548" s="58"/>
      <c r="H3548" s="58"/>
      <c r="I3548" s="156"/>
      <c r="K3548" s="58"/>
      <c r="M3548" s="163"/>
      <c r="N3548" s="163"/>
    </row>
    <row r="3549" spans="4:14" ht="11.45" customHeight="1" x14ac:dyDescent="0.2">
      <c r="D3549" s="58"/>
      <c r="G3549" s="58"/>
      <c r="H3549" s="58"/>
      <c r="I3549" s="156"/>
      <c r="K3549" s="58"/>
      <c r="M3549" s="163"/>
      <c r="N3549" s="163"/>
    </row>
    <row r="3550" spans="4:14" ht="11.45" customHeight="1" x14ac:dyDescent="0.2">
      <c r="D3550" s="58"/>
      <c r="G3550" s="58"/>
      <c r="H3550" s="58"/>
      <c r="I3550" s="156"/>
      <c r="K3550" s="58"/>
      <c r="M3550" s="163"/>
      <c r="N3550" s="163"/>
    </row>
    <row r="3551" spans="4:14" ht="11.45" customHeight="1" x14ac:dyDescent="0.2">
      <c r="D3551" s="58"/>
      <c r="G3551" s="58"/>
      <c r="H3551" s="58"/>
      <c r="I3551" s="156"/>
      <c r="K3551" s="58"/>
      <c r="M3551" s="163"/>
      <c r="N3551" s="163"/>
    </row>
    <row r="3552" spans="4:14" ht="11.45" customHeight="1" x14ac:dyDescent="0.2">
      <c r="D3552" s="58"/>
      <c r="G3552" s="58"/>
      <c r="H3552" s="58"/>
      <c r="I3552" s="156"/>
      <c r="K3552" s="58"/>
      <c r="M3552" s="163"/>
      <c r="N3552" s="163"/>
    </row>
    <row r="3553" spans="4:14" ht="11.45" customHeight="1" x14ac:dyDescent="0.2">
      <c r="D3553" s="58"/>
      <c r="G3553" s="58"/>
      <c r="H3553" s="58"/>
      <c r="I3553" s="156"/>
      <c r="K3553" s="58"/>
      <c r="M3553" s="163"/>
      <c r="N3553" s="163"/>
    </row>
    <row r="3554" spans="4:14" ht="11.45" customHeight="1" x14ac:dyDescent="0.2">
      <c r="D3554" s="58"/>
      <c r="G3554" s="58"/>
      <c r="H3554" s="58"/>
      <c r="I3554" s="156"/>
      <c r="K3554" s="58"/>
      <c r="M3554" s="163"/>
      <c r="N3554" s="163"/>
    </row>
    <row r="3555" spans="4:14" ht="11.45" customHeight="1" x14ac:dyDescent="0.2">
      <c r="D3555" s="58"/>
      <c r="G3555" s="58"/>
      <c r="H3555" s="58"/>
      <c r="I3555" s="156"/>
      <c r="K3555" s="58"/>
      <c r="M3555" s="163"/>
      <c r="N3555" s="163"/>
    </row>
    <row r="3556" spans="4:14" ht="11.45" customHeight="1" x14ac:dyDescent="0.2">
      <c r="D3556" s="58"/>
      <c r="G3556" s="58"/>
      <c r="H3556" s="58"/>
      <c r="I3556" s="156"/>
      <c r="K3556" s="58"/>
      <c r="M3556" s="163"/>
      <c r="N3556" s="163"/>
    </row>
    <row r="3557" spans="4:14" ht="11.45" customHeight="1" x14ac:dyDescent="0.2">
      <c r="D3557" s="58"/>
      <c r="G3557" s="58"/>
      <c r="H3557" s="58"/>
      <c r="I3557" s="156"/>
      <c r="K3557" s="58"/>
      <c r="M3557" s="163"/>
      <c r="N3557" s="163"/>
    </row>
    <row r="3558" spans="4:14" ht="11.45" customHeight="1" x14ac:dyDescent="0.2">
      <c r="D3558" s="58"/>
      <c r="G3558" s="58"/>
      <c r="H3558" s="58"/>
      <c r="I3558" s="156"/>
      <c r="K3558" s="58"/>
      <c r="M3558" s="163"/>
      <c r="N3558" s="163"/>
    </row>
    <row r="3559" spans="4:14" ht="11.45" customHeight="1" x14ac:dyDescent="0.2">
      <c r="D3559" s="58"/>
      <c r="G3559" s="58"/>
      <c r="H3559" s="58"/>
      <c r="I3559" s="156"/>
      <c r="K3559" s="58"/>
      <c r="M3559" s="163"/>
      <c r="N3559" s="163"/>
    </row>
    <row r="3560" spans="4:14" ht="11.45" customHeight="1" x14ac:dyDescent="0.2">
      <c r="D3560" s="58"/>
      <c r="G3560" s="58"/>
      <c r="H3560" s="58"/>
      <c r="I3560" s="156"/>
      <c r="K3560" s="58"/>
      <c r="M3560" s="163"/>
      <c r="N3560" s="163"/>
    </row>
    <row r="3561" spans="4:14" ht="11.45" customHeight="1" x14ac:dyDescent="0.2">
      <c r="D3561" s="58"/>
      <c r="G3561" s="58"/>
      <c r="H3561" s="58"/>
      <c r="I3561" s="156"/>
      <c r="K3561" s="58"/>
      <c r="M3561" s="163"/>
      <c r="N3561" s="163"/>
    </row>
    <row r="3562" spans="4:14" ht="11.45" customHeight="1" x14ac:dyDescent="0.2">
      <c r="D3562" s="58"/>
      <c r="G3562" s="58"/>
      <c r="H3562" s="58"/>
      <c r="I3562" s="156"/>
      <c r="K3562" s="58"/>
      <c r="M3562" s="163"/>
      <c r="N3562" s="163"/>
    </row>
    <row r="3563" spans="4:14" ht="11.45" customHeight="1" x14ac:dyDescent="0.2">
      <c r="D3563" s="58"/>
      <c r="G3563" s="58"/>
      <c r="H3563" s="58"/>
      <c r="I3563" s="156"/>
      <c r="K3563" s="58"/>
      <c r="M3563" s="163"/>
      <c r="N3563" s="163"/>
    </row>
    <row r="3564" spans="4:14" ht="11.45" customHeight="1" x14ac:dyDescent="0.2">
      <c r="D3564" s="58"/>
      <c r="G3564" s="58"/>
      <c r="H3564" s="58"/>
      <c r="I3564" s="156"/>
      <c r="K3564" s="58"/>
      <c r="M3564" s="163"/>
      <c r="N3564" s="163"/>
    </row>
    <row r="3565" spans="4:14" ht="11.45" customHeight="1" x14ac:dyDescent="0.2">
      <c r="D3565" s="58"/>
      <c r="G3565" s="58"/>
      <c r="H3565" s="58"/>
      <c r="I3565" s="156"/>
      <c r="K3565" s="58"/>
      <c r="M3565" s="163"/>
      <c r="N3565" s="163"/>
    </row>
    <row r="3566" spans="4:14" ht="11.45" customHeight="1" x14ac:dyDescent="0.2">
      <c r="D3566" s="58"/>
      <c r="G3566" s="58"/>
      <c r="H3566" s="58"/>
      <c r="I3566" s="156"/>
      <c r="K3566" s="58"/>
      <c r="M3566" s="163"/>
      <c r="N3566" s="163"/>
    </row>
    <row r="3567" spans="4:14" ht="11.45" customHeight="1" x14ac:dyDescent="0.2">
      <c r="D3567" s="58"/>
      <c r="G3567" s="58"/>
      <c r="H3567" s="58"/>
      <c r="I3567" s="156"/>
      <c r="K3567" s="58"/>
      <c r="M3567" s="163"/>
      <c r="N3567" s="163"/>
    </row>
    <row r="3568" spans="4:14" ht="11.45" customHeight="1" x14ac:dyDescent="0.2">
      <c r="D3568" s="58"/>
      <c r="G3568" s="58"/>
      <c r="H3568" s="58"/>
      <c r="I3568" s="156"/>
      <c r="K3568" s="58"/>
      <c r="M3568" s="163"/>
      <c r="N3568" s="163"/>
    </row>
    <row r="3569" spans="4:14" ht="11.45" customHeight="1" x14ac:dyDescent="0.2">
      <c r="D3569" s="58"/>
      <c r="G3569" s="58"/>
      <c r="H3569" s="58"/>
      <c r="I3569" s="156"/>
      <c r="K3569" s="58"/>
      <c r="M3569" s="163"/>
      <c r="N3569" s="163"/>
    </row>
    <row r="3570" spans="4:14" ht="11.45" customHeight="1" x14ac:dyDescent="0.2">
      <c r="D3570" s="58"/>
      <c r="G3570" s="58"/>
      <c r="H3570" s="58"/>
      <c r="I3570" s="156"/>
      <c r="K3570" s="58"/>
      <c r="M3570" s="163"/>
      <c r="N3570" s="163"/>
    </row>
    <row r="3571" spans="4:14" ht="11.45" customHeight="1" x14ac:dyDescent="0.2">
      <c r="D3571" s="58"/>
      <c r="G3571" s="58"/>
      <c r="H3571" s="58"/>
      <c r="I3571" s="156"/>
      <c r="K3571" s="58"/>
      <c r="M3571" s="163"/>
      <c r="N3571" s="163"/>
    </row>
    <row r="3572" spans="4:14" ht="11.45" customHeight="1" x14ac:dyDescent="0.2">
      <c r="D3572" s="58"/>
      <c r="G3572" s="58"/>
      <c r="H3572" s="58"/>
      <c r="I3572" s="156"/>
      <c r="K3572" s="58"/>
      <c r="M3572" s="163"/>
      <c r="N3572" s="163"/>
    </row>
    <row r="3573" spans="4:14" ht="11.45" customHeight="1" x14ac:dyDescent="0.2">
      <c r="D3573" s="58"/>
      <c r="G3573" s="58"/>
      <c r="H3573" s="58"/>
      <c r="I3573" s="156"/>
      <c r="K3573" s="58"/>
      <c r="M3573" s="163"/>
      <c r="N3573" s="163"/>
    </row>
    <row r="3574" spans="4:14" ht="11.45" customHeight="1" x14ac:dyDescent="0.2">
      <c r="D3574" s="58"/>
      <c r="G3574" s="58"/>
      <c r="H3574" s="58"/>
      <c r="I3574" s="156"/>
      <c r="K3574" s="58"/>
      <c r="M3574" s="163"/>
      <c r="N3574" s="163"/>
    </row>
    <row r="3575" spans="4:14" ht="11.45" customHeight="1" x14ac:dyDescent="0.2">
      <c r="D3575" s="58"/>
      <c r="G3575" s="58"/>
      <c r="H3575" s="58"/>
      <c r="I3575" s="156"/>
      <c r="K3575" s="58"/>
      <c r="M3575" s="163"/>
      <c r="N3575" s="163"/>
    </row>
    <row r="3576" spans="4:14" ht="11.45" customHeight="1" x14ac:dyDescent="0.2">
      <c r="D3576" s="58"/>
      <c r="G3576" s="58"/>
      <c r="H3576" s="58"/>
      <c r="I3576" s="156"/>
      <c r="K3576" s="58"/>
      <c r="M3576" s="163"/>
      <c r="N3576" s="163"/>
    </row>
    <row r="3577" spans="4:14" ht="11.45" customHeight="1" x14ac:dyDescent="0.2">
      <c r="D3577" s="58"/>
      <c r="G3577" s="58"/>
      <c r="H3577" s="58"/>
      <c r="I3577" s="156"/>
      <c r="K3577" s="58"/>
      <c r="M3577" s="163"/>
      <c r="N3577" s="163"/>
    </row>
    <row r="3578" spans="4:14" ht="11.45" customHeight="1" x14ac:dyDescent="0.2">
      <c r="D3578" s="58"/>
      <c r="G3578" s="58"/>
      <c r="H3578" s="58"/>
      <c r="I3578" s="156"/>
      <c r="K3578" s="58"/>
      <c r="M3578" s="163"/>
      <c r="N3578" s="163"/>
    </row>
    <row r="3579" spans="4:14" ht="11.45" customHeight="1" x14ac:dyDescent="0.2">
      <c r="D3579" s="58"/>
      <c r="G3579" s="58"/>
      <c r="H3579" s="58"/>
      <c r="I3579" s="156"/>
      <c r="K3579" s="58"/>
      <c r="M3579" s="163"/>
      <c r="N3579" s="163"/>
    </row>
    <row r="3580" spans="4:14" ht="11.45" customHeight="1" x14ac:dyDescent="0.2">
      <c r="D3580" s="58"/>
      <c r="G3580" s="58"/>
      <c r="H3580" s="58"/>
      <c r="I3580" s="156"/>
      <c r="K3580" s="58"/>
      <c r="M3580" s="163"/>
      <c r="N3580" s="163"/>
    </row>
    <row r="3581" spans="4:14" ht="11.45" customHeight="1" x14ac:dyDescent="0.2">
      <c r="D3581" s="58"/>
      <c r="G3581" s="58"/>
      <c r="H3581" s="58"/>
      <c r="I3581" s="156"/>
      <c r="K3581" s="58"/>
      <c r="M3581" s="163"/>
      <c r="N3581" s="163"/>
    </row>
    <row r="3582" spans="4:14" ht="11.45" customHeight="1" x14ac:dyDescent="0.2">
      <c r="D3582" s="58"/>
      <c r="G3582" s="58"/>
      <c r="H3582" s="58"/>
      <c r="I3582" s="156"/>
      <c r="K3582" s="58"/>
      <c r="M3582" s="163"/>
      <c r="N3582" s="163"/>
    </row>
    <row r="3583" spans="4:14" ht="11.45" customHeight="1" x14ac:dyDescent="0.2">
      <c r="D3583" s="58"/>
      <c r="G3583" s="58"/>
      <c r="H3583" s="58"/>
      <c r="I3583" s="156"/>
      <c r="K3583" s="58"/>
      <c r="M3583" s="163"/>
      <c r="N3583" s="163"/>
    </row>
    <row r="3584" spans="4:14" ht="11.45" customHeight="1" x14ac:dyDescent="0.2">
      <c r="D3584" s="58"/>
      <c r="G3584" s="58"/>
      <c r="H3584" s="58"/>
      <c r="I3584" s="156"/>
      <c r="K3584" s="58"/>
      <c r="M3584" s="163"/>
      <c r="N3584" s="163"/>
    </row>
    <row r="3585" spans="4:14" ht="11.45" customHeight="1" x14ac:dyDescent="0.2">
      <c r="D3585" s="58"/>
      <c r="G3585" s="58"/>
      <c r="H3585" s="58"/>
      <c r="I3585" s="156"/>
      <c r="K3585" s="58"/>
      <c r="M3585" s="163"/>
      <c r="N3585" s="163"/>
    </row>
    <row r="3586" spans="4:14" ht="11.45" customHeight="1" x14ac:dyDescent="0.2">
      <c r="D3586" s="58"/>
      <c r="G3586" s="58"/>
      <c r="H3586" s="58"/>
      <c r="I3586" s="156"/>
      <c r="K3586" s="58"/>
      <c r="M3586" s="163"/>
      <c r="N3586" s="163"/>
    </row>
    <row r="3587" spans="4:14" ht="11.45" customHeight="1" x14ac:dyDescent="0.2">
      <c r="D3587" s="58"/>
      <c r="G3587" s="58"/>
      <c r="H3587" s="58"/>
      <c r="I3587" s="156"/>
      <c r="K3587" s="58"/>
      <c r="M3587" s="163"/>
      <c r="N3587" s="163"/>
    </row>
    <row r="3588" spans="4:14" ht="11.45" customHeight="1" x14ac:dyDescent="0.2">
      <c r="D3588" s="58"/>
      <c r="G3588" s="58"/>
      <c r="H3588" s="58"/>
      <c r="I3588" s="156"/>
      <c r="K3588" s="58"/>
      <c r="M3588" s="163"/>
      <c r="N3588" s="163"/>
    </row>
    <row r="3589" spans="4:14" ht="11.45" customHeight="1" x14ac:dyDescent="0.2">
      <c r="D3589" s="58"/>
      <c r="G3589" s="58"/>
      <c r="H3589" s="58"/>
      <c r="I3589" s="156"/>
      <c r="K3589" s="58"/>
      <c r="M3589" s="163"/>
      <c r="N3589" s="163"/>
    </row>
    <row r="3590" spans="4:14" ht="11.45" customHeight="1" x14ac:dyDescent="0.2">
      <c r="D3590" s="58"/>
      <c r="G3590" s="58"/>
      <c r="H3590" s="58"/>
      <c r="I3590" s="156"/>
      <c r="K3590" s="58"/>
      <c r="M3590" s="163"/>
      <c r="N3590" s="163"/>
    </row>
    <row r="3591" spans="4:14" ht="11.45" customHeight="1" x14ac:dyDescent="0.2">
      <c r="D3591" s="58"/>
      <c r="G3591" s="58"/>
      <c r="H3591" s="58"/>
      <c r="I3591" s="156"/>
      <c r="K3591" s="58"/>
      <c r="M3591" s="163"/>
      <c r="N3591" s="163"/>
    </row>
    <row r="3592" spans="4:14" ht="11.45" customHeight="1" x14ac:dyDescent="0.2">
      <c r="D3592" s="58"/>
      <c r="G3592" s="58"/>
      <c r="H3592" s="58"/>
      <c r="I3592" s="156"/>
      <c r="K3592" s="58"/>
      <c r="M3592" s="163"/>
      <c r="N3592" s="163"/>
    </row>
    <row r="3593" spans="4:14" ht="11.45" customHeight="1" x14ac:dyDescent="0.2">
      <c r="D3593" s="58"/>
      <c r="G3593" s="58"/>
      <c r="H3593" s="58"/>
      <c r="I3593" s="156"/>
      <c r="K3593" s="58"/>
      <c r="M3593" s="163"/>
      <c r="N3593" s="163"/>
    </row>
    <row r="3594" spans="4:14" ht="11.45" customHeight="1" x14ac:dyDescent="0.2">
      <c r="D3594" s="58"/>
      <c r="G3594" s="58"/>
      <c r="H3594" s="58"/>
      <c r="I3594" s="156"/>
      <c r="K3594" s="58"/>
      <c r="M3594" s="163"/>
      <c r="N3594" s="163"/>
    </row>
    <row r="3595" spans="4:14" ht="11.45" customHeight="1" x14ac:dyDescent="0.2">
      <c r="D3595" s="58"/>
      <c r="G3595" s="58"/>
      <c r="H3595" s="58"/>
      <c r="I3595" s="156"/>
      <c r="K3595" s="58"/>
      <c r="M3595" s="163"/>
      <c r="N3595" s="163"/>
    </row>
    <row r="3596" spans="4:14" ht="11.45" customHeight="1" x14ac:dyDescent="0.2">
      <c r="D3596" s="58"/>
      <c r="G3596" s="58"/>
      <c r="H3596" s="58"/>
      <c r="I3596" s="156"/>
      <c r="K3596" s="58"/>
      <c r="M3596" s="163"/>
      <c r="N3596" s="163"/>
    </row>
    <row r="3597" spans="4:14" ht="11.45" customHeight="1" x14ac:dyDescent="0.2">
      <c r="D3597" s="58"/>
      <c r="G3597" s="58"/>
      <c r="H3597" s="58"/>
      <c r="I3597" s="156"/>
      <c r="K3597" s="58"/>
      <c r="M3597" s="163"/>
      <c r="N3597" s="163"/>
    </row>
    <row r="3598" spans="4:14" ht="11.45" customHeight="1" x14ac:dyDescent="0.2">
      <c r="D3598" s="58"/>
      <c r="G3598" s="58"/>
      <c r="H3598" s="58"/>
      <c r="I3598" s="156"/>
      <c r="K3598" s="58"/>
      <c r="M3598" s="163"/>
      <c r="N3598" s="163"/>
    </row>
    <row r="3599" spans="4:14" ht="11.45" customHeight="1" x14ac:dyDescent="0.2">
      <c r="D3599" s="58"/>
      <c r="G3599" s="58"/>
      <c r="H3599" s="58"/>
      <c r="I3599" s="156"/>
      <c r="K3599" s="58"/>
      <c r="M3599" s="163"/>
      <c r="N3599" s="163"/>
    </row>
    <row r="3600" spans="4:14" ht="11.45" customHeight="1" x14ac:dyDescent="0.2">
      <c r="D3600" s="58"/>
      <c r="G3600" s="58"/>
      <c r="H3600" s="58"/>
      <c r="I3600" s="156"/>
      <c r="K3600" s="58"/>
      <c r="M3600" s="163"/>
      <c r="N3600" s="163"/>
    </row>
    <row r="3601" spans="4:14" ht="11.45" customHeight="1" x14ac:dyDescent="0.2">
      <c r="D3601" s="58"/>
      <c r="G3601" s="58"/>
      <c r="H3601" s="58"/>
      <c r="I3601" s="156"/>
      <c r="K3601" s="58"/>
      <c r="M3601" s="163"/>
      <c r="N3601" s="163"/>
    </row>
    <row r="3602" spans="4:14" ht="11.45" customHeight="1" x14ac:dyDescent="0.2">
      <c r="D3602" s="58"/>
      <c r="G3602" s="58"/>
      <c r="H3602" s="58"/>
      <c r="I3602" s="156"/>
      <c r="K3602" s="58"/>
      <c r="M3602" s="163"/>
      <c r="N3602" s="163"/>
    </row>
    <row r="3603" spans="4:14" ht="11.45" customHeight="1" x14ac:dyDescent="0.2">
      <c r="D3603" s="58"/>
      <c r="G3603" s="58"/>
      <c r="H3603" s="58"/>
      <c r="I3603" s="156"/>
      <c r="K3603" s="58"/>
      <c r="M3603" s="163"/>
      <c r="N3603" s="163"/>
    </row>
    <row r="3604" spans="4:14" ht="11.45" customHeight="1" x14ac:dyDescent="0.2">
      <c r="D3604" s="58"/>
      <c r="G3604" s="58"/>
      <c r="H3604" s="58"/>
      <c r="I3604" s="156"/>
      <c r="K3604" s="58"/>
      <c r="M3604" s="163"/>
      <c r="N3604" s="163"/>
    </row>
    <row r="3605" spans="4:14" ht="11.45" customHeight="1" x14ac:dyDescent="0.2">
      <c r="D3605" s="58"/>
      <c r="G3605" s="58"/>
      <c r="H3605" s="58"/>
      <c r="I3605" s="156"/>
      <c r="K3605" s="58"/>
      <c r="M3605" s="163"/>
      <c r="N3605" s="163"/>
    </row>
    <row r="3606" spans="4:14" ht="11.45" customHeight="1" x14ac:dyDescent="0.2">
      <c r="D3606" s="58"/>
      <c r="G3606" s="58"/>
      <c r="H3606" s="58"/>
      <c r="I3606" s="156"/>
      <c r="K3606" s="58"/>
      <c r="M3606" s="163"/>
      <c r="N3606" s="163"/>
    </row>
    <row r="3607" spans="4:14" ht="11.45" customHeight="1" x14ac:dyDescent="0.2">
      <c r="D3607" s="58"/>
      <c r="G3607" s="58"/>
      <c r="H3607" s="58"/>
      <c r="I3607" s="156"/>
      <c r="K3607" s="58"/>
      <c r="M3607" s="163"/>
      <c r="N3607" s="163"/>
    </row>
    <row r="3608" spans="4:14" ht="11.45" customHeight="1" x14ac:dyDescent="0.2">
      <c r="D3608" s="58"/>
      <c r="G3608" s="58"/>
      <c r="H3608" s="58"/>
      <c r="I3608" s="156"/>
      <c r="K3608" s="58"/>
      <c r="M3608" s="163"/>
      <c r="N3608" s="163"/>
    </row>
    <row r="3609" spans="4:14" ht="11.45" customHeight="1" x14ac:dyDescent="0.2">
      <c r="D3609" s="58"/>
      <c r="G3609" s="58"/>
      <c r="H3609" s="58"/>
      <c r="I3609" s="156"/>
      <c r="K3609" s="58"/>
      <c r="M3609" s="163"/>
      <c r="N3609" s="163"/>
    </row>
    <row r="3610" spans="4:14" ht="11.45" customHeight="1" x14ac:dyDescent="0.2">
      <c r="D3610" s="58"/>
      <c r="G3610" s="58"/>
      <c r="H3610" s="58"/>
      <c r="I3610" s="156"/>
      <c r="K3610" s="58"/>
      <c r="M3610" s="163"/>
      <c r="N3610" s="163"/>
    </row>
    <row r="3611" spans="4:14" ht="11.45" customHeight="1" x14ac:dyDescent="0.2">
      <c r="D3611" s="58"/>
      <c r="G3611" s="58"/>
      <c r="H3611" s="58"/>
      <c r="I3611" s="156"/>
      <c r="K3611" s="58"/>
      <c r="M3611" s="163"/>
      <c r="N3611" s="163"/>
    </row>
    <row r="3612" spans="4:14" ht="11.45" customHeight="1" x14ac:dyDescent="0.2">
      <c r="D3612" s="58"/>
      <c r="G3612" s="58"/>
      <c r="H3612" s="58"/>
      <c r="I3612" s="156"/>
      <c r="K3612" s="58"/>
      <c r="M3612" s="163"/>
      <c r="N3612" s="163"/>
    </row>
    <row r="3613" spans="4:14" ht="11.45" customHeight="1" x14ac:dyDescent="0.2">
      <c r="D3613" s="58"/>
      <c r="G3613" s="58"/>
      <c r="H3613" s="58"/>
      <c r="I3613" s="156"/>
      <c r="K3613" s="58"/>
      <c r="M3613" s="163"/>
      <c r="N3613" s="163"/>
    </row>
    <row r="3614" spans="4:14" ht="11.45" customHeight="1" x14ac:dyDescent="0.2">
      <c r="D3614" s="58"/>
      <c r="G3614" s="58"/>
      <c r="H3614" s="58"/>
      <c r="I3614" s="156"/>
      <c r="K3614" s="58"/>
      <c r="M3614" s="163"/>
      <c r="N3614" s="163"/>
    </row>
    <row r="3615" spans="4:14" ht="11.45" customHeight="1" x14ac:dyDescent="0.2">
      <c r="D3615" s="58"/>
      <c r="G3615" s="58"/>
      <c r="H3615" s="58"/>
      <c r="I3615" s="156"/>
      <c r="K3615" s="58"/>
      <c r="M3615" s="163"/>
      <c r="N3615" s="163"/>
    </row>
    <row r="3616" spans="4:14" ht="11.45" customHeight="1" x14ac:dyDescent="0.2">
      <c r="D3616" s="58"/>
      <c r="G3616" s="58"/>
      <c r="H3616" s="58"/>
      <c r="I3616" s="156"/>
      <c r="K3616" s="58"/>
      <c r="M3616" s="163"/>
      <c r="N3616" s="163"/>
    </row>
    <row r="3617" spans="4:14" ht="11.45" customHeight="1" x14ac:dyDescent="0.2">
      <c r="D3617" s="58"/>
      <c r="G3617" s="58"/>
      <c r="H3617" s="58"/>
      <c r="I3617" s="156"/>
      <c r="K3617" s="58"/>
      <c r="M3617" s="163"/>
      <c r="N3617" s="163"/>
    </row>
    <row r="3618" spans="4:14" ht="11.45" customHeight="1" x14ac:dyDescent="0.2">
      <c r="D3618" s="58"/>
      <c r="G3618" s="58"/>
      <c r="H3618" s="58"/>
      <c r="I3618" s="156"/>
      <c r="K3618" s="58"/>
      <c r="M3618" s="163"/>
      <c r="N3618" s="163"/>
    </row>
    <row r="3619" spans="4:14" ht="11.45" customHeight="1" x14ac:dyDescent="0.2">
      <c r="D3619" s="58"/>
      <c r="G3619" s="58"/>
      <c r="H3619" s="58"/>
      <c r="I3619" s="156"/>
      <c r="K3619" s="58"/>
      <c r="M3619" s="163"/>
      <c r="N3619" s="163"/>
    </row>
    <row r="3620" spans="4:14" ht="11.45" customHeight="1" x14ac:dyDescent="0.2">
      <c r="D3620" s="58"/>
      <c r="G3620" s="58"/>
      <c r="H3620" s="58"/>
      <c r="I3620" s="156"/>
      <c r="K3620" s="58"/>
      <c r="M3620" s="163"/>
      <c r="N3620" s="163"/>
    </row>
    <row r="3621" spans="4:14" ht="11.45" customHeight="1" x14ac:dyDescent="0.2">
      <c r="D3621" s="58"/>
      <c r="G3621" s="58"/>
      <c r="H3621" s="58"/>
      <c r="I3621" s="156"/>
      <c r="K3621" s="58"/>
      <c r="M3621" s="163"/>
      <c r="N3621" s="163"/>
    </row>
    <row r="3622" spans="4:14" ht="11.45" customHeight="1" x14ac:dyDescent="0.2">
      <c r="D3622" s="58"/>
      <c r="G3622" s="58"/>
      <c r="H3622" s="58"/>
      <c r="I3622" s="156"/>
      <c r="K3622" s="58"/>
      <c r="M3622" s="163"/>
      <c r="N3622" s="163"/>
    </row>
    <row r="3623" spans="4:14" ht="11.45" customHeight="1" x14ac:dyDescent="0.2">
      <c r="D3623" s="58"/>
      <c r="G3623" s="58"/>
      <c r="H3623" s="58"/>
      <c r="I3623" s="156"/>
      <c r="K3623" s="58"/>
      <c r="M3623" s="163"/>
      <c r="N3623" s="163"/>
    </row>
    <row r="3624" spans="4:14" ht="11.45" customHeight="1" x14ac:dyDescent="0.2">
      <c r="D3624" s="58"/>
      <c r="G3624" s="58"/>
      <c r="H3624" s="58"/>
      <c r="I3624" s="156"/>
      <c r="K3624" s="58"/>
      <c r="M3624" s="163"/>
      <c r="N3624" s="163"/>
    </row>
    <row r="3625" spans="4:14" ht="11.45" customHeight="1" x14ac:dyDescent="0.2">
      <c r="D3625" s="58"/>
      <c r="G3625" s="58"/>
      <c r="H3625" s="58"/>
      <c r="I3625" s="156"/>
      <c r="K3625" s="58"/>
      <c r="M3625" s="163"/>
      <c r="N3625" s="163"/>
    </row>
    <row r="3626" spans="4:14" ht="11.45" customHeight="1" x14ac:dyDescent="0.2">
      <c r="D3626" s="58"/>
      <c r="G3626" s="58"/>
      <c r="H3626" s="58"/>
      <c r="I3626" s="156"/>
      <c r="K3626" s="58"/>
      <c r="M3626" s="163"/>
      <c r="N3626" s="163"/>
    </row>
    <row r="3627" spans="4:14" ht="11.45" customHeight="1" x14ac:dyDescent="0.2">
      <c r="D3627" s="58"/>
      <c r="G3627" s="58"/>
      <c r="H3627" s="58"/>
      <c r="I3627" s="156"/>
      <c r="K3627" s="58"/>
      <c r="M3627" s="163"/>
      <c r="N3627" s="163"/>
    </row>
    <row r="3628" spans="4:14" ht="11.45" customHeight="1" x14ac:dyDescent="0.2">
      <c r="D3628" s="58"/>
      <c r="G3628" s="58"/>
      <c r="H3628" s="58"/>
      <c r="I3628" s="156"/>
      <c r="K3628" s="58"/>
      <c r="M3628" s="163"/>
      <c r="N3628" s="163"/>
    </row>
    <row r="3629" spans="4:14" ht="11.45" customHeight="1" x14ac:dyDescent="0.2">
      <c r="D3629" s="58"/>
      <c r="G3629" s="58"/>
      <c r="H3629" s="58"/>
      <c r="I3629" s="156"/>
      <c r="K3629" s="58"/>
      <c r="M3629" s="163"/>
      <c r="N3629" s="163"/>
    </row>
    <row r="3630" spans="4:14" ht="11.45" customHeight="1" x14ac:dyDescent="0.2">
      <c r="D3630" s="58"/>
      <c r="G3630" s="58"/>
      <c r="H3630" s="58"/>
      <c r="I3630" s="156"/>
      <c r="K3630" s="58"/>
      <c r="M3630" s="163"/>
      <c r="N3630" s="163"/>
    </row>
    <row r="3631" spans="4:14" ht="11.45" customHeight="1" x14ac:dyDescent="0.2">
      <c r="D3631" s="58"/>
      <c r="G3631" s="58"/>
      <c r="H3631" s="58"/>
      <c r="I3631" s="156"/>
      <c r="K3631" s="58"/>
      <c r="M3631" s="163"/>
      <c r="N3631" s="163"/>
    </row>
    <row r="3632" spans="4:14" ht="11.45" customHeight="1" x14ac:dyDescent="0.2">
      <c r="D3632" s="58"/>
      <c r="G3632" s="58"/>
      <c r="H3632" s="58"/>
      <c r="I3632" s="156"/>
      <c r="K3632" s="58"/>
      <c r="M3632" s="163"/>
      <c r="N3632" s="163"/>
    </row>
    <row r="3633" spans="4:14" ht="11.45" customHeight="1" x14ac:dyDescent="0.2">
      <c r="D3633" s="58"/>
      <c r="G3633" s="58"/>
      <c r="H3633" s="58"/>
      <c r="I3633" s="156"/>
      <c r="K3633" s="58"/>
      <c r="M3633" s="163"/>
      <c r="N3633" s="163"/>
    </row>
    <row r="3634" spans="4:14" ht="11.45" customHeight="1" x14ac:dyDescent="0.2">
      <c r="D3634" s="58"/>
      <c r="G3634" s="58"/>
      <c r="H3634" s="58"/>
      <c r="I3634" s="156"/>
      <c r="K3634" s="58"/>
      <c r="M3634" s="163"/>
      <c r="N3634" s="163"/>
    </row>
    <row r="3635" spans="4:14" ht="11.45" customHeight="1" x14ac:dyDescent="0.2">
      <c r="D3635" s="58"/>
      <c r="G3635" s="58"/>
      <c r="H3635" s="58"/>
      <c r="I3635" s="156"/>
      <c r="K3635" s="58"/>
      <c r="M3635" s="163"/>
      <c r="N3635" s="163"/>
    </row>
    <row r="3636" spans="4:14" ht="11.45" customHeight="1" x14ac:dyDescent="0.2">
      <c r="D3636" s="58"/>
      <c r="G3636" s="58"/>
      <c r="H3636" s="58"/>
      <c r="I3636" s="156"/>
      <c r="K3636" s="58"/>
      <c r="M3636" s="163"/>
      <c r="N3636" s="163"/>
    </row>
    <row r="3637" spans="4:14" ht="11.45" customHeight="1" x14ac:dyDescent="0.2">
      <c r="D3637" s="58"/>
      <c r="G3637" s="58"/>
      <c r="H3637" s="58"/>
      <c r="I3637" s="156"/>
      <c r="K3637" s="58"/>
      <c r="M3637" s="163"/>
      <c r="N3637" s="163"/>
    </row>
    <row r="3638" spans="4:14" ht="11.45" customHeight="1" x14ac:dyDescent="0.2">
      <c r="D3638" s="58"/>
      <c r="G3638" s="58"/>
      <c r="H3638" s="58"/>
      <c r="I3638" s="156"/>
      <c r="K3638" s="58"/>
      <c r="M3638" s="163"/>
      <c r="N3638" s="163"/>
    </row>
    <row r="3639" spans="4:14" ht="11.45" customHeight="1" x14ac:dyDescent="0.2">
      <c r="D3639" s="58"/>
      <c r="G3639" s="58"/>
      <c r="H3639" s="58"/>
      <c r="I3639" s="156"/>
      <c r="K3639" s="58"/>
      <c r="M3639" s="163"/>
      <c r="N3639" s="163"/>
    </row>
    <row r="3640" spans="4:14" ht="11.45" customHeight="1" x14ac:dyDescent="0.2">
      <c r="D3640" s="58"/>
      <c r="G3640" s="58"/>
      <c r="H3640" s="58"/>
      <c r="I3640" s="156"/>
      <c r="K3640" s="58"/>
      <c r="M3640" s="163"/>
      <c r="N3640" s="163"/>
    </row>
    <row r="3641" spans="4:14" ht="11.45" customHeight="1" x14ac:dyDescent="0.2">
      <c r="D3641" s="58"/>
      <c r="G3641" s="58"/>
      <c r="H3641" s="58"/>
      <c r="I3641" s="156"/>
      <c r="K3641" s="58"/>
      <c r="M3641" s="163"/>
      <c r="N3641" s="163"/>
    </row>
    <row r="3642" spans="4:14" ht="11.45" customHeight="1" x14ac:dyDescent="0.2">
      <c r="D3642" s="58"/>
      <c r="G3642" s="58"/>
      <c r="H3642" s="58"/>
      <c r="I3642" s="156"/>
      <c r="K3642" s="58"/>
      <c r="M3642" s="163"/>
      <c r="N3642" s="163"/>
    </row>
    <row r="3643" spans="4:14" ht="11.45" customHeight="1" x14ac:dyDescent="0.2">
      <c r="D3643" s="58"/>
      <c r="G3643" s="58"/>
      <c r="H3643" s="58"/>
      <c r="I3643" s="156"/>
      <c r="K3643" s="58"/>
      <c r="M3643" s="163"/>
      <c r="N3643" s="163"/>
    </row>
    <row r="3644" spans="4:14" ht="11.45" customHeight="1" x14ac:dyDescent="0.2">
      <c r="D3644" s="58"/>
      <c r="G3644" s="58"/>
      <c r="H3644" s="58"/>
      <c r="I3644" s="156"/>
      <c r="K3644" s="58"/>
      <c r="M3644" s="163"/>
      <c r="N3644" s="163"/>
    </row>
    <row r="3645" spans="4:14" ht="11.45" customHeight="1" x14ac:dyDescent="0.2">
      <c r="D3645" s="58"/>
      <c r="G3645" s="58"/>
      <c r="H3645" s="58"/>
      <c r="I3645" s="156"/>
      <c r="K3645" s="58"/>
      <c r="M3645" s="163"/>
      <c r="N3645" s="163"/>
    </row>
    <row r="3646" spans="4:14" ht="11.45" customHeight="1" x14ac:dyDescent="0.2">
      <c r="D3646" s="58"/>
      <c r="G3646" s="58"/>
      <c r="H3646" s="58"/>
      <c r="I3646" s="156"/>
      <c r="K3646" s="58"/>
      <c r="M3646" s="163"/>
      <c r="N3646" s="163"/>
    </row>
    <row r="3647" spans="4:14" ht="11.45" customHeight="1" x14ac:dyDescent="0.2">
      <c r="D3647" s="58"/>
      <c r="G3647" s="58"/>
      <c r="H3647" s="58"/>
      <c r="I3647" s="156"/>
      <c r="K3647" s="58"/>
      <c r="M3647" s="163"/>
      <c r="N3647" s="163"/>
    </row>
    <row r="3648" spans="4:14" ht="11.45" customHeight="1" x14ac:dyDescent="0.2">
      <c r="D3648" s="58"/>
      <c r="G3648" s="58"/>
      <c r="H3648" s="58"/>
      <c r="I3648" s="156"/>
      <c r="K3648" s="58"/>
      <c r="M3648" s="163"/>
      <c r="N3648" s="163"/>
    </row>
    <row r="3649" spans="4:14" ht="11.45" customHeight="1" x14ac:dyDescent="0.2">
      <c r="D3649" s="58"/>
      <c r="G3649" s="58"/>
      <c r="H3649" s="58"/>
      <c r="I3649" s="156"/>
      <c r="K3649" s="58"/>
      <c r="M3649" s="163"/>
      <c r="N3649" s="163"/>
    </row>
    <row r="3650" spans="4:14" ht="11.45" customHeight="1" x14ac:dyDescent="0.2">
      <c r="D3650" s="58"/>
      <c r="G3650" s="58"/>
      <c r="H3650" s="58"/>
      <c r="I3650" s="156"/>
      <c r="K3650" s="58"/>
      <c r="M3650" s="163"/>
      <c r="N3650" s="163"/>
    </row>
    <row r="3651" spans="4:14" ht="11.45" customHeight="1" x14ac:dyDescent="0.2">
      <c r="D3651" s="58"/>
      <c r="G3651" s="58"/>
      <c r="H3651" s="58"/>
      <c r="I3651" s="156"/>
      <c r="K3651" s="58"/>
      <c r="M3651" s="163"/>
      <c r="N3651" s="163"/>
    </row>
    <row r="3652" spans="4:14" ht="11.45" customHeight="1" x14ac:dyDescent="0.2">
      <c r="D3652" s="58"/>
      <c r="G3652" s="58"/>
      <c r="H3652" s="58"/>
      <c r="I3652" s="156"/>
      <c r="K3652" s="58"/>
      <c r="M3652" s="163"/>
      <c r="N3652" s="163"/>
    </row>
    <row r="3653" spans="4:14" ht="11.45" customHeight="1" x14ac:dyDescent="0.2">
      <c r="D3653" s="58"/>
      <c r="G3653" s="58"/>
      <c r="H3653" s="58"/>
      <c r="I3653" s="156"/>
      <c r="K3653" s="58"/>
      <c r="M3653" s="163"/>
      <c r="N3653" s="163"/>
    </row>
    <row r="3654" spans="4:14" ht="11.45" customHeight="1" x14ac:dyDescent="0.2">
      <c r="D3654" s="58"/>
      <c r="G3654" s="58"/>
      <c r="H3654" s="58"/>
      <c r="I3654" s="156"/>
      <c r="K3654" s="58"/>
      <c r="M3654" s="163"/>
      <c r="N3654" s="163"/>
    </row>
    <row r="3655" spans="4:14" ht="11.45" customHeight="1" x14ac:dyDescent="0.2">
      <c r="D3655" s="58"/>
      <c r="G3655" s="58"/>
      <c r="H3655" s="58"/>
      <c r="I3655" s="156"/>
      <c r="K3655" s="58"/>
      <c r="M3655" s="163"/>
      <c r="N3655" s="163"/>
    </row>
    <row r="3656" spans="4:14" ht="11.45" customHeight="1" x14ac:dyDescent="0.2">
      <c r="D3656" s="58"/>
      <c r="G3656" s="58"/>
      <c r="H3656" s="58"/>
      <c r="I3656" s="156"/>
      <c r="K3656" s="58"/>
      <c r="M3656" s="163"/>
      <c r="N3656" s="163"/>
    </row>
    <row r="3657" spans="4:14" ht="11.45" customHeight="1" x14ac:dyDescent="0.2">
      <c r="D3657" s="58"/>
      <c r="G3657" s="58"/>
      <c r="H3657" s="58"/>
      <c r="I3657" s="156"/>
      <c r="K3657" s="58"/>
      <c r="M3657" s="163"/>
      <c r="N3657" s="163"/>
    </row>
    <row r="3658" spans="4:14" ht="11.45" customHeight="1" x14ac:dyDescent="0.2">
      <c r="D3658" s="58"/>
      <c r="G3658" s="58"/>
      <c r="H3658" s="58"/>
      <c r="I3658" s="156"/>
      <c r="K3658" s="58"/>
      <c r="M3658" s="163"/>
      <c r="N3658" s="163"/>
    </row>
    <row r="3659" spans="4:14" ht="11.45" customHeight="1" x14ac:dyDescent="0.2">
      <c r="D3659" s="58"/>
      <c r="G3659" s="58"/>
      <c r="H3659" s="58"/>
      <c r="I3659" s="156"/>
      <c r="K3659" s="58"/>
      <c r="M3659" s="163"/>
      <c r="N3659" s="163"/>
    </row>
    <row r="3660" spans="4:14" ht="11.45" customHeight="1" x14ac:dyDescent="0.2">
      <c r="D3660" s="58"/>
      <c r="G3660" s="58"/>
      <c r="H3660" s="58"/>
      <c r="I3660" s="156"/>
      <c r="K3660" s="58"/>
      <c r="M3660" s="163"/>
      <c r="N3660" s="163"/>
    </row>
    <row r="3661" spans="4:14" ht="11.45" customHeight="1" x14ac:dyDescent="0.2">
      <c r="D3661" s="58"/>
      <c r="G3661" s="58"/>
      <c r="H3661" s="58"/>
      <c r="I3661" s="156"/>
      <c r="K3661" s="58"/>
      <c r="M3661" s="163"/>
      <c r="N3661" s="163"/>
    </row>
    <row r="3662" spans="4:14" ht="11.45" customHeight="1" x14ac:dyDescent="0.2">
      <c r="D3662" s="58"/>
      <c r="G3662" s="58"/>
      <c r="H3662" s="58"/>
      <c r="I3662" s="156"/>
      <c r="K3662" s="58"/>
      <c r="M3662" s="163"/>
      <c r="N3662" s="163"/>
    </row>
    <row r="3663" spans="4:14" ht="11.45" customHeight="1" x14ac:dyDescent="0.2">
      <c r="D3663" s="58"/>
      <c r="G3663" s="58"/>
      <c r="H3663" s="58"/>
      <c r="I3663" s="156"/>
      <c r="K3663" s="58"/>
      <c r="M3663" s="163"/>
      <c r="N3663" s="163"/>
    </row>
    <row r="3664" spans="4:14" ht="11.45" customHeight="1" x14ac:dyDescent="0.2">
      <c r="D3664" s="58"/>
      <c r="G3664" s="58"/>
      <c r="H3664" s="58"/>
      <c r="I3664" s="156"/>
      <c r="K3664" s="58"/>
      <c r="M3664" s="163"/>
      <c r="N3664" s="163"/>
    </row>
    <row r="3665" spans="4:14" ht="11.45" customHeight="1" x14ac:dyDescent="0.2">
      <c r="D3665" s="58"/>
      <c r="G3665" s="58"/>
      <c r="H3665" s="58"/>
      <c r="I3665" s="156"/>
      <c r="K3665" s="58"/>
      <c r="M3665" s="163"/>
      <c r="N3665" s="163"/>
    </row>
    <row r="3666" spans="4:14" ht="11.45" customHeight="1" x14ac:dyDescent="0.2">
      <c r="D3666" s="58"/>
      <c r="G3666" s="58"/>
      <c r="H3666" s="58"/>
      <c r="I3666" s="156"/>
      <c r="K3666" s="58"/>
      <c r="M3666" s="163"/>
      <c r="N3666" s="163"/>
    </row>
    <row r="3667" spans="4:14" ht="11.45" customHeight="1" x14ac:dyDescent="0.2">
      <c r="D3667" s="58"/>
      <c r="G3667" s="58"/>
      <c r="H3667" s="58"/>
      <c r="I3667" s="156"/>
      <c r="K3667" s="58"/>
      <c r="M3667" s="163"/>
      <c r="N3667" s="163"/>
    </row>
    <row r="3668" spans="4:14" ht="11.45" customHeight="1" x14ac:dyDescent="0.2">
      <c r="D3668" s="58"/>
      <c r="G3668" s="58"/>
      <c r="H3668" s="58"/>
      <c r="I3668" s="156"/>
      <c r="K3668" s="58"/>
      <c r="M3668" s="163"/>
      <c r="N3668" s="163"/>
    </row>
    <row r="3669" spans="4:14" ht="11.45" customHeight="1" x14ac:dyDescent="0.2">
      <c r="D3669" s="58"/>
      <c r="G3669" s="58"/>
      <c r="H3669" s="58"/>
      <c r="I3669" s="156"/>
      <c r="K3669" s="58"/>
      <c r="M3669" s="163"/>
      <c r="N3669" s="163"/>
    </row>
    <row r="3670" spans="4:14" ht="11.45" customHeight="1" x14ac:dyDescent="0.2">
      <c r="D3670" s="58"/>
      <c r="G3670" s="58"/>
      <c r="H3670" s="58"/>
      <c r="I3670" s="156"/>
      <c r="K3670" s="58"/>
      <c r="M3670" s="163"/>
      <c r="N3670" s="163"/>
    </row>
    <row r="3671" spans="4:14" ht="11.45" customHeight="1" x14ac:dyDescent="0.2">
      <c r="D3671" s="58"/>
      <c r="G3671" s="58"/>
      <c r="H3671" s="58"/>
      <c r="I3671" s="156"/>
      <c r="K3671" s="58"/>
      <c r="M3671" s="163"/>
      <c r="N3671" s="163"/>
    </row>
    <row r="3672" spans="4:14" ht="11.45" customHeight="1" x14ac:dyDescent="0.2">
      <c r="D3672" s="58"/>
      <c r="G3672" s="58"/>
      <c r="H3672" s="58"/>
      <c r="I3672" s="156"/>
      <c r="K3672" s="58"/>
      <c r="M3672" s="163"/>
      <c r="N3672" s="163"/>
    </row>
    <row r="3673" spans="4:14" ht="11.45" customHeight="1" x14ac:dyDescent="0.2">
      <c r="D3673" s="58"/>
      <c r="G3673" s="58"/>
      <c r="H3673" s="58"/>
      <c r="I3673" s="156"/>
      <c r="K3673" s="58"/>
      <c r="M3673" s="163"/>
      <c r="N3673" s="163"/>
    </row>
    <row r="3674" spans="4:14" ht="11.45" customHeight="1" x14ac:dyDescent="0.2">
      <c r="D3674" s="58"/>
      <c r="G3674" s="58"/>
      <c r="H3674" s="58"/>
      <c r="I3674" s="156"/>
      <c r="K3674" s="58"/>
      <c r="M3674" s="163"/>
      <c r="N3674" s="163"/>
    </row>
    <row r="3675" spans="4:14" ht="11.45" customHeight="1" x14ac:dyDescent="0.2">
      <c r="D3675" s="58"/>
      <c r="G3675" s="58"/>
      <c r="H3675" s="58"/>
      <c r="I3675" s="156"/>
      <c r="K3675" s="58"/>
      <c r="M3675" s="163"/>
      <c r="N3675" s="163"/>
    </row>
    <row r="3676" spans="4:14" ht="11.45" customHeight="1" x14ac:dyDescent="0.2">
      <c r="D3676" s="58"/>
      <c r="G3676" s="58"/>
      <c r="H3676" s="58"/>
      <c r="I3676" s="156"/>
      <c r="K3676" s="58"/>
      <c r="M3676" s="163"/>
      <c r="N3676" s="163"/>
    </row>
    <row r="3677" spans="4:14" ht="11.45" customHeight="1" x14ac:dyDescent="0.2">
      <c r="D3677" s="58"/>
      <c r="G3677" s="58"/>
      <c r="H3677" s="58"/>
      <c r="I3677" s="156"/>
      <c r="K3677" s="58"/>
      <c r="M3677" s="163"/>
      <c r="N3677" s="163"/>
    </row>
    <row r="3678" spans="4:14" ht="11.45" customHeight="1" x14ac:dyDescent="0.2">
      <c r="D3678" s="58"/>
      <c r="G3678" s="58"/>
      <c r="H3678" s="58"/>
      <c r="I3678" s="156"/>
      <c r="K3678" s="58"/>
      <c r="M3678" s="163"/>
      <c r="N3678" s="163"/>
    </row>
    <row r="3679" spans="4:14" ht="11.45" customHeight="1" x14ac:dyDescent="0.2">
      <c r="D3679" s="58"/>
      <c r="G3679" s="58"/>
      <c r="H3679" s="58"/>
      <c r="I3679" s="156"/>
      <c r="K3679" s="58"/>
      <c r="M3679" s="163"/>
      <c r="N3679" s="163"/>
    </row>
    <row r="3680" spans="4:14" ht="11.45" customHeight="1" x14ac:dyDescent="0.2">
      <c r="D3680" s="58"/>
      <c r="G3680" s="58"/>
      <c r="H3680" s="58"/>
      <c r="I3680" s="156"/>
      <c r="K3680" s="58"/>
      <c r="M3680" s="163"/>
      <c r="N3680" s="163"/>
    </row>
    <row r="3681" spans="4:14" ht="11.45" customHeight="1" x14ac:dyDescent="0.2">
      <c r="D3681" s="58"/>
      <c r="G3681" s="58"/>
      <c r="H3681" s="58"/>
      <c r="I3681" s="156"/>
      <c r="K3681" s="58"/>
      <c r="M3681" s="163"/>
      <c r="N3681" s="163"/>
    </row>
    <row r="3682" spans="4:14" ht="11.45" customHeight="1" x14ac:dyDescent="0.2">
      <c r="D3682" s="58"/>
      <c r="G3682" s="58"/>
      <c r="H3682" s="58"/>
      <c r="I3682" s="156"/>
      <c r="K3682" s="58"/>
      <c r="M3682" s="163"/>
      <c r="N3682" s="163"/>
    </row>
    <row r="3683" spans="4:14" ht="11.45" customHeight="1" x14ac:dyDescent="0.2">
      <c r="D3683" s="58"/>
      <c r="G3683" s="58"/>
      <c r="H3683" s="58"/>
      <c r="I3683" s="156"/>
      <c r="K3683" s="58"/>
      <c r="M3683" s="163"/>
      <c r="N3683" s="163"/>
    </row>
    <row r="3684" spans="4:14" ht="11.45" customHeight="1" x14ac:dyDescent="0.2">
      <c r="D3684" s="58"/>
      <c r="G3684" s="58"/>
      <c r="H3684" s="58"/>
      <c r="I3684" s="156"/>
      <c r="K3684" s="58"/>
      <c r="M3684" s="163"/>
      <c r="N3684" s="163"/>
    </row>
    <row r="3685" spans="4:14" ht="11.45" customHeight="1" x14ac:dyDescent="0.2">
      <c r="D3685" s="58"/>
      <c r="G3685" s="58"/>
      <c r="H3685" s="58"/>
      <c r="I3685" s="156"/>
      <c r="K3685" s="58"/>
      <c r="M3685" s="163"/>
      <c r="N3685" s="163"/>
    </row>
    <row r="3686" spans="4:14" ht="11.45" customHeight="1" x14ac:dyDescent="0.2">
      <c r="D3686" s="58"/>
      <c r="G3686" s="58"/>
      <c r="H3686" s="58"/>
      <c r="I3686" s="156"/>
      <c r="K3686" s="58"/>
      <c r="M3686" s="163"/>
      <c r="N3686" s="163"/>
    </row>
    <row r="3687" spans="4:14" ht="11.45" customHeight="1" x14ac:dyDescent="0.2">
      <c r="D3687" s="58"/>
      <c r="G3687" s="58"/>
      <c r="H3687" s="58"/>
      <c r="I3687" s="156"/>
      <c r="K3687" s="58"/>
      <c r="M3687" s="163"/>
      <c r="N3687" s="163"/>
    </row>
    <row r="3688" spans="4:14" ht="11.45" customHeight="1" x14ac:dyDescent="0.2">
      <c r="D3688" s="58"/>
      <c r="G3688" s="58"/>
      <c r="H3688" s="58"/>
      <c r="I3688" s="156"/>
      <c r="K3688" s="58"/>
      <c r="M3688" s="163"/>
      <c r="N3688" s="163"/>
    </row>
    <row r="3689" spans="4:14" ht="11.45" customHeight="1" x14ac:dyDescent="0.2">
      <c r="D3689" s="58"/>
      <c r="G3689" s="58"/>
      <c r="H3689" s="58"/>
      <c r="I3689" s="156"/>
      <c r="K3689" s="58"/>
      <c r="M3689" s="163"/>
      <c r="N3689" s="163"/>
    </row>
    <row r="3690" spans="4:14" ht="11.45" customHeight="1" x14ac:dyDescent="0.2">
      <c r="D3690" s="58"/>
      <c r="G3690" s="58"/>
      <c r="H3690" s="58"/>
      <c r="I3690" s="156"/>
      <c r="K3690" s="58"/>
      <c r="M3690" s="163"/>
      <c r="N3690" s="163"/>
    </row>
    <row r="3691" spans="4:14" ht="11.45" customHeight="1" x14ac:dyDescent="0.2">
      <c r="D3691" s="58"/>
      <c r="G3691" s="58"/>
      <c r="H3691" s="58"/>
      <c r="I3691" s="156"/>
      <c r="K3691" s="58"/>
      <c r="M3691" s="163"/>
      <c r="N3691" s="163"/>
    </row>
    <row r="3692" spans="4:14" ht="11.45" customHeight="1" x14ac:dyDescent="0.2">
      <c r="D3692" s="58"/>
      <c r="G3692" s="58"/>
      <c r="H3692" s="58"/>
      <c r="I3692" s="156"/>
      <c r="K3692" s="58"/>
      <c r="M3692" s="163"/>
      <c r="N3692" s="163"/>
    </row>
    <row r="3693" spans="4:14" ht="11.45" customHeight="1" x14ac:dyDescent="0.2">
      <c r="D3693" s="58"/>
      <c r="G3693" s="58"/>
      <c r="H3693" s="58"/>
      <c r="I3693" s="156"/>
      <c r="K3693" s="58"/>
      <c r="M3693" s="163"/>
      <c r="N3693" s="163"/>
    </row>
    <row r="3694" spans="4:14" ht="11.45" customHeight="1" x14ac:dyDescent="0.2">
      <c r="D3694" s="58"/>
      <c r="G3694" s="58"/>
      <c r="H3694" s="58"/>
      <c r="I3694" s="156"/>
      <c r="K3694" s="58"/>
      <c r="M3694" s="163"/>
      <c r="N3694" s="163"/>
    </row>
    <row r="3695" spans="4:14" ht="11.45" customHeight="1" x14ac:dyDescent="0.2">
      <c r="D3695" s="58"/>
      <c r="G3695" s="58"/>
      <c r="H3695" s="58"/>
      <c r="I3695" s="156"/>
      <c r="K3695" s="58"/>
      <c r="M3695" s="163"/>
      <c r="N3695" s="163"/>
    </row>
    <row r="3696" spans="4:14" ht="11.45" customHeight="1" x14ac:dyDescent="0.2">
      <c r="D3696" s="58"/>
      <c r="G3696" s="58"/>
      <c r="H3696" s="58"/>
      <c r="I3696" s="156"/>
      <c r="K3696" s="58"/>
      <c r="M3696" s="163"/>
      <c r="N3696" s="163"/>
    </row>
    <row r="3697" spans="4:14" ht="11.45" customHeight="1" x14ac:dyDescent="0.2">
      <c r="D3697" s="58"/>
      <c r="G3697" s="58"/>
      <c r="H3697" s="58"/>
      <c r="I3697" s="156"/>
      <c r="K3697" s="58"/>
      <c r="M3697" s="163"/>
      <c r="N3697" s="163"/>
    </row>
    <row r="3698" spans="4:14" ht="11.45" customHeight="1" x14ac:dyDescent="0.2">
      <c r="D3698" s="58"/>
      <c r="G3698" s="58"/>
      <c r="H3698" s="58"/>
      <c r="I3698" s="156"/>
      <c r="K3698" s="58"/>
      <c r="M3698" s="163"/>
      <c r="N3698" s="163"/>
    </row>
    <row r="3699" spans="4:14" ht="11.45" customHeight="1" x14ac:dyDescent="0.2">
      <c r="D3699" s="58"/>
      <c r="G3699" s="58"/>
      <c r="H3699" s="58"/>
      <c r="I3699" s="156"/>
      <c r="K3699" s="58"/>
      <c r="M3699" s="163"/>
      <c r="N3699" s="163"/>
    </row>
    <row r="3700" spans="4:14" ht="11.45" customHeight="1" x14ac:dyDescent="0.2">
      <c r="D3700" s="58"/>
      <c r="G3700" s="58"/>
      <c r="H3700" s="58"/>
      <c r="I3700" s="156"/>
      <c r="K3700" s="58"/>
      <c r="M3700" s="163"/>
      <c r="N3700" s="163"/>
    </row>
    <row r="3701" spans="4:14" ht="11.45" customHeight="1" x14ac:dyDescent="0.2">
      <c r="D3701" s="58"/>
      <c r="G3701" s="58"/>
      <c r="H3701" s="58"/>
      <c r="I3701" s="156"/>
      <c r="K3701" s="58"/>
      <c r="M3701" s="163"/>
      <c r="N3701" s="163"/>
    </row>
    <row r="3702" spans="4:14" ht="11.45" customHeight="1" x14ac:dyDescent="0.2">
      <c r="D3702" s="58"/>
      <c r="G3702" s="58"/>
      <c r="H3702" s="58"/>
      <c r="I3702" s="156"/>
      <c r="K3702" s="58"/>
      <c r="M3702" s="163"/>
      <c r="N3702" s="163"/>
    </row>
    <row r="3703" spans="4:14" ht="11.45" customHeight="1" x14ac:dyDescent="0.2">
      <c r="D3703" s="58"/>
      <c r="G3703" s="58"/>
      <c r="H3703" s="58"/>
      <c r="I3703" s="156"/>
      <c r="K3703" s="58"/>
      <c r="M3703" s="163"/>
      <c r="N3703" s="163"/>
    </row>
    <row r="3704" spans="4:14" ht="11.45" customHeight="1" x14ac:dyDescent="0.2">
      <c r="D3704" s="58"/>
      <c r="G3704" s="58"/>
      <c r="H3704" s="58"/>
      <c r="I3704" s="156"/>
      <c r="K3704" s="58"/>
      <c r="M3704" s="163"/>
      <c r="N3704" s="163"/>
    </row>
    <row r="3705" spans="4:14" ht="11.45" customHeight="1" x14ac:dyDescent="0.2">
      <c r="D3705" s="58"/>
      <c r="G3705" s="58"/>
      <c r="H3705" s="58"/>
      <c r="I3705" s="156"/>
      <c r="K3705" s="58"/>
      <c r="M3705" s="163"/>
      <c r="N3705" s="163"/>
    </row>
    <row r="3706" spans="4:14" ht="11.45" customHeight="1" x14ac:dyDescent="0.2">
      <c r="D3706" s="58"/>
      <c r="G3706" s="58"/>
      <c r="H3706" s="58"/>
      <c r="I3706" s="156"/>
      <c r="K3706" s="58"/>
      <c r="M3706" s="163"/>
      <c r="N3706" s="163"/>
    </row>
    <row r="3707" spans="4:14" ht="11.45" customHeight="1" x14ac:dyDescent="0.2">
      <c r="D3707" s="58"/>
      <c r="G3707" s="58"/>
      <c r="H3707" s="58"/>
      <c r="I3707" s="156"/>
      <c r="K3707" s="58"/>
      <c r="M3707" s="163"/>
      <c r="N3707" s="163"/>
    </row>
    <row r="3708" spans="4:14" ht="11.45" customHeight="1" x14ac:dyDescent="0.2">
      <c r="D3708" s="58"/>
      <c r="G3708" s="58"/>
      <c r="H3708" s="58"/>
      <c r="I3708" s="156"/>
      <c r="K3708" s="58"/>
      <c r="M3708" s="163"/>
      <c r="N3708" s="163"/>
    </row>
    <row r="3709" spans="4:14" ht="11.45" customHeight="1" x14ac:dyDescent="0.2">
      <c r="D3709" s="58"/>
      <c r="G3709" s="58"/>
      <c r="H3709" s="58"/>
      <c r="I3709" s="156"/>
      <c r="K3709" s="58"/>
      <c r="M3709" s="163"/>
      <c r="N3709" s="163"/>
    </row>
    <row r="3710" spans="4:14" ht="11.45" customHeight="1" x14ac:dyDescent="0.2">
      <c r="D3710" s="58"/>
      <c r="G3710" s="58"/>
      <c r="H3710" s="58"/>
      <c r="I3710" s="156"/>
      <c r="K3710" s="58"/>
      <c r="M3710" s="163"/>
      <c r="N3710" s="163"/>
    </row>
    <row r="3711" spans="4:14" ht="11.45" customHeight="1" x14ac:dyDescent="0.2">
      <c r="D3711" s="58"/>
      <c r="G3711" s="58"/>
      <c r="H3711" s="58"/>
      <c r="I3711" s="156"/>
      <c r="K3711" s="58"/>
      <c r="M3711" s="163"/>
      <c r="N3711" s="163"/>
    </row>
    <row r="3712" spans="4:14" ht="11.45" customHeight="1" x14ac:dyDescent="0.2">
      <c r="D3712" s="58"/>
      <c r="G3712" s="58"/>
      <c r="H3712" s="58"/>
      <c r="I3712" s="156"/>
      <c r="K3712" s="58"/>
      <c r="M3712" s="163"/>
      <c r="N3712" s="163"/>
    </row>
    <row r="3713" spans="4:14" ht="11.45" customHeight="1" x14ac:dyDescent="0.2">
      <c r="D3713" s="58"/>
      <c r="G3713" s="58"/>
      <c r="H3713" s="58"/>
      <c r="I3713" s="156"/>
      <c r="K3713" s="58"/>
      <c r="M3713" s="163"/>
      <c r="N3713" s="163"/>
    </row>
    <row r="3714" spans="4:14" ht="11.45" customHeight="1" x14ac:dyDescent="0.2">
      <c r="D3714" s="58"/>
      <c r="G3714" s="58"/>
      <c r="H3714" s="58"/>
      <c r="I3714" s="156"/>
      <c r="K3714" s="58"/>
      <c r="M3714" s="163"/>
      <c r="N3714" s="163"/>
    </row>
    <row r="3715" spans="4:14" ht="11.45" customHeight="1" x14ac:dyDescent="0.2">
      <c r="D3715" s="58"/>
      <c r="G3715" s="58"/>
      <c r="H3715" s="58"/>
      <c r="I3715" s="156"/>
      <c r="K3715" s="58"/>
      <c r="M3715" s="163"/>
      <c r="N3715" s="163"/>
    </row>
    <row r="3716" spans="4:14" ht="11.45" customHeight="1" x14ac:dyDescent="0.2">
      <c r="D3716" s="58"/>
      <c r="G3716" s="58"/>
      <c r="H3716" s="58"/>
      <c r="I3716" s="156"/>
      <c r="K3716" s="58"/>
      <c r="M3716" s="163"/>
      <c r="N3716" s="163"/>
    </row>
    <row r="3717" spans="4:14" ht="11.45" customHeight="1" x14ac:dyDescent="0.2">
      <c r="D3717" s="58"/>
      <c r="G3717" s="58"/>
      <c r="H3717" s="58"/>
      <c r="I3717" s="156"/>
      <c r="K3717" s="58"/>
      <c r="M3717" s="163"/>
      <c r="N3717" s="163"/>
    </row>
    <row r="3718" spans="4:14" ht="11.45" customHeight="1" x14ac:dyDescent="0.2">
      <c r="D3718" s="58"/>
      <c r="G3718" s="58"/>
      <c r="H3718" s="58"/>
      <c r="I3718" s="156"/>
      <c r="K3718" s="58"/>
      <c r="M3718" s="163"/>
      <c r="N3718" s="163"/>
    </row>
    <row r="3719" spans="4:14" ht="11.45" customHeight="1" x14ac:dyDescent="0.2">
      <c r="D3719" s="58"/>
      <c r="G3719" s="58"/>
      <c r="H3719" s="58"/>
      <c r="I3719" s="156"/>
      <c r="K3719" s="58"/>
      <c r="M3719" s="163"/>
      <c r="N3719" s="163"/>
    </row>
    <row r="3720" spans="4:14" ht="11.45" customHeight="1" x14ac:dyDescent="0.2">
      <c r="D3720" s="58"/>
      <c r="G3720" s="58"/>
      <c r="H3720" s="58"/>
      <c r="I3720" s="156"/>
      <c r="K3720" s="58"/>
      <c r="M3720" s="163"/>
      <c r="N3720" s="163"/>
    </row>
    <row r="3721" spans="4:14" ht="11.45" customHeight="1" x14ac:dyDescent="0.2">
      <c r="D3721" s="58"/>
      <c r="G3721" s="58"/>
      <c r="H3721" s="58"/>
      <c r="I3721" s="156"/>
      <c r="K3721" s="58"/>
      <c r="M3721" s="163"/>
      <c r="N3721" s="163"/>
    </row>
    <row r="3722" spans="4:14" ht="11.45" customHeight="1" x14ac:dyDescent="0.2">
      <c r="D3722" s="58"/>
      <c r="G3722" s="58"/>
      <c r="H3722" s="58"/>
      <c r="I3722" s="156"/>
      <c r="K3722" s="58"/>
      <c r="M3722" s="163"/>
      <c r="N3722" s="163"/>
    </row>
    <row r="3723" spans="4:14" ht="11.45" customHeight="1" x14ac:dyDescent="0.2">
      <c r="D3723" s="58"/>
      <c r="G3723" s="58"/>
      <c r="H3723" s="58"/>
      <c r="I3723" s="156"/>
      <c r="K3723" s="58"/>
      <c r="M3723" s="163"/>
      <c r="N3723" s="163"/>
    </row>
    <row r="3724" spans="4:14" ht="11.45" customHeight="1" x14ac:dyDescent="0.2">
      <c r="D3724" s="58"/>
      <c r="G3724" s="58"/>
      <c r="H3724" s="58"/>
      <c r="I3724" s="156"/>
      <c r="K3724" s="58"/>
      <c r="M3724" s="163"/>
      <c r="N3724" s="163"/>
    </row>
    <row r="3725" spans="4:14" ht="11.45" customHeight="1" x14ac:dyDescent="0.2">
      <c r="D3725" s="58"/>
      <c r="G3725" s="58"/>
      <c r="H3725" s="58"/>
      <c r="I3725" s="156"/>
      <c r="K3725" s="58"/>
      <c r="M3725" s="163"/>
      <c r="N3725" s="163"/>
    </row>
    <row r="3726" spans="4:14" ht="11.45" customHeight="1" x14ac:dyDescent="0.2">
      <c r="D3726" s="58"/>
      <c r="G3726" s="58"/>
      <c r="H3726" s="58"/>
      <c r="I3726" s="156"/>
      <c r="K3726" s="58"/>
      <c r="M3726" s="163"/>
      <c r="N3726" s="163"/>
    </row>
    <row r="3727" spans="4:14" ht="11.45" customHeight="1" x14ac:dyDescent="0.2">
      <c r="D3727" s="58"/>
      <c r="G3727" s="58"/>
      <c r="H3727" s="58"/>
      <c r="I3727" s="156"/>
      <c r="K3727" s="58"/>
      <c r="M3727" s="163"/>
      <c r="N3727" s="163"/>
    </row>
    <row r="3728" spans="4:14" ht="11.45" customHeight="1" x14ac:dyDescent="0.2">
      <c r="D3728" s="58"/>
      <c r="G3728" s="58"/>
      <c r="H3728" s="58"/>
      <c r="I3728" s="156"/>
      <c r="K3728" s="58"/>
      <c r="M3728" s="163"/>
      <c r="N3728" s="163"/>
    </row>
    <row r="3729" spans="4:14" ht="11.45" customHeight="1" x14ac:dyDescent="0.2">
      <c r="D3729" s="58"/>
      <c r="G3729" s="58"/>
      <c r="H3729" s="58"/>
      <c r="I3729" s="156"/>
      <c r="K3729" s="58"/>
      <c r="M3729" s="163"/>
      <c r="N3729" s="163"/>
    </row>
    <row r="3730" spans="4:14" ht="11.45" customHeight="1" x14ac:dyDescent="0.2">
      <c r="D3730" s="58"/>
      <c r="G3730" s="58"/>
      <c r="H3730" s="58"/>
      <c r="I3730" s="156"/>
      <c r="K3730" s="58"/>
      <c r="M3730" s="163"/>
      <c r="N3730" s="163"/>
    </row>
    <row r="3731" spans="4:14" ht="11.45" customHeight="1" x14ac:dyDescent="0.2">
      <c r="D3731" s="58"/>
      <c r="G3731" s="58"/>
      <c r="H3731" s="58"/>
      <c r="I3731" s="156"/>
      <c r="K3731" s="58"/>
      <c r="M3731" s="163"/>
      <c r="N3731" s="163"/>
    </row>
    <row r="3732" spans="4:14" ht="11.45" customHeight="1" x14ac:dyDescent="0.2">
      <c r="D3732" s="58"/>
      <c r="G3732" s="58"/>
      <c r="H3732" s="58"/>
      <c r="I3732" s="156"/>
      <c r="K3732" s="58"/>
      <c r="M3732" s="163"/>
      <c r="N3732" s="163"/>
    </row>
    <row r="3733" spans="4:14" ht="11.45" customHeight="1" x14ac:dyDescent="0.2">
      <c r="D3733" s="58"/>
      <c r="G3733" s="58"/>
      <c r="H3733" s="58"/>
      <c r="I3733" s="156"/>
      <c r="K3733" s="58"/>
      <c r="M3733" s="163"/>
      <c r="N3733" s="163"/>
    </row>
    <row r="3734" spans="4:14" ht="11.45" customHeight="1" x14ac:dyDescent="0.2">
      <c r="D3734" s="58"/>
      <c r="G3734" s="58"/>
      <c r="H3734" s="58"/>
      <c r="I3734" s="156"/>
      <c r="K3734" s="58"/>
      <c r="M3734" s="163"/>
      <c r="N3734" s="163"/>
    </row>
    <row r="3735" spans="4:14" ht="11.45" customHeight="1" x14ac:dyDescent="0.2">
      <c r="D3735" s="58"/>
      <c r="G3735" s="58"/>
      <c r="H3735" s="58"/>
      <c r="I3735" s="156"/>
      <c r="K3735" s="58"/>
      <c r="M3735" s="163"/>
      <c r="N3735" s="163"/>
    </row>
    <row r="3736" spans="4:14" ht="11.45" customHeight="1" x14ac:dyDescent="0.2">
      <c r="D3736" s="58"/>
      <c r="G3736" s="58"/>
      <c r="H3736" s="58"/>
      <c r="I3736" s="156"/>
      <c r="K3736" s="58"/>
      <c r="M3736" s="163"/>
      <c r="N3736" s="163"/>
    </row>
    <row r="3737" spans="4:14" ht="11.45" customHeight="1" x14ac:dyDescent="0.2">
      <c r="D3737" s="58"/>
      <c r="G3737" s="58"/>
      <c r="H3737" s="58"/>
      <c r="I3737" s="156"/>
      <c r="K3737" s="58"/>
      <c r="M3737" s="163"/>
      <c r="N3737" s="163"/>
    </row>
    <row r="3738" spans="4:14" ht="11.45" customHeight="1" x14ac:dyDescent="0.2">
      <c r="D3738" s="58"/>
      <c r="G3738" s="58"/>
      <c r="H3738" s="58"/>
      <c r="I3738" s="156"/>
      <c r="K3738" s="58"/>
      <c r="M3738" s="163"/>
      <c r="N3738" s="163"/>
    </row>
    <row r="3739" spans="4:14" ht="11.45" customHeight="1" x14ac:dyDescent="0.2">
      <c r="D3739" s="58"/>
      <c r="G3739" s="58"/>
      <c r="H3739" s="58"/>
      <c r="I3739" s="156"/>
      <c r="K3739" s="58"/>
      <c r="M3739" s="163"/>
      <c r="N3739" s="163"/>
    </row>
    <row r="3740" spans="4:14" ht="11.45" customHeight="1" x14ac:dyDescent="0.2">
      <c r="D3740" s="58"/>
      <c r="G3740" s="58"/>
      <c r="H3740" s="58"/>
      <c r="I3740" s="156"/>
      <c r="K3740" s="58"/>
      <c r="M3740" s="163"/>
      <c r="N3740" s="163"/>
    </row>
    <row r="3741" spans="4:14" ht="11.45" customHeight="1" x14ac:dyDescent="0.2">
      <c r="D3741" s="58"/>
      <c r="G3741" s="58"/>
      <c r="H3741" s="58"/>
      <c r="I3741" s="156"/>
      <c r="K3741" s="58"/>
      <c r="M3741" s="163"/>
      <c r="N3741" s="163"/>
    </row>
    <row r="3742" spans="4:14" ht="11.45" customHeight="1" x14ac:dyDescent="0.2">
      <c r="D3742" s="58"/>
      <c r="G3742" s="58"/>
      <c r="H3742" s="58"/>
      <c r="I3742" s="156"/>
      <c r="K3742" s="58"/>
      <c r="M3742" s="163"/>
      <c r="N3742" s="163"/>
    </row>
    <row r="3743" spans="4:14" ht="11.45" customHeight="1" x14ac:dyDescent="0.2">
      <c r="D3743" s="58"/>
      <c r="G3743" s="58"/>
      <c r="H3743" s="58"/>
      <c r="I3743" s="156"/>
      <c r="K3743" s="58"/>
      <c r="M3743" s="163"/>
      <c r="N3743" s="163"/>
    </row>
    <row r="3744" spans="4:14" ht="11.45" customHeight="1" x14ac:dyDescent="0.2">
      <c r="D3744" s="58"/>
      <c r="G3744" s="58"/>
      <c r="H3744" s="58"/>
      <c r="I3744" s="156"/>
      <c r="K3744" s="58"/>
      <c r="M3744" s="163"/>
      <c r="N3744" s="163"/>
    </row>
    <row r="3745" spans="4:14" ht="11.45" customHeight="1" x14ac:dyDescent="0.2">
      <c r="D3745" s="58"/>
      <c r="G3745" s="58"/>
      <c r="H3745" s="58"/>
      <c r="I3745" s="156"/>
      <c r="K3745" s="58"/>
      <c r="M3745" s="163"/>
      <c r="N3745" s="163"/>
    </row>
    <row r="3746" spans="4:14" ht="11.45" customHeight="1" x14ac:dyDescent="0.2">
      <c r="D3746" s="58"/>
      <c r="G3746" s="58"/>
      <c r="H3746" s="58"/>
      <c r="I3746" s="156"/>
      <c r="K3746" s="58"/>
      <c r="M3746" s="163"/>
      <c r="N3746" s="163"/>
    </row>
    <row r="3747" spans="4:14" ht="11.45" customHeight="1" x14ac:dyDescent="0.2">
      <c r="D3747" s="58"/>
      <c r="G3747" s="58"/>
      <c r="H3747" s="58"/>
      <c r="I3747" s="156"/>
      <c r="K3747" s="58"/>
      <c r="M3747" s="163"/>
      <c r="N3747" s="163"/>
    </row>
    <row r="3748" spans="4:14" ht="11.45" customHeight="1" x14ac:dyDescent="0.2">
      <c r="D3748" s="58"/>
      <c r="G3748" s="58"/>
      <c r="H3748" s="58"/>
      <c r="I3748" s="156"/>
      <c r="K3748" s="58"/>
      <c r="M3748" s="163"/>
      <c r="N3748" s="163"/>
    </row>
    <row r="3749" spans="4:14" ht="11.45" customHeight="1" x14ac:dyDescent="0.2">
      <c r="D3749" s="58"/>
      <c r="G3749" s="58"/>
      <c r="H3749" s="58"/>
      <c r="I3749" s="156"/>
      <c r="K3749" s="58"/>
      <c r="M3749" s="163"/>
      <c r="N3749" s="163"/>
    </row>
    <row r="3750" spans="4:14" ht="11.45" customHeight="1" x14ac:dyDescent="0.2">
      <c r="D3750" s="58"/>
      <c r="G3750" s="58"/>
      <c r="H3750" s="58"/>
      <c r="I3750" s="156"/>
      <c r="K3750" s="58"/>
      <c r="M3750" s="163"/>
      <c r="N3750" s="163"/>
    </row>
    <row r="3751" spans="4:14" ht="11.45" customHeight="1" x14ac:dyDescent="0.2">
      <c r="D3751" s="58"/>
      <c r="G3751" s="58"/>
      <c r="H3751" s="58"/>
      <c r="I3751" s="156"/>
      <c r="K3751" s="58"/>
      <c r="M3751" s="163"/>
      <c r="N3751" s="163"/>
    </row>
    <row r="3752" spans="4:14" ht="11.45" customHeight="1" x14ac:dyDescent="0.2">
      <c r="D3752" s="58"/>
      <c r="G3752" s="58"/>
      <c r="H3752" s="58"/>
      <c r="I3752" s="156"/>
      <c r="K3752" s="58"/>
      <c r="M3752" s="163"/>
      <c r="N3752" s="163"/>
    </row>
    <row r="3753" spans="4:14" ht="11.45" customHeight="1" x14ac:dyDescent="0.2">
      <c r="D3753" s="58"/>
      <c r="G3753" s="58"/>
      <c r="H3753" s="58"/>
      <c r="I3753" s="156"/>
      <c r="K3753" s="58"/>
      <c r="M3753" s="163"/>
      <c r="N3753" s="163"/>
    </row>
    <row r="3754" spans="4:14" ht="11.45" customHeight="1" x14ac:dyDescent="0.2">
      <c r="D3754" s="58"/>
      <c r="G3754" s="58"/>
      <c r="H3754" s="58"/>
      <c r="I3754" s="156"/>
      <c r="K3754" s="58"/>
      <c r="M3754" s="163"/>
      <c r="N3754" s="163"/>
    </row>
    <row r="3755" spans="4:14" ht="11.45" customHeight="1" x14ac:dyDescent="0.2">
      <c r="D3755" s="58"/>
      <c r="G3755" s="58"/>
      <c r="H3755" s="58"/>
      <c r="I3755" s="156"/>
      <c r="K3755" s="58"/>
      <c r="M3755" s="163"/>
      <c r="N3755" s="163"/>
    </row>
    <row r="3756" spans="4:14" ht="11.45" customHeight="1" x14ac:dyDescent="0.2">
      <c r="D3756" s="58"/>
      <c r="G3756" s="58"/>
      <c r="H3756" s="58"/>
      <c r="I3756" s="156"/>
      <c r="K3756" s="58"/>
      <c r="M3756" s="163"/>
      <c r="N3756" s="163"/>
    </row>
    <row r="3757" spans="4:14" ht="11.45" customHeight="1" x14ac:dyDescent="0.2">
      <c r="D3757" s="58"/>
      <c r="G3757" s="58"/>
      <c r="H3757" s="58"/>
      <c r="I3757" s="156"/>
      <c r="K3757" s="58"/>
      <c r="M3757" s="163"/>
      <c r="N3757" s="163"/>
    </row>
    <row r="3758" spans="4:14" ht="11.45" customHeight="1" x14ac:dyDescent="0.2">
      <c r="D3758" s="58"/>
      <c r="G3758" s="58"/>
      <c r="H3758" s="58"/>
      <c r="I3758" s="156"/>
      <c r="K3758" s="58"/>
      <c r="M3758" s="163"/>
      <c r="N3758" s="163"/>
    </row>
    <row r="3759" spans="4:14" ht="11.45" customHeight="1" x14ac:dyDescent="0.2">
      <c r="D3759" s="58"/>
      <c r="G3759" s="58"/>
      <c r="H3759" s="58"/>
      <c r="I3759" s="156"/>
      <c r="K3759" s="58"/>
      <c r="M3759" s="163"/>
      <c r="N3759" s="163"/>
    </row>
    <row r="3760" spans="4:14" ht="11.45" customHeight="1" x14ac:dyDescent="0.2">
      <c r="D3760" s="58"/>
      <c r="G3760" s="58"/>
      <c r="H3760" s="58"/>
      <c r="I3760" s="156"/>
      <c r="K3760" s="58"/>
      <c r="M3760" s="163"/>
      <c r="N3760" s="163"/>
    </row>
    <row r="3761" spans="4:14" ht="11.45" customHeight="1" x14ac:dyDescent="0.2">
      <c r="D3761" s="58"/>
      <c r="G3761" s="58"/>
      <c r="H3761" s="58"/>
      <c r="I3761" s="156"/>
      <c r="K3761" s="58"/>
      <c r="M3761" s="163"/>
      <c r="N3761" s="163"/>
    </row>
    <row r="3762" spans="4:14" ht="11.45" customHeight="1" x14ac:dyDescent="0.2">
      <c r="D3762" s="58"/>
      <c r="G3762" s="58"/>
      <c r="H3762" s="58"/>
      <c r="I3762" s="156"/>
      <c r="K3762" s="58"/>
      <c r="M3762" s="163"/>
      <c r="N3762" s="163"/>
    </row>
    <row r="3763" spans="4:14" ht="11.45" customHeight="1" x14ac:dyDescent="0.2">
      <c r="D3763" s="58"/>
      <c r="G3763" s="58"/>
      <c r="H3763" s="58"/>
      <c r="I3763" s="156"/>
      <c r="K3763" s="58"/>
      <c r="M3763" s="163"/>
      <c r="N3763" s="163"/>
    </row>
    <row r="3764" spans="4:14" ht="11.45" customHeight="1" x14ac:dyDescent="0.2">
      <c r="D3764" s="58"/>
      <c r="G3764" s="58"/>
      <c r="H3764" s="58"/>
      <c r="I3764" s="156"/>
      <c r="K3764" s="58"/>
      <c r="M3764" s="163"/>
      <c r="N3764" s="163"/>
    </row>
    <row r="3765" spans="4:14" ht="11.45" customHeight="1" x14ac:dyDescent="0.2">
      <c r="D3765" s="58"/>
      <c r="G3765" s="58"/>
      <c r="H3765" s="58"/>
      <c r="I3765" s="156"/>
      <c r="K3765" s="58"/>
      <c r="M3765" s="163"/>
      <c r="N3765" s="163"/>
    </row>
    <row r="3766" spans="4:14" ht="11.45" customHeight="1" x14ac:dyDescent="0.2">
      <c r="D3766" s="58"/>
      <c r="G3766" s="58"/>
      <c r="H3766" s="58"/>
      <c r="I3766" s="156"/>
      <c r="K3766" s="58"/>
      <c r="M3766" s="163"/>
      <c r="N3766" s="163"/>
    </row>
    <row r="3767" spans="4:14" ht="11.45" customHeight="1" x14ac:dyDescent="0.2">
      <c r="D3767" s="58"/>
      <c r="G3767" s="58"/>
      <c r="H3767" s="58"/>
      <c r="I3767" s="156"/>
      <c r="K3767" s="58"/>
      <c r="M3767" s="163"/>
      <c r="N3767" s="163"/>
    </row>
    <row r="3768" spans="4:14" ht="11.45" customHeight="1" x14ac:dyDescent="0.2">
      <c r="D3768" s="58"/>
      <c r="G3768" s="58"/>
      <c r="H3768" s="58"/>
      <c r="I3768" s="156"/>
      <c r="K3768" s="58"/>
      <c r="M3768" s="163"/>
      <c r="N3768" s="163"/>
    </row>
    <row r="3769" spans="4:14" ht="11.45" customHeight="1" x14ac:dyDescent="0.2">
      <c r="D3769" s="58"/>
      <c r="G3769" s="58"/>
      <c r="H3769" s="58"/>
      <c r="I3769" s="156"/>
      <c r="K3769" s="58"/>
      <c r="M3769" s="163"/>
      <c r="N3769" s="163"/>
    </row>
    <row r="3770" spans="4:14" ht="11.45" customHeight="1" x14ac:dyDescent="0.2">
      <c r="D3770" s="58"/>
      <c r="G3770" s="58"/>
      <c r="H3770" s="58"/>
      <c r="I3770" s="156"/>
      <c r="K3770" s="58"/>
      <c r="M3770" s="163"/>
      <c r="N3770" s="163"/>
    </row>
    <row r="3771" spans="4:14" ht="11.45" customHeight="1" x14ac:dyDescent="0.2">
      <c r="D3771" s="58"/>
      <c r="G3771" s="58"/>
      <c r="H3771" s="58"/>
      <c r="I3771" s="156"/>
      <c r="K3771" s="58"/>
      <c r="M3771" s="163"/>
      <c r="N3771" s="163"/>
    </row>
    <row r="3772" spans="4:14" ht="11.45" customHeight="1" x14ac:dyDescent="0.2">
      <c r="D3772" s="58"/>
      <c r="G3772" s="58"/>
      <c r="H3772" s="58"/>
      <c r="I3772" s="156"/>
      <c r="K3772" s="58"/>
      <c r="M3772" s="163"/>
      <c r="N3772" s="163"/>
    </row>
    <row r="3773" spans="4:14" ht="11.45" customHeight="1" x14ac:dyDescent="0.2">
      <c r="D3773" s="58"/>
      <c r="G3773" s="58"/>
      <c r="H3773" s="58"/>
      <c r="I3773" s="156"/>
      <c r="K3773" s="58"/>
      <c r="M3773" s="163"/>
      <c r="N3773" s="163"/>
    </row>
    <row r="3774" spans="4:14" ht="11.45" customHeight="1" x14ac:dyDescent="0.2">
      <c r="D3774" s="58"/>
      <c r="G3774" s="58"/>
      <c r="H3774" s="58"/>
      <c r="I3774" s="156"/>
      <c r="K3774" s="58"/>
      <c r="M3774" s="163"/>
      <c r="N3774" s="163"/>
    </row>
    <row r="3775" spans="4:14" ht="11.45" customHeight="1" x14ac:dyDescent="0.2">
      <c r="D3775" s="58"/>
      <c r="G3775" s="58"/>
      <c r="H3775" s="58"/>
      <c r="I3775" s="156"/>
      <c r="K3775" s="58"/>
      <c r="M3775" s="163"/>
      <c r="N3775" s="163"/>
    </row>
    <row r="3776" spans="4:14" ht="11.45" customHeight="1" x14ac:dyDescent="0.2">
      <c r="D3776" s="58"/>
      <c r="G3776" s="58"/>
      <c r="H3776" s="58"/>
      <c r="I3776" s="156"/>
      <c r="K3776" s="58"/>
      <c r="M3776" s="163"/>
      <c r="N3776" s="163"/>
    </row>
    <row r="3777" spans="4:14" ht="11.45" customHeight="1" x14ac:dyDescent="0.2">
      <c r="D3777" s="58"/>
      <c r="G3777" s="58"/>
      <c r="H3777" s="58"/>
      <c r="I3777" s="156"/>
      <c r="K3777" s="58"/>
      <c r="M3777" s="163"/>
      <c r="N3777" s="163"/>
    </row>
    <row r="3778" spans="4:14" ht="11.45" customHeight="1" x14ac:dyDescent="0.2">
      <c r="D3778" s="58"/>
      <c r="G3778" s="58"/>
      <c r="H3778" s="58"/>
      <c r="I3778" s="156"/>
      <c r="K3778" s="58"/>
      <c r="M3778" s="163"/>
      <c r="N3778" s="163"/>
    </row>
    <row r="3779" spans="4:14" ht="11.45" customHeight="1" x14ac:dyDescent="0.2">
      <c r="D3779" s="58"/>
      <c r="G3779" s="58"/>
      <c r="H3779" s="58"/>
      <c r="I3779" s="156"/>
      <c r="K3779" s="58"/>
      <c r="M3779" s="163"/>
      <c r="N3779" s="163"/>
    </row>
    <row r="3780" spans="4:14" ht="11.45" customHeight="1" x14ac:dyDescent="0.2">
      <c r="D3780" s="58"/>
      <c r="G3780" s="58"/>
      <c r="H3780" s="58"/>
      <c r="I3780" s="156"/>
      <c r="K3780" s="58"/>
      <c r="M3780" s="163"/>
      <c r="N3780" s="163"/>
    </row>
    <row r="3781" spans="4:14" ht="11.45" customHeight="1" x14ac:dyDescent="0.2">
      <c r="D3781" s="58"/>
      <c r="G3781" s="58"/>
      <c r="H3781" s="58"/>
      <c r="I3781" s="156"/>
      <c r="K3781" s="58"/>
      <c r="M3781" s="163"/>
      <c r="N3781" s="163"/>
    </row>
    <row r="3782" spans="4:14" ht="11.45" customHeight="1" x14ac:dyDescent="0.2">
      <c r="D3782" s="58"/>
      <c r="G3782" s="58"/>
      <c r="H3782" s="58"/>
      <c r="I3782" s="156"/>
      <c r="K3782" s="58"/>
      <c r="M3782" s="163"/>
      <c r="N3782" s="163"/>
    </row>
    <row r="3783" spans="4:14" ht="11.45" customHeight="1" x14ac:dyDescent="0.2">
      <c r="D3783" s="58"/>
      <c r="G3783" s="58"/>
      <c r="H3783" s="58"/>
      <c r="I3783" s="156"/>
      <c r="K3783" s="58"/>
      <c r="M3783" s="163"/>
      <c r="N3783" s="163"/>
    </row>
    <row r="3784" spans="4:14" ht="11.45" customHeight="1" x14ac:dyDescent="0.2">
      <c r="D3784" s="58"/>
      <c r="G3784" s="58"/>
      <c r="H3784" s="58"/>
      <c r="I3784" s="156"/>
      <c r="K3784" s="58"/>
      <c r="M3784" s="163"/>
      <c r="N3784" s="163"/>
    </row>
    <row r="3785" spans="4:14" ht="11.45" customHeight="1" x14ac:dyDescent="0.2">
      <c r="D3785" s="58"/>
      <c r="G3785" s="58"/>
      <c r="H3785" s="58"/>
      <c r="I3785" s="156"/>
      <c r="K3785" s="58"/>
      <c r="M3785" s="163"/>
      <c r="N3785" s="163"/>
    </row>
    <row r="3786" spans="4:14" ht="11.45" customHeight="1" x14ac:dyDescent="0.2">
      <c r="D3786" s="58"/>
      <c r="G3786" s="58"/>
      <c r="H3786" s="58"/>
      <c r="I3786" s="156"/>
      <c r="K3786" s="58"/>
      <c r="M3786" s="163"/>
      <c r="N3786" s="163"/>
    </row>
    <row r="3787" spans="4:14" ht="11.45" customHeight="1" x14ac:dyDescent="0.2">
      <c r="D3787" s="58"/>
      <c r="G3787" s="58"/>
      <c r="H3787" s="58"/>
      <c r="I3787" s="156"/>
      <c r="K3787" s="58"/>
      <c r="M3787" s="163"/>
      <c r="N3787" s="163"/>
    </row>
    <row r="3788" spans="4:14" ht="11.45" customHeight="1" x14ac:dyDescent="0.2">
      <c r="D3788" s="58"/>
      <c r="G3788" s="58"/>
      <c r="H3788" s="58"/>
      <c r="I3788" s="156"/>
      <c r="K3788" s="58"/>
      <c r="M3788" s="163"/>
      <c r="N3788" s="163"/>
    </row>
    <row r="3789" spans="4:14" ht="11.45" customHeight="1" x14ac:dyDescent="0.2">
      <c r="D3789" s="58"/>
      <c r="G3789" s="58"/>
      <c r="H3789" s="58"/>
      <c r="I3789" s="156"/>
      <c r="K3789" s="58"/>
      <c r="M3789" s="163"/>
      <c r="N3789" s="163"/>
    </row>
    <row r="3790" spans="4:14" ht="11.45" customHeight="1" x14ac:dyDescent="0.2">
      <c r="D3790" s="58"/>
      <c r="G3790" s="58"/>
      <c r="H3790" s="58"/>
      <c r="I3790" s="156"/>
      <c r="K3790" s="58"/>
      <c r="M3790" s="163"/>
      <c r="N3790" s="163"/>
    </row>
    <row r="3791" spans="4:14" ht="11.45" customHeight="1" x14ac:dyDescent="0.2">
      <c r="D3791" s="58"/>
      <c r="G3791" s="58"/>
      <c r="H3791" s="58"/>
      <c r="I3791" s="156"/>
      <c r="K3791" s="58"/>
      <c r="M3791" s="163"/>
      <c r="N3791" s="163"/>
    </row>
    <row r="3792" spans="4:14" ht="11.45" customHeight="1" x14ac:dyDescent="0.2">
      <c r="D3792" s="58"/>
      <c r="G3792" s="58"/>
      <c r="H3792" s="58"/>
      <c r="I3792" s="156"/>
      <c r="K3792" s="58"/>
      <c r="M3792" s="163"/>
      <c r="N3792" s="163"/>
    </row>
    <row r="3793" spans="4:14" ht="11.45" customHeight="1" x14ac:dyDescent="0.2">
      <c r="D3793" s="58"/>
      <c r="G3793" s="58"/>
      <c r="H3793" s="58"/>
      <c r="I3793" s="156"/>
      <c r="K3793" s="58"/>
      <c r="M3793" s="163"/>
      <c r="N3793" s="163"/>
    </row>
    <row r="3794" spans="4:14" ht="11.45" customHeight="1" x14ac:dyDescent="0.2">
      <c r="D3794" s="58"/>
      <c r="G3794" s="58"/>
      <c r="H3794" s="58"/>
      <c r="I3794" s="156"/>
      <c r="K3794" s="58"/>
      <c r="M3794" s="163"/>
      <c r="N3794" s="163"/>
    </row>
    <row r="3795" spans="4:14" ht="11.45" customHeight="1" x14ac:dyDescent="0.2">
      <c r="D3795" s="58"/>
      <c r="G3795" s="58"/>
      <c r="H3795" s="58"/>
      <c r="I3795" s="156"/>
      <c r="K3795" s="58"/>
      <c r="M3795" s="163"/>
      <c r="N3795" s="163"/>
    </row>
    <row r="3796" spans="4:14" ht="11.45" customHeight="1" x14ac:dyDescent="0.2">
      <c r="D3796" s="58"/>
      <c r="G3796" s="58"/>
      <c r="H3796" s="58"/>
      <c r="I3796" s="156"/>
      <c r="K3796" s="58"/>
      <c r="M3796" s="163"/>
      <c r="N3796" s="163"/>
    </row>
    <row r="3797" spans="4:14" ht="11.45" customHeight="1" x14ac:dyDescent="0.2">
      <c r="D3797" s="58"/>
      <c r="G3797" s="58"/>
      <c r="H3797" s="58"/>
      <c r="I3797" s="156"/>
      <c r="K3797" s="58"/>
      <c r="M3797" s="163"/>
      <c r="N3797" s="163"/>
    </row>
    <row r="3798" spans="4:14" ht="11.45" customHeight="1" x14ac:dyDescent="0.2">
      <c r="D3798" s="58"/>
      <c r="G3798" s="58"/>
      <c r="H3798" s="58"/>
      <c r="I3798" s="156"/>
      <c r="K3798" s="58"/>
      <c r="M3798" s="163"/>
      <c r="N3798" s="163"/>
    </row>
    <row r="3799" spans="4:14" ht="11.45" customHeight="1" x14ac:dyDescent="0.2">
      <c r="D3799" s="58"/>
      <c r="G3799" s="58"/>
      <c r="H3799" s="58"/>
      <c r="I3799" s="156"/>
      <c r="K3799" s="58"/>
      <c r="M3799" s="163"/>
      <c r="N3799" s="163"/>
    </row>
    <row r="3800" spans="4:14" ht="11.45" customHeight="1" x14ac:dyDescent="0.2">
      <c r="D3800" s="58"/>
      <c r="G3800" s="58"/>
      <c r="H3800" s="58"/>
      <c r="I3800" s="156"/>
      <c r="K3800" s="58"/>
      <c r="M3800" s="163"/>
      <c r="N3800" s="163"/>
    </row>
    <row r="3801" spans="4:14" ht="11.45" customHeight="1" x14ac:dyDescent="0.2">
      <c r="D3801" s="58"/>
      <c r="G3801" s="58"/>
      <c r="H3801" s="58"/>
      <c r="I3801" s="156"/>
      <c r="K3801" s="58"/>
      <c r="M3801" s="163"/>
      <c r="N3801" s="163"/>
    </row>
    <row r="3802" spans="4:14" ht="11.45" customHeight="1" x14ac:dyDescent="0.2">
      <c r="D3802" s="58"/>
      <c r="G3802" s="58"/>
      <c r="H3802" s="58"/>
      <c r="I3802" s="156"/>
      <c r="K3802" s="58"/>
      <c r="M3802" s="163"/>
      <c r="N3802" s="163"/>
    </row>
    <row r="3803" spans="4:14" ht="11.45" customHeight="1" x14ac:dyDescent="0.2">
      <c r="D3803" s="58"/>
      <c r="G3803" s="58"/>
      <c r="H3803" s="58"/>
      <c r="I3803" s="156"/>
      <c r="K3803" s="58"/>
      <c r="M3803" s="163"/>
      <c r="N3803" s="163"/>
    </row>
    <row r="3804" spans="4:14" ht="11.45" customHeight="1" x14ac:dyDescent="0.2">
      <c r="D3804" s="58"/>
      <c r="G3804" s="58"/>
      <c r="H3804" s="58"/>
      <c r="I3804" s="156"/>
      <c r="K3804" s="58"/>
      <c r="M3804" s="163"/>
      <c r="N3804" s="163"/>
    </row>
    <row r="3805" spans="4:14" ht="11.45" customHeight="1" x14ac:dyDescent="0.2">
      <c r="D3805" s="58"/>
      <c r="G3805" s="58"/>
      <c r="H3805" s="58"/>
      <c r="I3805" s="156"/>
      <c r="K3805" s="58"/>
      <c r="M3805" s="163"/>
      <c r="N3805" s="163"/>
    </row>
    <row r="3806" spans="4:14" ht="11.45" customHeight="1" x14ac:dyDescent="0.2">
      <c r="D3806" s="58"/>
      <c r="G3806" s="58"/>
      <c r="H3806" s="58"/>
      <c r="I3806" s="156"/>
      <c r="K3806" s="58"/>
      <c r="M3806" s="163"/>
      <c r="N3806" s="163"/>
    </row>
    <row r="3807" spans="4:14" ht="11.45" customHeight="1" x14ac:dyDescent="0.2">
      <c r="D3807" s="58"/>
      <c r="G3807" s="58"/>
      <c r="H3807" s="58"/>
      <c r="I3807" s="156"/>
      <c r="K3807" s="58"/>
      <c r="M3807" s="163"/>
      <c r="N3807" s="163"/>
    </row>
    <row r="3808" spans="4:14" ht="11.45" customHeight="1" x14ac:dyDescent="0.2">
      <c r="D3808" s="58"/>
      <c r="G3808" s="58"/>
      <c r="H3808" s="58"/>
      <c r="I3808" s="156"/>
      <c r="K3808" s="58"/>
      <c r="M3808" s="163"/>
      <c r="N3808" s="163"/>
    </row>
    <row r="3809" spans="4:14" ht="11.45" customHeight="1" x14ac:dyDescent="0.2">
      <c r="D3809" s="58"/>
      <c r="G3809" s="58"/>
      <c r="H3809" s="58"/>
      <c r="I3809" s="156"/>
      <c r="K3809" s="58"/>
      <c r="M3809" s="163"/>
      <c r="N3809" s="163"/>
    </row>
    <row r="3810" spans="4:14" ht="11.45" customHeight="1" x14ac:dyDescent="0.2">
      <c r="D3810" s="58"/>
      <c r="G3810" s="58"/>
      <c r="H3810" s="58"/>
      <c r="I3810" s="156"/>
      <c r="K3810" s="58"/>
      <c r="M3810" s="163"/>
      <c r="N3810" s="163"/>
    </row>
    <row r="3811" spans="4:14" ht="11.45" customHeight="1" x14ac:dyDescent="0.2">
      <c r="D3811" s="58"/>
      <c r="G3811" s="58"/>
      <c r="H3811" s="58"/>
      <c r="I3811" s="156"/>
      <c r="K3811" s="58"/>
      <c r="M3811" s="163"/>
      <c r="N3811" s="163"/>
    </row>
    <row r="3812" spans="4:14" ht="11.45" customHeight="1" x14ac:dyDescent="0.2">
      <c r="D3812" s="58"/>
      <c r="G3812" s="58"/>
      <c r="H3812" s="58"/>
      <c r="I3812" s="156"/>
      <c r="K3812" s="58"/>
      <c r="M3812" s="163"/>
      <c r="N3812" s="163"/>
    </row>
    <row r="3813" spans="4:14" ht="11.45" customHeight="1" x14ac:dyDescent="0.2">
      <c r="D3813" s="58"/>
      <c r="G3813" s="58"/>
      <c r="H3813" s="58"/>
      <c r="I3813" s="156"/>
      <c r="K3813" s="58"/>
      <c r="M3813" s="163"/>
      <c r="N3813" s="163"/>
    </row>
    <row r="3814" spans="4:14" ht="11.45" customHeight="1" x14ac:dyDescent="0.2">
      <c r="D3814" s="58"/>
      <c r="G3814" s="58"/>
      <c r="H3814" s="58"/>
      <c r="I3814" s="156"/>
      <c r="K3814" s="58"/>
      <c r="M3814" s="163"/>
      <c r="N3814" s="163"/>
    </row>
    <row r="3815" spans="4:14" ht="11.45" customHeight="1" x14ac:dyDescent="0.2">
      <c r="D3815" s="58"/>
      <c r="G3815" s="58"/>
      <c r="H3815" s="58"/>
      <c r="I3815" s="156"/>
      <c r="K3815" s="58"/>
      <c r="M3815" s="163"/>
      <c r="N3815" s="163"/>
    </row>
    <row r="3816" spans="4:14" ht="11.45" customHeight="1" x14ac:dyDescent="0.2">
      <c r="D3816" s="58"/>
      <c r="G3816" s="58"/>
      <c r="H3816" s="58"/>
      <c r="I3816" s="156"/>
      <c r="K3816" s="58"/>
      <c r="M3816" s="163"/>
      <c r="N3816" s="163"/>
    </row>
    <row r="3817" spans="4:14" ht="11.45" customHeight="1" x14ac:dyDescent="0.2">
      <c r="D3817" s="58"/>
      <c r="G3817" s="58"/>
      <c r="H3817" s="58"/>
      <c r="I3817" s="156"/>
      <c r="K3817" s="58"/>
      <c r="M3817" s="163"/>
      <c r="N3817" s="163"/>
    </row>
    <row r="3818" spans="4:14" ht="11.45" customHeight="1" x14ac:dyDescent="0.2">
      <c r="D3818" s="58"/>
      <c r="G3818" s="58"/>
      <c r="H3818" s="58"/>
      <c r="I3818" s="156"/>
      <c r="K3818" s="58"/>
      <c r="M3818" s="163"/>
      <c r="N3818" s="163"/>
    </row>
    <row r="3819" spans="4:14" ht="11.45" customHeight="1" x14ac:dyDescent="0.2">
      <c r="D3819" s="58"/>
      <c r="G3819" s="58"/>
      <c r="H3819" s="58"/>
      <c r="I3819" s="156"/>
      <c r="K3819" s="58"/>
      <c r="M3819" s="163"/>
      <c r="N3819" s="163"/>
    </row>
    <row r="3820" spans="4:14" ht="11.45" customHeight="1" x14ac:dyDescent="0.2">
      <c r="D3820" s="58"/>
      <c r="G3820" s="58"/>
      <c r="H3820" s="58"/>
      <c r="I3820" s="156"/>
      <c r="K3820" s="58"/>
      <c r="M3820" s="163"/>
      <c r="N3820" s="163"/>
    </row>
    <row r="3821" spans="4:14" ht="11.45" customHeight="1" x14ac:dyDescent="0.2">
      <c r="D3821" s="58"/>
      <c r="G3821" s="58"/>
      <c r="H3821" s="58"/>
      <c r="I3821" s="156"/>
      <c r="K3821" s="58"/>
      <c r="M3821" s="163"/>
      <c r="N3821" s="163"/>
    </row>
    <row r="3822" spans="4:14" ht="11.45" customHeight="1" x14ac:dyDescent="0.2">
      <c r="D3822" s="58"/>
      <c r="G3822" s="58"/>
      <c r="H3822" s="58"/>
      <c r="I3822" s="156"/>
      <c r="K3822" s="58"/>
      <c r="M3822" s="163"/>
      <c r="N3822" s="163"/>
    </row>
    <row r="3823" spans="4:14" ht="11.45" customHeight="1" x14ac:dyDescent="0.2">
      <c r="D3823" s="58"/>
      <c r="G3823" s="58"/>
      <c r="H3823" s="58"/>
      <c r="I3823" s="156"/>
      <c r="K3823" s="58"/>
      <c r="M3823" s="163"/>
      <c r="N3823" s="163"/>
    </row>
    <row r="3824" spans="4:14" ht="11.45" customHeight="1" x14ac:dyDescent="0.2">
      <c r="D3824" s="58"/>
      <c r="G3824" s="58"/>
      <c r="H3824" s="58"/>
      <c r="I3824" s="156"/>
      <c r="K3824" s="58"/>
      <c r="M3824" s="163"/>
      <c r="N3824" s="163"/>
    </row>
    <row r="3825" spans="4:14" ht="11.45" customHeight="1" x14ac:dyDescent="0.2">
      <c r="D3825" s="58"/>
      <c r="G3825" s="58"/>
      <c r="H3825" s="58"/>
      <c r="I3825" s="156"/>
      <c r="K3825" s="58"/>
      <c r="M3825" s="163"/>
      <c r="N3825" s="163"/>
    </row>
    <row r="3826" spans="4:14" ht="11.45" customHeight="1" x14ac:dyDescent="0.2">
      <c r="D3826" s="58"/>
      <c r="G3826" s="58"/>
      <c r="H3826" s="58"/>
      <c r="I3826" s="156"/>
      <c r="K3826" s="58"/>
      <c r="M3826" s="163"/>
      <c r="N3826" s="163"/>
    </row>
    <row r="3827" spans="4:14" ht="11.45" customHeight="1" x14ac:dyDescent="0.2">
      <c r="D3827" s="58"/>
      <c r="G3827" s="58"/>
      <c r="H3827" s="58"/>
      <c r="I3827" s="156"/>
      <c r="K3827" s="58"/>
      <c r="M3827" s="163"/>
      <c r="N3827" s="163"/>
    </row>
    <row r="3828" spans="4:14" ht="11.45" customHeight="1" x14ac:dyDescent="0.2">
      <c r="D3828" s="58"/>
      <c r="G3828" s="58"/>
      <c r="H3828" s="58"/>
      <c r="I3828" s="156"/>
      <c r="K3828" s="58"/>
      <c r="M3828" s="163"/>
      <c r="N3828" s="163"/>
    </row>
    <row r="3829" spans="4:14" ht="11.45" customHeight="1" x14ac:dyDescent="0.2">
      <c r="D3829" s="58"/>
      <c r="G3829" s="58"/>
      <c r="H3829" s="58"/>
      <c r="I3829" s="156"/>
      <c r="K3829" s="58"/>
      <c r="M3829" s="163"/>
      <c r="N3829" s="163"/>
    </row>
    <row r="3830" spans="4:14" ht="11.45" customHeight="1" x14ac:dyDescent="0.2">
      <c r="D3830" s="58"/>
      <c r="G3830" s="58"/>
      <c r="H3830" s="58"/>
      <c r="I3830" s="156"/>
      <c r="K3830" s="58"/>
      <c r="M3830" s="163"/>
      <c r="N3830" s="163"/>
    </row>
    <row r="3831" spans="4:14" ht="11.45" customHeight="1" x14ac:dyDescent="0.2">
      <c r="D3831" s="58"/>
      <c r="G3831" s="58"/>
      <c r="H3831" s="58"/>
      <c r="I3831" s="156"/>
      <c r="K3831" s="58"/>
      <c r="M3831" s="163"/>
      <c r="N3831" s="163"/>
    </row>
    <row r="3832" spans="4:14" ht="11.45" customHeight="1" x14ac:dyDescent="0.2">
      <c r="D3832" s="58"/>
      <c r="G3832" s="58"/>
      <c r="H3832" s="58"/>
      <c r="I3832" s="156"/>
      <c r="K3832" s="58"/>
      <c r="M3832" s="163"/>
      <c r="N3832" s="163"/>
    </row>
    <row r="3833" spans="4:14" ht="11.45" customHeight="1" x14ac:dyDescent="0.2">
      <c r="D3833" s="58"/>
      <c r="G3833" s="58"/>
      <c r="H3833" s="58"/>
      <c r="I3833" s="156"/>
      <c r="K3833" s="58"/>
      <c r="M3833" s="163"/>
      <c r="N3833" s="163"/>
    </row>
    <row r="3834" spans="4:14" ht="11.45" customHeight="1" x14ac:dyDescent="0.2">
      <c r="D3834" s="58"/>
      <c r="G3834" s="58"/>
      <c r="H3834" s="58"/>
      <c r="I3834" s="156"/>
      <c r="K3834" s="58"/>
      <c r="M3834" s="163"/>
      <c r="N3834" s="163"/>
    </row>
    <row r="3835" spans="4:14" ht="11.45" customHeight="1" x14ac:dyDescent="0.2">
      <c r="D3835" s="58"/>
      <c r="G3835" s="58"/>
      <c r="H3835" s="58"/>
      <c r="I3835" s="156"/>
      <c r="K3835" s="58"/>
      <c r="M3835" s="163"/>
      <c r="N3835" s="163"/>
    </row>
    <row r="3836" spans="4:14" ht="11.45" customHeight="1" x14ac:dyDescent="0.2">
      <c r="D3836" s="58"/>
      <c r="G3836" s="58"/>
      <c r="H3836" s="58"/>
      <c r="I3836" s="156"/>
      <c r="K3836" s="58"/>
      <c r="M3836" s="163"/>
      <c r="N3836" s="163"/>
    </row>
    <row r="3837" spans="4:14" ht="11.45" customHeight="1" x14ac:dyDescent="0.2">
      <c r="D3837" s="58"/>
      <c r="G3837" s="58"/>
      <c r="H3837" s="58"/>
      <c r="I3837" s="156"/>
      <c r="K3837" s="58"/>
      <c r="M3837" s="163"/>
      <c r="N3837" s="163"/>
    </row>
    <row r="3838" spans="4:14" ht="11.45" customHeight="1" x14ac:dyDescent="0.2">
      <c r="D3838" s="58"/>
      <c r="G3838" s="58"/>
      <c r="H3838" s="58"/>
      <c r="I3838" s="156"/>
      <c r="K3838" s="58"/>
      <c r="M3838" s="163"/>
      <c r="N3838" s="163"/>
    </row>
    <row r="3839" spans="4:14" ht="11.45" customHeight="1" x14ac:dyDescent="0.2">
      <c r="D3839" s="58"/>
      <c r="G3839" s="58"/>
      <c r="H3839" s="58"/>
      <c r="I3839" s="156"/>
      <c r="K3839" s="58"/>
      <c r="M3839" s="163"/>
      <c r="N3839" s="163"/>
    </row>
    <row r="3840" spans="4:14" ht="11.45" customHeight="1" x14ac:dyDescent="0.2">
      <c r="D3840" s="58"/>
      <c r="G3840" s="58"/>
      <c r="H3840" s="58"/>
      <c r="I3840" s="156"/>
      <c r="K3840" s="58"/>
      <c r="M3840" s="163"/>
      <c r="N3840" s="163"/>
    </row>
    <row r="3841" spans="4:14" ht="11.45" customHeight="1" x14ac:dyDescent="0.2">
      <c r="D3841" s="58"/>
      <c r="G3841" s="58"/>
      <c r="H3841" s="58"/>
      <c r="I3841" s="156"/>
      <c r="K3841" s="58"/>
      <c r="M3841" s="163"/>
      <c r="N3841" s="163"/>
    </row>
    <row r="3842" spans="4:14" ht="11.45" customHeight="1" x14ac:dyDescent="0.2">
      <c r="D3842" s="58"/>
      <c r="G3842" s="58"/>
      <c r="H3842" s="58"/>
      <c r="I3842" s="156"/>
      <c r="K3842" s="58"/>
      <c r="M3842" s="163"/>
      <c r="N3842" s="163"/>
    </row>
    <row r="3843" spans="4:14" ht="11.45" customHeight="1" x14ac:dyDescent="0.2">
      <c r="D3843" s="58"/>
      <c r="G3843" s="58"/>
      <c r="H3843" s="58"/>
      <c r="I3843" s="156"/>
      <c r="K3843" s="58"/>
      <c r="M3843" s="163"/>
      <c r="N3843" s="163"/>
    </row>
    <row r="3844" spans="4:14" ht="11.45" customHeight="1" x14ac:dyDescent="0.2">
      <c r="D3844" s="58"/>
      <c r="G3844" s="58"/>
      <c r="H3844" s="58"/>
      <c r="I3844" s="156"/>
      <c r="K3844" s="58"/>
      <c r="M3844" s="163"/>
      <c r="N3844" s="163"/>
    </row>
    <row r="3845" spans="4:14" ht="11.45" customHeight="1" x14ac:dyDescent="0.2">
      <c r="D3845" s="58"/>
      <c r="G3845" s="58"/>
      <c r="H3845" s="58"/>
      <c r="I3845" s="156"/>
      <c r="K3845" s="58"/>
      <c r="M3845" s="163"/>
      <c r="N3845" s="163"/>
    </row>
    <row r="3846" spans="4:14" ht="11.45" customHeight="1" x14ac:dyDescent="0.2">
      <c r="D3846" s="58"/>
      <c r="G3846" s="58"/>
      <c r="H3846" s="58"/>
      <c r="I3846" s="156"/>
      <c r="K3846" s="58"/>
      <c r="M3846" s="163"/>
      <c r="N3846" s="163"/>
    </row>
    <row r="3847" spans="4:14" ht="11.45" customHeight="1" x14ac:dyDescent="0.2">
      <c r="D3847" s="58"/>
      <c r="G3847" s="58"/>
      <c r="H3847" s="58"/>
      <c r="I3847" s="156"/>
      <c r="K3847" s="58"/>
      <c r="M3847" s="163"/>
      <c r="N3847" s="163"/>
    </row>
    <row r="3848" spans="4:14" ht="11.45" customHeight="1" x14ac:dyDescent="0.2">
      <c r="D3848" s="58"/>
      <c r="G3848" s="58"/>
      <c r="H3848" s="58"/>
      <c r="I3848" s="156"/>
      <c r="K3848" s="58"/>
      <c r="M3848" s="163"/>
      <c r="N3848" s="163"/>
    </row>
    <row r="3849" spans="4:14" ht="11.45" customHeight="1" x14ac:dyDescent="0.2">
      <c r="D3849" s="58"/>
      <c r="G3849" s="58"/>
      <c r="H3849" s="58"/>
      <c r="I3849" s="156"/>
      <c r="K3849" s="58"/>
      <c r="M3849" s="163"/>
      <c r="N3849" s="163"/>
    </row>
    <row r="3850" spans="4:14" ht="11.45" customHeight="1" x14ac:dyDescent="0.2">
      <c r="D3850" s="58"/>
      <c r="G3850" s="58"/>
      <c r="H3850" s="58"/>
      <c r="I3850" s="156"/>
      <c r="K3850" s="58"/>
      <c r="M3850" s="163"/>
      <c r="N3850" s="163"/>
    </row>
    <row r="3851" spans="4:14" ht="11.45" customHeight="1" x14ac:dyDescent="0.2">
      <c r="D3851" s="58"/>
      <c r="G3851" s="58"/>
      <c r="H3851" s="58"/>
      <c r="I3851" s="156"/>
      <c r="K3851" s="58"/>
      <c r="M3851" s="163"/>
      <c r="N3851" s="163"/>
    </row>
    <row r="3852" spans="4:14" ht="11.45" customHeight="1" x14ac:dyDescent="0.2">
      <c r="D3852" s="58"/>
      <c r="G3852" s="58"/>
      <c r="H3852" s="58"/>
      <c r="I3852" s="156"/>
      <c r="K3852" s="58"/>
      <c r="M3852" s="163"/>
      <c r="N3852" s="163"/>
    </row>
    <row r="3853" spans="4:14" ht="11.45" customHeight="1" x14ac:dyDescent="0.2">
      <c r="D3853" s="58"/>
      <c r="G3853" s="58"/>
      <c r="H3853" s="58"/>
      <c r="I3853" s="156"/>
      <c r="K3853" s="58"/>
      <c r="M3853" s="163"/>
      <c r="N3853" s="163"/>
    </row>
    <row r="3854" spans="4:14" ht="11.45" customHeight="1" x14ac:dyDescent="0.2">
      <c r="D3854" s="58"/>
      <c r="G3854" s="58"/>
      <c r="H3854" s="58"/>
      <c r="I3854" s="156"/>
      <c r="K3854" s="58"/>
      <c r="M3854" s="163"/>
      <c r="N3854" s="163"/>
    </row>
    <row r="3855" spans="4:14" ht="11.45" customHeight="1" x14ac:dyDescent="0.2">
      <c r="D3855" s="58"/>
      <c r="G3855" s="58"/>
      <c r="H3855" s="58"/>
      <c r="I3855" s="156"/>
      <c r="K3855" s="58"/>
      <c r="M3855" s="163"/>
      <c r="N3855" s="163"/>
    </row>
    <row r="3856" spans="4:14" ht="11.45" customHeight="1" x14ac:dyDescent="0.2">
      <c r="D3856" s="58"/>
      <c r="G3856" s="58"/>
      <c r="H3856" s="58"/>
      <c r="I3856" s="156"/>
      <c r="K3856" s="58"/>
      <c r="M3856" s="163"/>
      <c r="N3856" s="163"/>
    </row>
    <row r="3857" spans="4:14" ht="11.45" customHeight="1" x14ac:dyDescent="0.2">
      <c r="D3857" s="58"/>
      <c r="G3857" s="58"/>
      <c r="H3857" s="58"/>
      <c r="I3857" s="156"/>
      <c r="K3857" s="58"/>
      <c r="M3857" s="163"/>
      <c r="N3857" s="163"/>
    </row>
    <row r="3858" spans="4:14" ht="11.45" customHeight="1" x14ac:dyDescent="0.2">
      <c r="D3858" s="58"/>
      <c r="G3858" s="58"/>
      <c r="H3858" s="58"/>
      <c r="I3858" s="156"/>
      <c r="K3858" s="58"/>
      <c r="M3858" s="163"/>
      <c r="N3858" s="163"/>
    </row>
    <row r="3859" spans="4:14" ht="11.45" customHeight="1" x14ac:dyDescent="0.2">
      <c r="D3859" s="58"/>
      <c r="G3859" s="58"/>
      <c r="H3859" s="58"/>
      <c r="I3859" s="156"/>
      <c r="K3859" s="58"/>
      <c r="M3859" s="163"/>
      <c r="N3859" s="163"/>
    </row>
    <row r="3860" spans="4:14" ht="11.45" customHeight="1" x14ac:dyDescent="0.2">
      <c r="D3860" s="58"/>
      <c r="G3860" s="58"/>
      <c r="H3860" s="58"/>
      <c r="I3860" s="156"/>
      <c r="K3860" s="58"/>
      <c r="M3860" s="163"/>
      <c r="N3860" s="163"/>
    </row>
    <row r="3861" spans="4:14" ht="11.45" customHeight="1" x14ac:dyDescent="0.2">
      <c r="D3861" s="58"/>
      <c r="G3861" s="58"/>
      <c r="H3861" s="58"/>
      <c r="I3861" s="156"/>
      <c r="K3861" s="58"/>
      <c r="M3861" s="163"/>
      <c r="N3861" s="163"/>
    </row>
    <row r="3862" spans="4:14" ht="11.45" customHeight="1" x14ac:dyDescent="0.2">
      <c r="D3862" s="58"/>
      <c r="G3862" s="58"/>
      <c r="H3862" s="58"/>
      <c r="I3862" s="156"/>
      <c r="K3862" s="58"/>
      <c r="M3862" s="163"/>
      <c r="N3862" s="163"/>
    </row>
    <row r="3863" spans="4:14" ht="11.45" customHeight="1" x14ac:dyDescent="0.2">
      <c r="D3863" s="58"/>
      <c r="G3863" s="58"/>
      <c r="H3863" s="58"/>
      <c r="I3863" s="156"/>
      <c r="K3863" s="58"/>
      <c r="M3863" s="163"/>
      <c r="N3863" s="163"/>
    </row>
    <row r="3864" spans="4:14" ht="11.45" customHeight="1" x14ac:dyDescent="0.2">
      <c r="D3864" s="58"/>
      <c r="G3864" s="58"/>
      <c r="H3864" s="58"/>
      <c r="I3864" s="156"/>
      <c r="K3864" s="58"/>
      <c r="M3864" s="163"/>
      <c r="N3864" s="163"/>
    </row>
    <row r="3865" spans="4:14" ht="11.45" customHeight="1" x14ac:dyDescent="0.2">
      <c r="D3865" s="58"/>
      <c r="G3865" s="58"/>
      <c r="H3865" s="58"/>
      <c r="I3865" s="156"/>
      <c r="K3865" s="58"/>
      <c r="M3865" s="163"/>
      <c r="N3865" s="163"/>
    </row>
    <row r="3866" spans="4:14" ht="11.45" customHeight="1" x14ac:dyDescent="0.2">
      <c r="D3866" s="58"/>
      <c r="G3866" s="58"/>
      <c r="H3866" s="58"/>
      <c r="I3866" s="156"/>
      <c r="K3866" s="58"/>
      <c r="M3866" s="163"/>
      <c r="N3866" s="163"/>
    </row>
    <row r="3867" spans="4:14" ht="11.45" customHeight="1" x14ac:dyDescent="0.2">
      <c r="D3867" s="58"/>
      <c r="G3867" s="58"/>
      <c r="H3867" s="58"/>
      <c r="I3867" s="156"/>
      <c r="K3867" s="58"/>
      <c r="M3867" s="163"/>
      <c r="N3867" s="163"/>
    </row>
    <row r="3868" spans="4:14" ht="11.45" customHeight="1" x14ac:dyDescent="0.2">
      <c r="D3868" s="58"/>
      <c r="G3868" s="58"/>
      <c r="H3868" s="58"/>
      <c r="I3868" s="156"/>
      <c r="K3868" s="58"/>
      <c r="M3868" s="163"/>
      <c r="N3868" s="163"/>
    </row>
    <row r="3869" spans="4:14" ht="11.45" customHeight="1" x14ac:dyDescent="0.2">
      <c r="D3869" s="58"/>
      <c r="G3869" s="58"/>
      <c r="H3869" s="58"/>
      <c r="I3869" s="156"/>
      <c r="K3869" s="58"/>
      <c r="M3869" s="163"/>
      <c r="N3869" s="163"/>
    </row>
    <row r="3870" spans="4:14" ht="11.45" customHeight="1" x14ac:dyDescent="0.2">
      <c r="D3870" s="58"/>
      <c r="G3870" s="58"/>
      <c r="H3870" s="58"/>
      <c r="I3870" s="156"/>
      <c r="K3870" s="58"/>
      <c r="M3870" s="163"/>
      <c r="N3870" s="163"/>
    </row>
    <row r="3871" spans="4:14" ht="11.45" customHeight="1" x14ac:dyDescent="0.2">
      <c r="D3871" s="58"/>
      <c r="G3871" s="58"/>
      <c r="H3871" s="58"/>
      <c r="I3871" s="156"/>
      <c r="K3871" s="58"/>
      <c r="M3871" s="163"/>
      <c r="N3871" s="163"/>
    </row>
    <row r="3872" spans="4:14" ht="11.45" customHeight="1" x14ac:dyDescent="0.2">
      <c r="D3872" s="58"/>
      <c r="G3872" s="58"/>
      <c r="H3872" s="58"/>
      <c r="I3872" s="156"/>
      <c r="K3872" s="58"/>
      <c r="M3872" s="163"/>
      <c r="N3872" s="163"/>
    </row>
    <row r="3873" spans="4:14" ht="11.45" customHeight="1" x14ac:dyDescent="0.2">
      <c r="D3873" s="58"/>
      <c r="G3873" s="58"/>
      <c r="H3873" s="58"/>
      <c r="I3873" s="156"/>
      <c r="K3873" s="58"/>
      <c r="M3873" s="163"/>
      <c r="N3873" s="163"/>
    </row>
    <row r="3874" spans="4:14" ht="11.45" customHeight="1" x14ac:dyDescent="0.2">
      <c r="D3874" s="58"/>
      <c r="G3874" s="58"/>
      <c r="H3874" s="58"/>
      <c r="I3874" s="156"/>
      <c r="K3874" s="58"/>
      <c r="M3874" s="163"/>
      <c r="N3874" s="163"/>
    </row>
    <row r="3875" spans="4:14" ht="11.45" customHeight="1" x14ac:dyDescent="0.2">
      <c r="D3875" s="58"/>
      <c r="G3875" s="58"/>
      <c r="H3875" s="58"/>
      <c r="I3875" s="156"/>
      <c r="K3875" s="58"/>
      <c r="M3875" s="163"/>
      <c r="N3875" s="163"/>
    </row>
    <row r="3876" spans="4:14" ht="11.45" customHeight="1" x14ac:dyDescent="0.2">
      <c r="D3876" s="58"/>
      <c r="G3876" s="58"/>
      <c r="H3876" s="58"/>
      <c r="I3876" s="156"/>
      <c r="K3876" s="58"/>
      <c r="M3876" s="163"/>
      <c r="N3876" s="163"/>
    </row>
    <row r="3877" spans="4:14" ht="11.45" customHeight="1" x14ac:dyDescent="0.2">
      <c r="D3877" s="58"/>
      <c r="G3877" s="58"/>
      <c r="H3877" s="58"/>
      <c r="I3877" s="156"/>
      <c r="K3877" s="58"/>
      <c r="M3877" s="163"/>
      <c r="N3877" s="163"/>
    </row>
    <row r="3878" spans="4:14" ht="11.45" customHeight="1" x14ac:dyDescent="0.2">
      <c r="D3878" s="58"/>
      <c r="G3878" s="58"/>
      <c r="H3878" s="58"/>
      <c r="I3878" s="156"/>
      <c r="K3878" s="58"/>
      <c r="M3878" s="163"/>
      <c r="N3878" s="163"/>
    </row>
    <row r="3879" spans="4:14" ht="11.45" customHeight="1" x14ac:dyDescent="0.2">
      <c r="D3879" s="58"/>
      <c r="G3879" s="58"/>
      <c r="H3879" s="58"/>
      <c r="I3879" s="156"/>
      <c r="K3879" s="58"/>
      <c r="M3879" s="163"/>
      <c r="N3879" s="163"/>
    </row>
    <row r="3880" spans="4:14" ht="11.45" customHeight="1" x14ac:dyDescent="0.2">
      <c r="D3880" s="58"/>
      <c r="G3880" s="58"/>
      <c r="H3880" s="58"/>
      <c r="I3880" s="156"/>
      <c r="K3880" s="58"/>
      <c r="M3880" s="163"/>
      <c r="N3880" s="163"/>
    </row>
    <row r="3881" spans="4:14" ht="11.45" customHeight="1" x14ac:dyDescent="0.2">
      <c r="D3881" s="58"/>
      <c r="G3881" s="58"/>
      <c r="H3881" s="58"/>
      <c r="I3881" s="156"/>
      <c r="K3881" s="58"/>
      <c r="M3881" s="163"/>
      <c r="N3881" s="163"/>
    </row>
    <row r="3882" spans="4:14" ht="11.45" customHeight="1" x14ac:dyDescent="0.2">
      <c r="D3882" s="58"/>
      <c r="G3882" s="58"/>
      <c r="H3882" s="58"/>
      <c r="I3882" s="156"/>
      <c r="K3882" s="58"/>
      <c r="M3882" s="163"/>
      <c r="N3882" s="163"/>
    </row>
    <row r="3883" spans="4:14" ht="11.45" customHeight="1" x14ac:dyDescent="0.2">
      <c r="D3883" s="58"/>
      <c r="G3883" s="58"/>
      <c r="H3883" s="58"/>
      <c r="I3883" s="156"/>
      <c r="K3883" s="58"/>
      <c r="M3883" s="163"/>
      <c r="N3883" s="163"/>
    </row>
    <row r="3884" spans="4:14" ht="11.45" customHeight="1" x14ac:dyDescent="0.2">
      <c r="D3884" s="58"/>
      <c r="G3884" s="58"/>
      <c r="H3884" s="58"/>
      <c r="I3884" s="156"/>
      <c r="K3884" s="58"/>
      <c r="M3884" s="163"/>
      <c r="N3884" s="163"/>
    </row>
    <row r="3885" spans="4:14" ht="11.45" customHeight="1" x14ac:dyDescent="0.2">
      <c r="D3885" s="58"/>
      <c r="G3885" s="58"/>
      <c r="H3885" s="58"/>
      <c r="I3885" s="156"/>
      <c r="K3885" s="58"/>
      <c r="M3885" s="163"/>
      <c r="N3885" s="163"/>
    </row>
    <row r="3886" spans="4:14" ht="11.45" customHeight="1" x14ac:dyDescent="0.2">
      <c r="D3886" s="58"/>
      <c r="G3886" s="58"/>
      <c r="H3886" s="58"/>
      <c r="I3886" s="156"/>
      <c r="K3886" s="58"/>
      <c r="M3886" s="163"/>
      <c r="N3886" s="163"/>
    </row>
    <row r="3887" spans="4:14" ht="11.45" customHeight="1" x14ac:dyDescent="0.2">
      <c r="D3887" s="58"/>
      <c r="G3887" s="58"/>
      <c r="H3887" s="58"/>
      <c r="I3887" s="156"/>
      <c r="K3887" s="58"/>
      <c r="M3887" s="163"/>
      <c r="N3887" s="163"/>
    </row>
    <row r="3888" spans="4:14" ht="11.45" customHeight="1" x14ac:dyDescent="0.2">
      <c r="D3888" s="58"/>
      <c r="G3888" s="58"/>
      <c r="H3888" s="58"/>
      <c r="I3888" s="156"/>
      <c r="K3888" s="58"/>
      <c r="M3888" s="163"/>
      <c r="N3888" s="163"/>
    </row>
    <row r="3889" spans="4:14" ht="11.45" customHeight="1" x14ac:dyDescent="0.2">
      <c r="D3889" s="58"/>
      <c r="G3889" s="58"/>
      <c r="H3889" s="58"/>
      <c r="I3889" s="156"/>
      <c r="K3889" s="58"/>
      <c r="M3889" s="163"/>
      <c r="N3889" s="163"/>
    </row>
    <row r="3890" spans="4:14" ht="11.45" customHeight="1" x14ac:dyDescent="0.2">
      <c r="D3890" s="58"/>
      <c r="G3890" s="58"/>
      <c r="H3890" s="58"/>
      <c r="I3890" s="156"/>
      <c r="K3890" s="58"/>
      <c r="M3890" s="163"/>
      <c r="N3890" s="163"/>
    </row>
    <row r="3891" spans="4:14" ht="11.45" customHeight="1" x14ac:dyDescent="0.2">
      <c r="D3891" s="58"/>
      <c r="G3891" s="58"/>
      <c r="H3891" s="58"/>
      <c r="I3891" s="156"/>
      <c r="K3891" s="58"/>
      <c r="M3891" s="163"/>
      <c r="N3891" s="163"/>
    </row>
    <row r="3892" spans="4:14" ht="11.45" customHeight="1" x14ac:dyDescent="0.2">
      <c r="D3892" s="58"/>
      <c r="G3892" s="58"/>
      <c r="H3892" s="58"/>
      <c r="I3892" s="156"/>
      <c r="K3892" s="58"/>
      <c r="M3892" s="163"/>
      <c r="N3892" s="163"/>
    </row>
    <row r="3893" spans="4:14" ht="11.45" customHeight="1" x14ac:dyDescent="0.2">
      <c r="D3893" s="58"/>
      <c r="G3893" s="58"/>
      <c r="H3893" s="58"/>
      <c r="I3893" s="156"/>
      <c r="K3893" s="58"/>
      <c r="M3893" s="163"/>
      <c r="N3893" s="163"/>
    </row>
    <row r="3894" spans="4:14" ht="11.45" customHeight="1" x14ac:dyDescent="0.2">
      <c r="D3894" s="58"/>
      <c r="G3894" s="58"/>
      <c r="H3894" s="58"/>
      <c r="I3894" s="156"/>
      <c r="K3894" s="58"/>
      <c r="M3894" s="163"/>
      <c r="N3894" s="163"/>
    </row>
    <row r="3895" spans="4:14" ht="11.45" customHeight="1" x14ac:dyDescent="0.2">
      <c r="D3895" s="58"/>
      <c r="G3895" s="58"/>
      <c r="H3895" s="58"/>
      <c r="I3895" s="156"/>
      <c r="K3895" s="58"/>
      <c r="M3895" s="163"/>
      <c r="N3895" s="163"/>
    </row>
    <row r="3896" spans="4:14" ht="11.45" customHeight="1" x14ac:dyDescent="0.2">
      <c r="D3896" s="58"/>
      <c r="G3896" s="58"/>
      <c r="H3896" s="58"/>
      <c r="I3896" s="156"/>
      <c r="K3896" s="58"/>
      <c r="M3896" s="163"/>
      <c r="N3896" s="163"/>
    </row>
    <row r="3897" spans="4:14" ht="11.45" customHeight="1" x14ac:dyDescent="0.2">
      <c r="D3897" s="58"/>
      <c r="G3897" s="58"/>
      <c r="H3897" s="58"/>
      <c r="I3897" s="156"/>
      <c r="K3897" s="58"/>
      <c r="M3897" s="163"/>
      <c r="N3897" s="163"/>
    </row>
    <row r="3898" spans="4:14" ht="11.45" customHeight="1" x14ac:dyDescent="0.2">
      <c r="D3898" s="58"/>
      <c r="G3898" s="58"/>
      <c r="H3898" s="58"/>
      <c r="I3898" s="156"/>
      <c r="K3898" s="58"/>
      <c r="M3898" s="163"/>
      <c r="N3898" s="163"/>
    </row>
    <row r="3899" spans="4:14" ht="11.45" customHeight="1" x14ac:dyDescent="0.2">
      <c r="D3899" s="58"/>
      <c r="G3899" s="58"/>
      <c r="H3899" s="58"/>
      <c r="I3899" s="156"/>
      <c r="K3899" s="58"/>
      <c r="M3899" s="163"/>
      <c r="N3899" s="163"/>
    </row>
    <row r="3900" spans="4:14" ht="11.45" customHeight="1" x14ac:dyDescent="0.2">
      <c r="D3900" s="58"/>
      <c r="G3900" s="58"/>
      <c r="H3900" s="58"/>
      <c r="I3900" s="156"/>
      <c r="K3900" s="58"/>
      <c r="M3900" s="163"/>
      <c r="N3900" s="163"/>
    </row>
    <row r="3901" spans="4:14" ht="11.45" customHeight="1" x14ac:dyDescent="0.2">
      <c r="D3901" s="58"/>
      <c r="G3901" s="58"/>
      <c r="H3901" s="58"/>
      <c r="I3901" s="156"/>
      <c r="K3901" s="58"/>
      <c r="M3901" s="163"/>
      <c r="N3901" s="163"/>
    </row>
    <row r="3902" spans="4:14" ht="11.45" customHeight="1" x14ac:dyDescent="0.2">
      <c r="D3902" s="58"/>
      <c r="G3902" s="58"/>
      <c r="H3902" s="58"/>
      <c r="I3902" s="156"/>
      <c r="K3902" s="58"/>
      <c r="M3902" s="163"/>
      <c r="N3902" s="163"/>
    </row>
    <row r="3903" spans="4:14" ht="11.45" customHeight="1" x14ac:dyDescent="0.2">
      <c r="D3903" s="58"/>
      <c r="G3903" s="58"/>
      <c r="H3903" s="58"/>
      <c r="I3903" s="156"/>
      <c r="K3903" s="58"/>
      <c r="M3903" s="163"/>
      <c r="N3903" s="163"/>
    </row>
    <row r="3904" spans="4:14" ht="11.45" customHeight="1" x14ac:dyDescent="0.2">
      <c r="D3904" s="58"/>
      <c r="G3904" s="58"/>
      <c r="H3904" s="58"/>
      <c r="I3904" s="156"/>
      <c r="K3904" s="58"/>
      <c r="M3904" s="163"/>
      <c r="N3904" s="163"/>
    </row>
    <row r="3905" spans="4:14" ht="11.45" customHeight="1" x14ac:dyDescent="0.2">
      <c r="D3905" s="58"/>
      <c r="G3905" s="58"/>
      <c r="H3905" s="58"/>
      <c r="I3905" s="156"/>
      <c r="K3905" s="58"/>
      <c r="M3905" s="163"/>
      <c r="N3905" s="163"/>
    </row>
    <row r="3906" spans="4:14" ht="11.45" customHeight="1" x14ac:dyDescent="0.2">
      <c r="D3906" s="58"/>
      <c r="G3906" s="58"/>
      <c r="H3906" s="58"/>
      <c r="I3906" s="156"/>
      <c r="K3906" s="58"/>
      <c r="M3906" s="163"/>
      <c r="N3906" s="163"/>
    </row>
    <row r="3907" spans="4:14" ht="11.45" customHeight="1" x14ac:dyDescent="0.2">
      <c r="D3907" s="58"/>
      <c r="G3907" s="58"/>
      <c r="H3907" s="58"/>
      <c r="I3907" s="156"/>
      <c r="K3907" s="58"/>
      <c r="M3907" s="163"/>
      <c r="N3907" s="163"/>
    </row>
    <row r="3908" spans="4:14" ht="11.45" customHeight="1" x14ac:dyDescent="0.2">
      <c r="D3908" s="58"/>
      <c r="G3908" s="58"/>
      <c r="H3908" s="58"/>
      <c r="I3908" s="156"/>
      <c r="K3908" s="58"/>
      <c r="M3908" s="163"/>
      <c r="N3908" s="163"/>
    </row>
    <row r="3909" spans="4:14" ht="11.45" customHeight="1" x14ac:dyDescent="0.2">
      <c r="D3909" s="58"/>
      <c r="G3909" s="58"/>
      <c r="H3909" s="58"/>
      <c r="I3909" s="156"/>
      <c r="K3909" s="58"/>
      <c r="M3909" s="163"/>
      <c r="N3909" s="163"/>
    </row>
    <row r="3910" spans="4:14" ht="11.45" customHeight="1" x14ac:dyDescent="0.2">
      <c r="D3910" s="58"/>
      <c r="G3910" s="58"/>
      <c r="H3910" s="58"/>
      <c r="I3910" s="156"/>
      <c r="K3910" s="58"/>
      <c r="M3910" s="163"/>
      <c r="N3910" s="163"/>
    </row>
    <row r="3911" spans="4:14" ht="11.45" customHeight="1" x14ac:dyDescent="0.2">
      <c r="D3911" s="58"/>
      <c r="G3911" s="58"/>
      <c r="H3911" s="58"/>
      <c r="I3911" s="156"/>
      <c r="K3911" s="58"/>
      <c r="M3911" s="163"/>
      <c r="N3911" s="163"/>
    </row>
    <row r="3912" spans="4:14" ht="11.45" customHeight="1" x14ac:dyDescent="0.2">
      <c r="D3912" s="58"/>
      <c r="G3912" s="58"/>
      <c r="H3912" s="58"/>
      <c r="I3912" s="156"/>
      <c r="K3912" s="58"/>
      <c r="M3912" s="163"/>
      <c r="N3912" s="163"/>
    </row>
    <row r="3913" spans="4:14" ht="11.45" customHeight="1" x14ac:dyDescent="0.2">
      <c r="D3913" s="58"/>
      <c r="G3913" s="58"/>
      <c r="H3913" s="58"/>
      <c r="I3913" s="156"/>
      <c r="K3913" s="58"/>
      <c r="M3913" s="163"/>
      <c r="N3913" s="163"/>
    </row>
    <row r="3914" spans="4:14" ht="11.45" customHeight="1" x14ac:dyDescent="0.2">
      <c r="D3914" s="58"/>
      <c r="G3914" s="58"/>
      <c r="H3914" s="58"/>
      <c r="I3914" s="156"/>
      <c r="K3914" s="58"/>
      <c r="M3914" s="163"/>
      <c r="N3914" s="163"/>
    </row>
    <row r="3915" spans="4:14" ht="11.45" customHeight="1" x14ac:dyDescent="0.2">
      <c r="D3915" s="58"/>
      <c r="G3915" s="58"/>
      <c r="H3915" s="58"/>
      <c r="I3915" s="156"/>
      <c r="K3915" s="58"/>
      <c r="M3915" s="163"/>
      <c r="N3915" s="163"/>
    </row>
    <row r="3916" spans="4:14" ht="11.45" customHeight="1" x14ac:dyDescent="0.2">
      <c r="D3916" s="58"/>
      <c r="G3916" s="58"/>
      <c r="H3916" s="58"/>
      <c r="I3916" s="156"/>
      <c r="K3916" s="58"/>
      <c r="M3916" s="163"/>
      <c r="N3916" s="163"/>
    </row>
    <row r="3917" spans="4:14" ht="11.45" customHeight="1" x14ac:dyDescent="0.2">
      <c r="D3917" s="58"/>
      <c r="G3917" s="58"/>
      <c r="H3917" s="58"/>
      <c r="I3917" s="156"/>
      <c r="K3917" s="58"/>
      <c r="M3917" s="163"/>
      <c r="N3917" s="163"/>
    </row>
    <row r="3918" spans="4:14" ht="11.45" customHeight="1" x14ac:dyDescent="0.2">
      <c r="D3918" s="58"/>
      <c r="G3918" s="58"/>
      <c r="H3918" s="58"/>
      <c r="I3918" s="156"/>
      <c r="K3918" s="58"/>
      <c r="M3918" s="163"/>
      <c r="N3918" s="163"/>
    </row>
    <row r="3919" spans="4:14" ht="11.45" customHeight="1" x14ac:dyDescent="0.2">
      <c r="D3919" s="58"/>
      <c r="G3919" s="58"/>
      <c r="H3919" s="58"/>
      <c r="I3919" s="156"/>
      <c r="K3919" s="58"/>
      <c r="M3919" s="163"/>
      <c r="N3919" s="163"/>
    </row>
    <row r="3920" spans="4:14" ht="11.45" customHeight="1" x14ac:dyDescent="0.2">
      <c r="D3920" s="58"/>
      <c r="G3920" s="58"/>
      <c r="H3920" s="58"/>
      <c r="I3920" s="156"/>
      <c r="K3920" s="58"/>
      <c r="M3920" s="163"/>
      <c r="N3920" s="163"/>
    </row>
    <row r="3921" spans="4:14" ht="11.45" customHeight="1" x14ac:dyDescent="0.2">
      <c r="D3921" s="58"/>
      <c r="G3921" s="58"/>
      <c r="H3921" s="58"/>
      <c r="I3921" s="156"/>
      <c r="K3921" s="58"/>
      <c r="M3921" s="163"/>
      <c r="N3921" s="163"/>
    </row>
    <row r="3922" spans="4:14" ht="11.45" customHeight="1" x14ac:dyDescent="0.2">
      <c r="D3922" s="58"/>
      <c r="G3922" s="58"/>
      <c r="H3922" s="58"/>
      <c r="I3922" s="156"/>
      <c r="K3922" s="58"/>
      <c r="M3922" s="163"/>
      <c r="N3922" s="163"/>
    </row>
    <row r="3923" spans="4:14" ht="11.45" customHeight="1" x14ac:dyDescent="0.2">
      <c r="D3923" s="58"/>
      <c r="G3923" s="58"/>
      <c r="H3923" s="58"/>
      <c r="I3923" s="156"/>
      <c r="K3923" s="58"/>
      <c r="M3923" s="163"/>
      <c r="N3923" s="163"/>
    </row>
    <row r="3924" spans="4:14" ht="11.45" customHeight="1" x14ac:dyDescent="0.2">
      <c r="D3924" s="58"/>
      <c r="G3924" s="58"/>
      <c r="H3924" s="58"/>
      <c r="I3924" s="156"/>
      <c r="K3924" s="58"/>
      <c r="M3924" s="163"/>
      <c r="N3924" s="163"/>
    </row>
    <row r="3925" spans="4:14" ht="11.45" customHeight="1" x14ac:dyDescent="0.2">
      <c r="D3925" s="58"/>
      <c r="G3925" s="58"/>
      <c r="H3925" s="58"/>
      <c r="I3925" s="156"/>
      <c r="K3925" s="58"/>
      <c r="M3925" s="163"/>
      <c r="N3925" s="163"/>
    </row>
    <row r="3926" spans="4:14" ht="11.45" customHeight="1" x14ac:dyDescent="0.2">
      <c r="D3926" s="58"/>
      <c r="G3926" s="58"/>
      <c r="H3926" s="58"/>
      <c r="I3926" s="156"/>
      <c r="K3926" s="58"/>
      <c r="M3926" s="163"/>
      <c r="N3926" s="163"/>
    </row>
    <row r="3927" spans="4:14" ht="11.45" customHeight="1" x14ac:dyDescent="0.2">
      <c r="D3927" s="58"/>
      <c r="G3927" s="58"/>
      <c r="H3927" s="58"/>
      <c r="I3927" s="156"/>
      <c r="K3927" s="58"/>
      <c r="M3927" s="163"/>
      <c r="N3927" s="163"/>
    </row>
    <row r="3928" spans="4:14" ht="11.45" customHeight="1" x14ac:dyDescent="0.2">
      <c r="D3928" s="58"/>
      <c r="G3928" s="58"/>
      <c r="H3928" s="58"/>
      <c r="I3928" s="156"/>
      <c r="K3928" s="58"/>
      <c r="M3928" s="163"/>
      <c r="N3928" s="163"/>
    </row>
    <row r="3929" spans="4:14" ht="11.45" customHeight="1" x14ac:dyDescent="0.2">
      <c r="D3929" s="58"/>
      <c r="G3929" s="58"/>
      <c r="H3929" s="58"/>
      <c r="I3929" s="156"/>
      <c r="K3929" s="58"/>
      <c r="M3929" s="163"/>
      <c r="N3929" s="163"/>
    </row>
    <row r="3930" spans="4:14" ht="11.45" customHeight="1" x14ac:dyDescent="0.2">
      <c r="D3930" s="58"/>
      <c r="G3930" s="58"/>
      <c r="H3930" s="58"/>
      <c r="I3930" s="156"/>
      <c r="K3930" s="58"/>
      <c r="M3930" s="163"/>
      <c r="N3930" s="163"/>
    </row>
    <row r="3931" spans="4:14" ht="11.45" customHeight="1" x14ac:dyDescent="0.2">
      <c r="D3931" s="58"/>
      <c r="G3931" s="58"/>
      <c r="H3931" s="58"/>
      <c r="I3931" s="156"/>
      <c r="K3931" s="58"/>
      <c r="M3931" s="163"/>
      <c r="N3931" s="163"/>
    </row>
    <row r="3932" spans="4:14" ht="11.45" customHeight="1" x14ac:dyDescent="0.2">
      <c r="D3932" s="58"/>
      <c r="G3932" s="58"/>
      <c r="H3932" s="58"/>
      <c r="I3932" s="156"/>
      <c r="K3932" s="58"/>
      <c r="M3932" s="163"/>
      <c r="N3932" s="163"/>
    </row>
    <row r="3933" spans="4:14" ht="11.45" customHeight="1" x14ac:dyDescent="0.2">
      <c r="D3933" s="58"/>
      <c r="G3933" s="58"/>
      <c r="H3933" s="58"/>
      <c r="I3933" s="156"/>
      <c r="K3933" s="58"/>
      <c r="M3933" s="163"/>
      <c r="N3933" s="163"/>
    </row>
    <row r="3934" spans="4:14" ht="11.45" customHeight="1" x14ac:dyDescent="0.2">
      <c r="D3934" s="58"/>
      <c r="G3934" s="58"/>
      <c r="H3934" s="58"/>
      <c r="I3934" s="156"/>
      <c r="K3934" s="58"/>
      <c r="M3934" s="163"/>
      <c r="N3934" s="163"/>
    </row>
    <row r="3935" spans="4:14" ht="11.45" customHeight="1" x14ac:dyDescent="0.2">
      <c r="D3935" s="58"/>
      <c r="G3935" s="58"/>
      <c r="H3935" s="58"/>
      <c r="I3935" s="156"/>
      <c r="K3935" s="58"/>
      <c r="M3935" s="163"/>
      <c r="N3935" s="163"/>
    </row>
    <row r="3936" spans="4:14" ht="11.45" customHeight="1" x14ac:dyDescent="0.2">
      <c r="D3936" s="58"/>
      <c r="G3936" s="58"/>
      <c r="H3936" s="58"/>
      <c r="I3936" s="156"/>
      <c r="K3936" s="58"/>
      <c r="M3936" s="163"/>
      <c r="N3936" s="163"/>
    </row>
    <row r="3937" spans="4:14" ht="11.45" customHeight="1" x14ac:dyDescent="0.2">
      <c r="D3937" s="58"/>
      <c r="G3937" s="58"/>
      <c r="H3937" s="58"/>
      <c r="I3937" s="156"/>
      <c r="K3937" s="58"/>
      <c r="M3937" s="163"/>
      <c r="N3937" s="163"/>
    </row>
    <row r="3938" spans="4:14" ht="11.45" customHeight="1" x14ac:dyDescent="0.2">
      <c r="D3938" s="58"/>
      <c r="G3938" s="58"/>
      <c r="H3938" s="58"/>
      <c r="I3938" s="156"/>
      <c r="K3938" s="58"/>
      <c r="M3938" s="163"/>
      <c r="N3938" s="163"/>
    </row>
    <row r="3939" spans="4:14" ht="11.45" customHeight="1" x14ac:dyDescent="0.2">
      <c r="D3939" s="58"/>
      <c r="G3939" s="58"/>
      <c r="H3939" s="58"/>
      <c r="I3939" s="156"/>
      <c r="K3939" s="58"/>
      <c r="M3939" s="163"/>
      <c r="N3939" s="163"/>
    </row>
    <row r="3940" spans="4:14" ht="11.45" customHeight="1" x14ac:dyDescent="0.2">
      <c r="D3940" s="58"/>
      <c r="G3940" s="58"/>
      <c r="H3940" s="58"/>
      <c r="I3940" s="156"/>
      <c r="K3940" s="58"/>
      <c r="M3940" s="163"/>
      <c r="N3940" s="163"/>
    </row>
    <row r="3941" spans="4:14" ht="11.45" customHeight="1" x14ac:dyDescent="0.2">
      <c r="D3941" s="58"/>
      <c r="G3941" s="58"/>
      <c r="H3941" s="58"/>
      <c r="I3941" s="156"/>
      <c r="K3941" s="58"/>
      <c r="M3941" s="163"/>
      <c r="N3941" s="163"/>
    </row>
    <row r="3942" spans="4:14" ht="11.45" customHeight="1" x14ac:dyDescent="0.2">
      <c r="D3942" s="58"/>
      <c r="G3942" s="58"/>
      <c r="H3942" s="58"/>
      <c r="I3942" s="156"/>
      <c r="K3942" s="58"/>
      <c r="M3942" s="163"/>
      <c r="N3942" s="163"/>
    </row>
    <row r="3943" spans="4:14" ht="11.45" customHeight="1" x14ac:dyDescent="0.2">
      <c r="D3943" s="58"/>
      <c r="G3943" s="58"/>
      <c r="H3943" s="58"/>
      <c r="I3943" s="156"/>
      <c r="K3943" s="58"/>
      <c r="M3943" s="163"/>
      <c r="N3943" s="163"/>
    </row>
    <row r="3944" spans="4:14" ht="11.45" customHeight="1" x14ac:dyDescent="0.2">
      <c r="D3944" s="58"/>
      <c r="G3944" s="58"/>
      <c r="H3944" s="58"/>
      <c r="I3944" s="156"/>
      <c r="K3944" s="58"/>
      <c r="M3944" s="163"/>
      <c r="N3944" s="163"/>
    </row>
    <row r="3945" spans="4:14" ht="11.45" customHeight="1" x14ac:dyDescent="0.2">
      <c r="D3945" s="58"/>
      <c r="G3945" s="58"/>
      <c r="H3945" s="58"/>
      <c r="I3945" s="156"/>
      <c r="K3945" s="58"/>
      <c r="M3945" s="163"/>
      <c r="N3945" s="163"/>
    </row>
    <row r="3946" spans="4:14" ht="11.45" customHeight="1" x14ac:dyDescent="0.2">
      <c r="D3946" s="58"/>
      <c r="G3946" s="58"/>
      <c r="H3946" s="58"/>
      <c r="I3946" s="156"/>
      <c r="K3946" s="58"/>
      <c r="M3946" s="163"/>
      <c r="N3946" s="163"/>
    </row>
    <row r="3947" spans="4:14" ht="11.45" customHeight="1" x14ac:dyDescent="0.2">
      <c r="D3947" s="58"/>
      <c r="G3947" s="58"/>
      <c r="H3947" s="58"/>
      <c r="I3947" s="156"/>
      <c r="K3947" s="58"/>
      <c r="M3947" s="163"/>
      <c r="N3947" s="163"/>
    </row>
    <row r="3948" spans="4:14" ht="11.45" customHeight="1" x14ac:dyDescent="0.2">
      <c r="D3948" s="58"/>
      <c r="G3948" s="58"/>
      <c r="H3948" s="58"/>
      <c r="I3948" s="156"/>
      <c r="K3948" s="58"/>
      <c r="M3948" s="163"/>
      <c r="N3948" s="163"/>
    </row>
    <row r="3949" spans="4:14" ht="11.45" customHeight="1" x14ac:dyDescent="0.2">
      <c r="D3949" s="58"/>
      <c r="G3949" s="58"/>
      <c r="H3949" s="58"/>
      <c r="I3949" s="156"/>
      <c r="K3949" s="58"/>
      <c r="M3949" s="163"/>
      <c r="N3949" s="163"/>
    </row>
    <row r="3950" spans="4:14" ht="11.45" customHeight="1" x14ac:dyDescent="0.2">
      <c r="D3950" s="58"/>
      <c r="G3950" s="58"/>
      <c r="H3950" s="58"/>
      <c r="I3950" s="156"/>
      <c r="K3950" s="58"/>
      <c r="M3950" s="163"/>
      <c r="N3950" s="163"/>
    </row>
    <row r="3951" spans="4:14" ht="11.45" customHeight="1" x14ac:dyDescent="0.2">
      <c r="D3951" s="58"/>
      <c r="G3951" s="58"/>
      <c r="H3951" s="58"/>
      <c r="I3951" s="156"/>
      <c r="K3951" s="58"/>
      <c r="M3951" s="163"/>
      <c r="N3951" s="163"/>
    </row>
    <row r="3952" spans="4:14" ht="11.45" customHeight="1" x14ac:dyDescent="0.2">
      <c r="D3952" s="58"/>
      <c r="G3952" s="58"/>
      <c r="H3952" s="58"/>
      <c r="I3952" s="156"/>
      <c r="K3952" s="58"/>
      <c r="M3952" s="163"/>
      <c r="N3952" s="163"/>
    </row>
    <row r="3953" spans="4:14" ht="11.45" customHeight="1" x14ac:dyDescent="0.2">
      <c r="D3953" s="58"/>
      <c r="G3953" s="58"/>
      <c r="H3953" s="58"/>
      <c r="I3953" s="156"/>
      <c r="K3953" s="58"/>
      <c r="M3953" s="163"/>
      <c r="N3953" s="163"/>
    </row>
    <row r="3954" spans="4:14" ht="11.45" customHeight="1" x14ac:dyDescent="0.2">
      <c r="D3954" s="58"/>
      <c r="G3954" s="58"/>
      <c r="H3954" s="58"/>
      <c r="I3954" s="156"/>
      <c r="K3954" s="58"/>
      <c r="M3954" s="163"/>
      <c r="N3954" s="163"/>
    </row>
    <row r="3955" spans="4:14" ht="11.45" customHeight="1" x14ac:dyDescent="0.2">
      <c r="D3955" s="58"/>
      <c r="G3955" s="58"/>
      <c r="H3955" s="58"/>
      <c r="I3955" s="156"/>
      <c r="K3955" s="58"/>
      <c r="M3955" s="163"/>
      <c r="N3955" s="163"/>
    </row>
    <row r="3956" spans="4:14" ht="11.45" customHeight="1" x14ac:dyDescent="0.2">
      <c r="D3956" s="58"/>
      <c r="G3956" s="58"/>
      <c r="H3956" s="58"/>
      <c r="I3956" s="156"/>
      <c r="K3956" s="58"/>
      <c r="M3956" s="163"/>
      <c r="N3956" s="163"/>
    </row>
    <row r="3957" spans="4:14" ht="11.45" customHeight="1" x14ac:dyDescent="0.2">
      <c r="D3957" s="58"/>
      <c r="G3957" s="58"/>
      <c r="H3957" s="58"/>
      <c r="I3957" s="156"/>
      <c r="K3957" s="58"/>
      <c r="M3957" s="163"/>
      <c r="N3957" s="163"/>
    </row>
    <row r="3958" spans="4:14" ht="11.45" customHeight="1" x14ac:dyDescent="0.2">
      <c r="D3958" s="58"/>
      <c r="G3958" s="58"/>
      <c r="H3958" s="58"/>
      <c r="I3958" s="156"/>
      <c r="K3958" s="58"/>
      <c r="M3958" s="163"/>
      <c r="N3958" s="163"/>
    </row>
    <row r="3959" spans="4:14" ht="11.45" customHeight="1" x14ac:dyDescent="0.2">
      <c r="D3959" s="58"/>
      <c r="G3959" s="58"/>
      <c r="H3959" s="58"/>
      <c r="I3959" s="156"/>
      <c r="K3959" s="58"/>
      <c r="M3959" s="163"/>
      <c r="N3959" s="163"/>
    </row>
    <row r="3960" spans="4:14" ht="11.45" customHeight="1" x14ac:dyDescent="0.2">
      <c r="D3960" s="58"/>
      <c r="G3960" s="58"/>
      <c r="H3960" s="58"/>
      <c r="I3960" s="156"/>
      <c r="K3960" s="58"/>
      <c r="M3960" s="163"/>
      <c r="N3960" s="163"/>
    </row>
    <row r="3961" spans="4:14" ht="11.45" customHeight="1" x14ac:dyDescent="0.2">
      <c r="D3961" s="58"/>
      <c r="G3961" s="58"/>
      <c r="H3961" s="58"/>
      <c r="I3961" s="156"/>
      <c r="K3961" s="58"/>
      <c r="M3961" s="163"/>
      <c r="N3961" s="163"/>
    </row>
    <row r="3962" spans="4:14" ht="11.45" customHeight="1" x14ac:dyDescent="0.2">
      <c r="D3962" s="58"/>
      <c r="G3962" s="58"/>
      <c r="H3962" s="58"/>
      <c r="I3962" s="156"/>
      <c r="K3962" s="58"/>
      <c r="M3962" s="163"/>
      <c r="N3962" s="163"/>
    </row>
    <row r="3963" spans="4:14" ht="11.45" customHeight="1" x14ac:dyDescent="0.2">
      <c r="D3963" s="58"/>
      <c r="G3963" s="58"/>
      <c r="H3963" s="58"/>
      <c r="I3963" s="156"/>
      <c r="K3963" s="58"/>
      <c r="M3963" s="163"/>
      <c r="N3963" s="163"/>
    </row>
    <row r="3964" spans="4:14" ht="11.45" customHeight="1" x14ac:dyDescent="0.2">
      <c r="D3964" s="58"/>
      <c r="G3964" s="58"/>
      <c r="H3964" s="58"/>
      <c r="I3964" s="156"/>
      <c r="K3964" s="58"/>
      <c r="M3964" s="163"/>
      <c r="N3964" s="163"/>
    </row>
    <row r="3965" spans="4:14" ht="11.45" customHeight="1" x14ac:dyDescent="0.2">
      <c r="D3965" s="58"/>
      <c r="G3965" s="58"/>
      <c r="H3965" s="58"/>
      <c r="I3965" s="156"/>
      <c r="K3965" s="58"/>
      <c r="M3965" s="163"/>
      <c r="N3965" s="163"/>
    </row>
    <row r="3966" spans="4:14" ht="11.45" customHeight="1" x14ac:dyDescent="0.2">
      <c r="D3966" s="58"/>
      <c r="G3966" s="58"/>
      <c r="H3966" s="58"/>
      <c r="I3966" s="156"/>
      <c r="K3966" s="58"/>
      <c r="M3966" s="163"/>
      <c r="N3966" s="163"/>
    </row>
    <row r="3967" spans="4:14" ht="11.45" customHeight="1" x14ac:dyDescent="0.2">
      <c r="D3967" s="58"/>
      <c r="G3967" s="58"/>
      <c r="H3967" s="58"/>
      <c r="I3967" s="156"/>
      <c r="K3967" s="58"/>
      <c r="M3967" s="163"/>
      <c r="N3967" s="163"/>
    </row>
    <row r="3968" spans="4:14" ht="11.45" customHeight="1" x14ac:dyDescent="0.2">
      <c r="D3968" s="58"/>
      <c r="G3968" s="58"/>
      <c r="H3968" s="58"/>
      <c r="I3968" s="156"/>
      <c r="K3968" s="58"/>
      <c r="M3968" s="163"/>
      <c r="N3968" s="163"/>
    </row>
    <row r="3969" spans="4:14" ht="11.45" customHeight="1" x14ac:dyDescent="0.2">
      <c r="D3969" s="58"/>
      <c r="G3969" s="58"/>
      <c r="H3969" s="58"/>
      <c r="I3969" s="156"/>
      <c r="K3969" s="58"/>
      <c r="M3969" s="163"/>
      <c r="N3969" s="163"/>
    </row>
    <row r="3970" spans="4:14" ht="11.45" customHeight="1" x14ac:dyDescent="0.2">
      <c r="D3970" s="58"/>
      <c r="G3970" s="58"/>
      <c r="H3970" s="58"/>
      <c r="I3970" s="156"/>
      <c r="K3970" s="58"/>
      <c r="M3970" s="163"/>
      <c r="N3970" s="163"/>
    </row>
    <row r="3971" spans="4:14" ht="11.45" customHeight="1" x14ac:dyDescent="0.2">
      <c r="D3971" s="58"/>
      <c r="G3971" s="58"/>
      <c r="H3971" s="58"/>
      <c r="I3971" s="156"/>
      <c r="K3971" s="58"/>
      <c r="M3971" s="163"/>
      <c r="N3971" s="163"/>
    </row>
    <row r="3972" spans="4:14" ht="11.45" customHeight="1" x14ac:dyDescent="0.2">
      <c r="D3972" s="58"/>
      <c r="G3972" s="58"/>
      <c r="H3972" s="58"/>
      <c r="I3972" s="156"/>
      <c r="K3972" s="58"/>
      <c r="M3972" s="163"/>
      <c r="N3972" s="163"/>
    </row>
    <row r="3973" spans="4:14" ht="11.45" customHeight="1" x14ac:dyDescent="0.2">
      <c r="D3973" s="58"/>
      <c r="G3973" s="58"/>
      <c r="H3973" s="58"/>
      <c r="I3973" s="156"/>
      <c r="K3973" s="58"/>
      <c r="M3973" s="163"/>
      <c r="N3973" s="163"/>
    </row>
    <row r="3974" spans="4:14" ht="11.45" customHeight="1" x14ac:dyDescent="0.2">
      <c r="D3974" s="58"/>
      <c r="G3974" s="58"/>
      <c r="H3974" s="58"/>
      <c r="I3974" s="156"/>
      <c r="K3974" s="58"/>
      <c r="M3974" s="163"/>
      <c r="N3974" s="163"/>
    </row>
    <row r="3975" spans="4:14" ht="11.45" customHeight="1" x14ac:dyDescent="0.2">
      <c r="D3975" s="58"/>
      <c r="G3975" s="58"/>
      <c r="H3975" s="58"/>
      <c r="I3975" s="156"/>
      <c r="K3975" s="58"/>
      <c r="M3975" s="163"/>
      <c r="N3975" s="163"/>
    </row>
    <row r="3976" spans="4:14" ht="11.45" customHeight="1" x14ac:dyDescent="0.2">
      <c r="D3976" s="58"/>
      <c r="G3976" s="58"/>
      <c r="H3976" s="58"/>
      <c r="I3976" s="156"/>
      <c r="K3976" s="58"/>
      <c r="M3976" s="163"/>
      <c r="N3976" s="163"/>
    </row>
    <row r="3977" spans="4:14" ht="11.45" customHeight="1" x14ac:dyDescent="0.2">
      <c r="D3977" s="58"/>
      <c r="G3977" s="58"/>
      <c r="H3977" s="58"/>
      <c r="I3977" s="156"/>
      <c r="K3977" s="58"/>
      <c r="M3977" s="163"/>
      <c r="N3977" s="163"/>
    </row>
    <row r="3978" spans="4:14" ht="11.45" customHeight="1" x14ac:dyDescent="0.2">
      <c r="D3978" s="58"/>
      <c r="G3978" s="58"/>
      <c r="H3978" s="58"/>
      <c r="I3978" s="156"/>
      <c r="K3978" s="58"/>
      <c r="M3978" s="163"/>
      <c r="N3978" s="163"/>
    </row>
    <row r="3979" spans="4:14" ht="11.45" customHeight="1" x14ac:dyDescent="0.2">
      <c r="D3979" s="58"/>
      <c r="G3979" s="58"/>
      <c r="H3979" s="58"/>
      <c r="I3979" s="156"/>
      <c r="K3979" s="58"/>
      <c r="M3979" s="163"/>
      <c r="N3979" s="163"/>
    </row>
    <row r="3980" spans="4:14" ht="11.45" customHeight="1" x14ac:dyDescent="0.2">
      <c r="D3980" s="58"/>
      <c r="G3980" s="58"/>
      <c r="H3980" s="58"/>
      <c r="I3980" s="156"/>
      <c r="K3980" s="58"/>
      <c r="M3980" s="163"/>
      <c r="N3980" s="163"/>
    </row>
    <row r="3981" spans="4:14" ht="11.45" customHeight="1" x14ac:dyDescent="0.2">
      <c r="D3981" s="58"/>
      <c r="G3981" s="58"/>
      <c r="H3981" s="58"/>
      <c r="I3981" s="156"/>
      <c r="K3981" s="58"/>
      <c r="M3981" s="163"/>
      <c r="N3981" s="163"/>
    </row>
    <row r="3982" spans="4:14" ht="11.45" customHeight="1" x14ac:dyDescent="0.2">
      <c r="D3982" s="58"/>
      <c r="G3982" s="58"/>
      <c r="H3982" s="58"/>
      <c r="I3982" s="156"/>
      <c r="K3982" s="58"/>
      <c r="M3982" s="163"/>
      <c r="N3982" s="163"/>
    </row>
    <row r="3983" spans="4:14" ht="11.45" customHeight="1" x14ac:dyDescent="0.2">
      <c r="D3983" s="58"/>
      <c r="G3983" s="58"/>
      <c r="H3983" s="58"/>
      <c r="I3983" s="156"/>
      <c r="K3983" s="58"/>
      <c r="M3983" s="163"/>
      <c r="N3983" s="163"/>
    </row>
    <row r="3984" spans="4:14" ht="11.45" customHeight="1" x14ac:dyDescent="0.2">
      <c r="D3984" s="58"/>
      <c r="G3984" s="58"/>
      <c r="H3984" s="58"/>
      <c r="I3984" s="156"/>
      <c r="K3984" s="58"/>
      <c r="M3984" s="163"/>
      <c r="N3984" s="163"/>
    </row>
    <row r="3985" spans="4:14" ht="11.45" customHeight="1" x14ac:dyDescent="0.2">
      <c r="D3985" s="58"/>
      <c r="G3985" s="58"/>
      <c r="H3985" s="58"/>
      <c r="I3985" s="156"/>
      <c r="K3985" s="58"/>
      <c r="M3985" s="163"/>
      <c r="N3985" s="163"/>
    </row>
    <row r="3986" spans="4:14" ht="11.45" customHeight="1" x14ac:dyDescent="0.2">
      <c r="D3986" s="58"/>
      <c r="G3986" s="58"/>
      <c r="H3986" s="58"/>
      <c r="I3986" s="156"/>
      <c r="K3986" s="58"/>
      <c r="M3986" s="163"/>
      <c r="N3986" s="163"/>
    </row>
    <row r="3987" spans="4:14" ht="11.45" customHeight="1" x14ac:dyDescent="0.2">
      <c r="D3987" s="58"/>
      <c r="G3987" s="58"/>
      <c r="H3987" s="58"/>
      <c r="I3987" s="156"/>
      <c r="K3987" s="58"/>
      <c r="M3987" s="163"/>
      <c r="N3987" s="163"/>
    </row>
    <row r="3988" spans="4:14" ht="11.45" customHeight="1" x14ac:dyDescent="0.2">
      <c r="D3988" s="58"/>
      <c r="G3988" s="58"/>
      <c r="H3988" s="58"/>
      <c r="I3988" s="156"/>
      <c r="K3988" s="58"/>
      <c r="M3988" s="163"/>
      <c r="N3988" s="163"/>
    </row>
    <row r="3989" spans="4:14" ht="11.45" customHeight="1" x14ac:dyDescent="0.2">
      <c r="D3989" s="58"/>
      <c r="G3989" s="58"/>
      <c r="H3989" s="58"/>
      <c r="I3989" s="156"/>
      <c r="K3989" s="58"/>
      <c r="M3989" s="163"/>
      <c r="N3989" s="163"/>
    </row>
    <row r="3990" spans="4:14" ht="11.45" customHeight="1" x14ac:dyDescent="0.2">
      <c r="D3990" s="58"/>
      <c r="G3990" s="58"/>
      <c r="H3990" s="58"/>
      <c r="I3990" s="156"/>
      <c r="K3990" s="58"/>
      <c r="M3990" s="163"/>
      <c r="N3990" s="163"/>
    </row>
    <row r="3991" spans="4:14" ht="11.45" customHeight="1" x14ac:dyDescent="0.2">
      <c r="D3991" s="58"/>
      <c r="G3991" s="58"/>
      <c r="H3991" s="58"/>
      <c r="I3991" s="156"/>
      <c r="K3991" s="58"/>
      <c r="M3991" s="163"/>
      <c r="N3991" s="163"/>
    </row>
    <row r="3992" spans="4:14" ht="11.45" customHeight="1" x14ac:dyDescent="0.2">
      <c r="D3992" s="58"/>
      <c r="G3992" s="58"/>
      <c r="H3992" s="58"/>
      <c r="I3992" s="156"/>
      <c r="K3992" s="58"/>
      <c r="M3992" s="163"/>
      <c r="N3992" s="163"/>
    </row>
    <row r="3993" spans="4:14" ht="11.45" customHeight="1" x14ac:dyDescent="0.2">
      <c r="D3993" s="58"/>
      <c r="G3993" s="58"/>
      <c r="H3993" s="58"/>
      <c r="I3993" s="156"/>
      <c r="K3993" s="58"/>
      <c r="M3993" s="163"/>
      <c r="N3993" s="163"/>
    </row>
    <row r="3994" spans="4:14" ht="11.45" customHeight="1" x14ac:dyDescent="0.2">
      <c r="D3994" s="58"/>
      <c r="G3994" s="58"/>
      <c r="H3994" s="58"/>
      <c r="I3994" s="156"/>
      <c r="K3994" s="58"/>
      <c r="M3994" s="163"/>
      <c r="N3994" s="163"/>
    </row>
    <row r="3995" spans="4:14" ht="11.45" customHeight="1" x14ac:dyDescent="0.2">
      <c r="D3995" s="58"/>
      <c r="G3995" s="58"/>
      <c r="H3995" s="58"/>
      <c r="I3995" s="156"/>
      <c r="K3995" s="58"/>
      <c r="M3995" s="163"/>
      <c r="N3995" s="163"/>
    </row>
    <row r="3996" spans="4:14" ht="11.45" customHeight="1" x14ac:dyDescent="0.2">
      <c r="D3996" s="58"/>
      <c r="G3996" s="58"/>
      <c r="H3996" s="58"/>
      <c r="I3996" s="156"/>
      <c r="K3996" s="58"/>
      <c r="M3996" s="163"/>
      <c r="N3996" s="163"/>
    </row>
    <row r="3997" spans="4:14" ht="11.45" customHeight="1" x14ac:dyDescent="0.2">
      <c r="D3997" s="58"/>
      <c r="G3997" s="58"/>
      <c r="H3997" s="58"/>
      <c r="I3997" s="156"/>
      <c r="K3997" s="58"/>
      <c r="M3997" s="163"/>
      <c r="N3997" s="163"/>
    </row>
    <row r="3998" spans="4:14" ht="11.45" customHeight="1" x14ac:dyDescent="0.2">
      <c r="D3998" s="58"/>
      <c r="G3998" s="58"/>
      <c r="H3998" s="58"/>
      <c r="I3998" s="156"/>
      <c r="K3998" s="58"/>
      <c r="M3998" s="163"/>
      <c r="N3998" s="163"/>
    </row>
    <row r="3999" spans="4:14" ht="11.45" customHeight="1" x14ac:dyDescent="0.2">
      <c r="D3999" s="58"/>
      <c r="G3999" s="58"/>
      <c r="H3999" s="58"/>
      <c r="I3999" s="156"/>
      <c r="K3999" s="58"/>
      <c r="M3999" s="163"/>
      <c r="N3999" s="163"/>
    </row>
    <row r="4000" spans="4:14" ht="11.45" customHeight="1" x14ac:dyDescent="0.2">
      <c r="D4000" s="58"/>
      <c r="G4000" s="58"/>
      <c r="H4000" s="58"/>
      <c r="I4000" s="156"/>
      <c r="K4000" s="58"/>
      <c r="M4000" s="163"/>
      <c r="N4000" s="163"/>
    </row>
    <row r="4001" spans="8:13" ht="11.45" customHeight="1" x14ac:dyDescent="0.2">
      <c r="H4001" s="58"/>
      <c r="I4001" s="156"/>
      <c r="K4001" s="58"/>
      <c r="M4001" s="163"/>
    </row>
    <row r="4002" spans="8:13" ht="11.45" customHeight="1" x14ac:dyDescent="0.2">
      <c r="H4002" s="58"/>
      <c r="I4002" s="156"/>
      <c r="K4002" s="58"/>
      <c r="M4002" s="163"/>
    </row>
    <row r="4003" spans="8:13" ht="11.45" customHeight="1" x14ac:dyDescent="0.2">
      <c r="H4003" s="58"/>
      <c r="I4003" s="156"/>
      <c r="K4003" s="58"/>
      <c r="M4003" s="163"/>
    </row>
    <row r="4004" spans="8:13" ht="11.45" customHeight="1" x14ac:dyDescent="0.2">
      <c r="H4004" s="58"/>
      <c r="I4004" s="156"/>
      <c r="K4004" s="58"/>
      <c r="M4004" s="163"/>
    </row>
    <row r="4005" spans="8:13" ht="11.45" customHeight="1" x14ac:dyDescent="0.2">
      <c r="H4005" s="58"/>
      <c r="I4005" s="156"/>
      <c r="K4005" s="58"/>
      <c r="M4005" s="163"/>
    </row>
    <row r="4006" spans="8:13" ht="11.45" customHeight="1" x14ac:dyDescent="0.2">
      <c r="H4006" s="58"/>
      <c r="I4006" s="156"/>
      <c r="K4006" s="58"/>
      <c r="M4006" s="163"/>
    </row>
    <row r="4007" spans="8:13" ht="11.45" customHeight="1" x14ac:dyDescent="0.2">
      <c r="H4007" s="58"/>
      <c r="I4007" s="156"/>
      <c r="K4007" s="58"/>
      <c r="M4007" s="163"/>
    </row>
    <row r="4008" spans="8:13" ht="11.45" customHeight="1" x14ac:dyDescent="0.2">
      <c r="H4008" s="58"/>
      <c r="I4008" s="156"/>
      <c r="K4008" s="58"/>
      <c r="M4008" s="163"/>
    </row>
    <row r="4009" spans="8:13" ht="11.45" customHeight="1" x14ac:dyDescent="0.2">
      <c r="H4009" s="58"/>
      <c r="I4009" s="156"/>
      <c r="K4009" s="58"/>
      <c r="M4009" s="163"/>
    </row>
    <row r="4010" spans="8:13" ht="11.45" customHeight="1" x14ac:dyDescent="0.2">
      <c r="H4010" s="58"/>
      <c r="I4010" s="156"/>
      <c r="K4010" s="58"/>
      <c r="M4010" s="163"/>
    </row>
    <row r="4011" spans="8:13" ht="11.45" customHeight="1" x14ac:dyDescent="0.2">
      <c r="H4011" s="58"/>
      <c r="I4011" s="156"/>
      <c r="K4011" s="58"/>
      <c r="M4011" s="163"/>
    </row>
    <row r="4012" spans="8:13" ht="11.45" customHeight="1" x14ac:dyDescent="0.2">
      <c r="H4012" s="58"/>
      <c r="I4012" s="156"/>
      <c r="K4012" s="58"/>
      <c r="M4012" s="163"/>
    </row>
    <row r="4013" spans="8:13" ht="11.45" customHeight="1" x14ac:dyDescent="0.2">
      <c r="H4013" s="58"/>
      <c r="I4013" s="156"/>
      <c r="K4013" s="58"/>
      <c r="M4013" s="163"/>
    </row>
    <row r="4014" spans="8:13" ht="11.45" customHeight="1" x14ac:dyDescent="0.2">
      <c r="H4014" s="58"/>
      <c r="I4014" s="156"/>
      <c r="K4014" s="58"/>
      <c r="M4014" s="163"/>
    </row>
    <row r="4015" spans="8:13" ht="11.45" customHeight="1" x14ac:dyDescent="0.2">
      <c r="H4015" s="58"/>
      <c r="I4015" s="156"/>
      <c r="K4015" s="58"/>
      <c r="M4015" s="163"/>
    </row>
    <row r="4016" spans="8:13" ht="11.45" customHeight="1" x14ac:dyDescent="0.2">
      <c r="H4016" s="58"/>
      <c r="I4016" s="156"/>
      <c r="K4016" s="58"/>
      <c r="M4016" s="163"/>
    </row>
    <row r="4017" spans="8:13" ht="11.45" customHeight="1" x14ac:dyDescent="0.2">
      <c r="H4017" s="58"/>
      <c r="I4017" s="156"/>
      <c r="K4017" s="58"/>
      <c r="M4017" s="163"/>
    </row>
    <row r="4018" spans="8:13" ht="11.45" customHeight="1" x14ac:dyDescent="0.2">
      <c r="H4018" s="58"/>
      <c r="I4018" s="156"/>
      <c r="K4018" s="58"/>
      <c r="M4018" s="163"/>
    </row>
    <row r="4019" spans="8:13" ht="11.45" customHeight="1" x14ac:dyDescent="0.2">
      <c r="H4019" s="58"/>
      <c r="I4019" s="156"/>
      <c r="K4019" s="58"/>
      <c r="M4019" s="163"/>
    </row>
    <row r="4020" spans="8:13" ht="11.45" customHeight="1" x14ac:dyDescent="0.2">
      <c r="H4020" s="58"/>
      <c r="I4020" s="156"/>
      <c r="K4020" s="58"/>
      <c r="M4020" s="163"/>
    </row>
    <row r="4021" spans="8:13" ht="11.45" customHeight="1" x14ac:dyDescent="0.2">
      <c r="H4021" s="58"/>
      <c r="I4021" s="156"/>
      <c r="K4021" s="58"/>
      <c r="M4021" s="163"/>
    </row>
    <row r="4022" spans="8:13" ht="11.45" customHeight="1" x14ac:dyDescent="0.2">
      <c r="H4022" s="58"/>
      <c r="I4022" s="156"/>
      <c r="K4022" s="58"/>
      <c r="M4022" s="163"/>
    </row>
    <row r="4023" spans="8:13" ht="11.45" customHeight="1" x14ac:dyDescent="0.2">
      <c r="H4023" s="58"/>
      <c r="I4023" s="156"/>
      <c r="K4023" s="58"/>
      <c r="M4023" s="163"/>
    </row>
    <row r="4024" spans="8:13" ht="11.45" customHeight="1" x14ac:dyDescent="0.2">
      <c r="H4024" s="58"/>
      <c r="I4024" s="156"/>
      <c r="K4024" s="58"/>
      <c r="M4024" s="163"/>
    </row>
    <row r="4025" spans="8:13" ht="11.45" customHeight="1" x14ac:dyDescent="0.2">
      <c r="H4025" s="58"/>
      <c r="I4025" s="156"/>
      <c r="K4025" s="58"/>
      <c r="M4025" s="163"/>
    </row>
    <row r="4026" spans="8:13" ht="11.45" customHeight="1" x14ac:dyDescent="0.2">
      <c r="H4026" s="58"/>
      <c r="I4026" s="156"/>
      <c r="K4026" s="58"/>
      <c r="M4026" s="163"/>
    </row>
    <row r="4027" spans="8:13" ht="11.45" customHeight="1" x14ac:dyDescent="0.2">
      <c r="H4027" s="58"/>
      <c r="I4027" s="156"/>
      <c r="K4027" s="58"/>
      <c r="M4027" s="163"/>
    </row>
    <row r="4028" spans="8:13" ht="11.45" customHeight="1" x14ac:dyDescent="0.2">
      <c r="H4028" s="58"/>
      <c r="I4028" s="156"/>
      <c r="K4028" s="58"/>
      <c r="M4028" s="163"/>
    </row>
    <row r="4029" spans="8:13" ht="11.45" customHeight="1" x14ac:dyDescent="0.2">
      <c r="H4029" s="58"/>
      <c r="I4029" s="156"/>
      <c r="K4029" s="58"/>
      <c r="M4029" s="163"/>
    </row>
    <row r="4030" spans="8:13" ht="11.45" customHeight="1" x14ac:dyDescent="0.2">
      <c r="H4030" s="58"/>
      <c r="I4030" s="156"/>
      <c r="K4030" s="58"/>
      <c r="M4030" s="163"/>
    </row>
    <row r="4031" spans="8:13" ht="11.45" customHeight="1" x14ac:dyDescent="0.2">
      <c r="H4031" s="58"/>
      <c r="I4031" s="156"/>
      <c r="K4031" s="58"/>
      <c r="M4031" s="163"/>
    </row>
    <row r="4032" spans="8:13" ht="11.45" customHeight="1" x14ac:dyDescent="0.2">
      <c r="H4032" s="58"/>
      <c r="I4032" s="156"/>
      <c r="K4032" s="58"/>
      <c r="M4032" s="163"/>
    </row>
    <row r="4033" spans="8:13" ht="11.45" customHeight="1" x14ac:dyDescent="0.2">
      <c r="H4033" s="58"/>
      <c r="I4033" s="156"/>
      <c r="K4033" s="58"/>
      <c r="M4033" s="163"/>
    </row>
    <row r="4034" spans="8:13" ht="11.45" customHeight="1" x14ac:dyDescent="0.2">
      <c r="H4034" s="58"/>
      <c r="I4034" s="156"/>
      <c r="K4034" s="58"/>
      <c r="M4034" s="163"/>
    </row>
    <row r="4035" spans="8:13" ht="11.45" customHeight="1" x14ac:dyDescent="0.2">
      <c r="H4035" s="58"/>
      <c r="I4035" s="156"/>
      <c r="K4035" s="58"/>
      <c r="M4035" s="163"/>
    </row>
    <row r="4036" spans="8:13" ht="11.45" customHeight="1" x14ac:dyDescent="0.2">
      <c r="H4036" s="58"/>
      <c r="I4036" s="156"/>
      <c r="K4036" s="58"/>
      <c r="M4036" s="163"/>
    </row>
    <row r="4037" spans="8:13" ht="11.45" customHeight="1" x14ac:dyDescent="0.2">
      <c r="H4037" s="58"/>
      <c r="I4037" s="156"/>
      <c r="K4037" s="58"/>
      <c r="M4037" s="163"/>
    </row>
    <row r="4038" spans="8:13" ht="11.45" customHeight="1" x14ac:dyDescent="0.2">
      <c r="H4038" s="58"/>
      <c r="I4038" s="156"/>
      <c r="K4038" s="58"/>
      <c r="M4038" s="163"/>
    </row>
    <row r="4039" spans="8:13" ht="11.45" customHeight="1" x14ac:dyDescent="0.2">
      <c r="H4039" s="58"/>
      <c r="I4039" s="156"/>
      <c r="K4039" s="58"/>
      <c r="M4039" s="163"/>
    </row>
    <row r="4040" spans="8:13" ht="11.45" customHeight="1" x14ac:dyDescent="0.2">
      <c r="H4040" s="58"/>
      <c r="I4040" s="156"/>
      <c r="K4040" s="58"/>
      <c r="M4040" s="163"/>
    </row>
    <row r="4041" spans="8:13" ht="11.45" customHeight="1" x14ac:dyDescent="0.2">
      <c r="H4041" s="58"/>
      <c r="I4041" s="156"/>
      <c r="K4041" s="58"/>
      <c r="M4041" s="163"/>
    </row>
    <row r="4042" spans="8:13" ht="11.45" customHeight="1" x14ac:dyDescent="0.2">
      <c r="H4042" s="58"/>
      <c r="I4042" s="156"/>
      <c r="K4042" s="58"/>
      <c r="M4042" s="163"/>
    </row>
    <row r="4043" spans="8:13" ht="11.45" customHeight="1" x14ac:dyDescent="0.2">
      <c r="H4043" s="58"/>
      <c r="I4043" s="156"/>
      <c r="K4043" s="58"/>
      <c r="M4043" s="163"/>
    </row>
    <row r="4044" spans="8:13" ht="11.45" customHeight="1" x14ac:dyDescent="0.2">
      <c r="H4044" s="58"/>
      <c r="I4044" s="156"/>
      <c r="K4044" s="58"/>
      <c r="M4044" s="163"/>
    </row>
    <row r="4045" spans="8:13" ht="11.45" customHeight="1" x14ac:dyDescent="0.2">
      <c r="H4045" s="58"/>
      <c r="I4045" s="156"/>
      <c r="K4045" s="58"/>
      <c r="M4045" s="163"/>
    </row>
    <row r="4046" spans="8:13" ht="11.45" customHeight="1" x14ac:dyDescent="0.2">
      <c r="H4046" s="58"/>
      <c r="I4046" s="156"/>
      <c r="K4046" s="58"/>
      <c r="M4046" s="163"/>
    </row>
    <row r="4047" spans="8:13" ht="11.45" customHeight="1" x14ac:dyDescent="0.2">
      <c r="H4047" s="58"/>
      <c r="I4047" s="156"/>
      <c r="K4047" s="58"/>
      <c r="M4047" s="163"/>
    </row>
    <row r="4048" spans="8:13" ht="11.45" customHeight="1" x14ac:dyDescent="0.2">
      <c r="H4048" s="58"/>
      <c r="I4048" s="156"/>
      <c r="K4048" s="58"/>
      <c r="M4048" s="163"/>
    </row>
    <row r="4049" spans="8:13" ht="11.45" customHeight="1" x14ac:dyDescent="0.2">
      <c r="H4049" s="58"/>
      <c r="I4049" s="156"/>
      <c r="K4049" s="58"/>
      <c r="M4049" s="163"/>
    </row>
    <row r="4050" spans="8:13" ht="11.45" customHeight="1" x14ac:dyDescent="0.2">
      <c r="H4050" s="58"/>
      <c r="I4050" s="156"/>
      <c r="K4050" s="58"/>
      <c r="M4050" s="163"/>
    </row>
    <row r="4051" spans="8:13" ht="11.45" customHeight="1" x14ac:dyDescent="0.2">
      <c r="H4051" s="58"/>
      <c r="I4051" s="156"/>
      <c r="K4051" s="58"/>
      <c r="M4051" s="163"/>
    </row>
    <row r="4052" spans="8:13" ht="11.45" customHeight="1" x14ac:dyDescent="0.2">
      <c r="H4052" s="58"/>
      <c r="I4052" s="156"/>
      <c r="K4052" s="58"/>
      <c r="M4052" s="163"/>
    </row>
    <row r="4053" spans="8:13" ht="11.45" customHeight="1" x14ac:dyDescent="0.2">
      <c r="H4053" s="58"/>
      <c r="I4053" s="156"/>
      <c r="K4053" s="58"/>
      <c r="M4053" s="163"/>
    </row>
    <row r="4054" spans="8:13" ht="11.45" customHeight="1" x14ac:dyDescent="0.2">
      <c r="H4054" s="58"/>
      <c r="I4054" s="156"/>
      <c r="K4054" s="58"/>
      <c r="M4054" s="163"/>
    </row>
    <row r="4055" spans="8:13" ht="11.45" customHeight="1" x14ac:dyDescent="0.2">
      <c r="H4055" s="58"/>
      <c r="I4055" s="156"/>
      <c r="K4055" s="58"/>
      <c r="M4055" s="163"/>
    </row>
    <row r="4056" spans="8:13" ht="11.45" customHeight="1" x14ac:dyDescent="0.2">
      <c r="H4056" s="58"/>
      <c r="I4056" s="156"/>
      <c r="K4056" s="58"/>
      <c r="M4056" s="163"/>
    </row>
    <row r="4057" spans="8:13" ht="11.45" customHeight="1" x14ac:dyDescent="0.2">
      <c r="H4057" s="58"/>
      <c r="I4057" s="156"/>
      <c r="K4057" s="58"/>
      <c r="M4057" s="163"/>
    </row>
    <row r="4058" spans="8:13" ht="11.45" customHeight="1" x14ac:dyDescent="0.2">
      <c r="H4058" s="58"/>
      <c r="I4058" s="156"/>
      <c r="K4058" s="58"/>
      <c r="M4058" s="163"/>
    </row>
    <row r="4059" spans="8:13" ht="11.45" customHeight="1" x14ac:dyDescent="0.2">
      <c r="H4059" s="58"/>
      <c r="I4059" s="156"/>
      <c r="K4059" s="58"/>
      <c r="M4059" s="163"/>
    </row>
    <row r="4060" spans="8:13" ht="11.45" customHeight="1" x14ac:dyDescent="0.2">
      <c r="H4060" s="58"/>
      <c r="I4060" s="156"/>
      <c r="K4060" s="58"/>
      <c r="M4060" s="163"/>
    </row>
    <row r="4061" spans="8:13" ht="11.45" customHeight="1" x14ac:dyDescent="0.2">
      <c r="H4061" s="58"/>
      <c r="I4061" s="156"/>
      <c r="K4061" s="58"/>
      <c r="M4061" s="163"/>
    </row>
    <row r="4062" spans="8:13" ht="11.45" customHeight="1" x14ac:dyDescent="0.2">
      <c r="H4062" s="58"/>
      <c r="I4062" s="156"/>
      <c r="K4062" s="58"/>
      <c r="M4062" s="163"/>
    </row>
    <row r="4063" spans="8:13" ht="11.45" customHeight="1" x14ac:dyDescent="0.2">
      <c r="H4063" s="58"/>
      <c r="I4063" s="156"/>
      <c r="K4063" s="58"/>
      <c r="M4063" s="163"/>
    </row>
    <row r="4064" spans="8:13" ht="11.45" customHeight="1" x14ac:dyDescent="0.2">
      <c r="H4064" s="58"/>
      <c r="I4064" s="156"/>
      <c r="K4064" s="58"/>
      <c r="M4064" s="163"/>
    </row>
    <row r="4065" spans="8:13" ht="11.45" customHeight="1" x14ac:dyDescent="0.2">
      <c r="H4065" s="58"/>
      <c r="I4065" s="156"/>
      <c r="K4065" s="58"/>
      <c r="M4065" s="163"/>
    </row>
    <row r="4066" spans="8:13" ht="11.45" customHeight="1" x14ac:dyDescent="0.2">
      <c r="H4066" s="58"/>
      <c r="I4066" s="156"/>
      <c r="K4066" s="58"/>
      <c r="M4066" s="163"/>
    </row>
    <row r="4067" spans="8:13" ht="11.45" customHeight="1" x14ac:dyDescent="0.2">
      <c r="H4067" s="58"/>
      <c r="I4067" s="156"/>
      <c r="K4067" s="58"/>
      <c r="M4067" s="163"/>
    </row>
    <row r="4068" spans="8:13" ht="11.45" customHeight="1" x14ac:dyDescent="0.2">
      <c r="H4068" s="58"/>
      <c r="I4068" s="156"/>
      <c r="K4068" s="58"/>
      <c r="M4068" s="163"/>
    </row>
    <row r="4069" spans="8:13" ht="11.45" customHeight="1" x14ac:dyDescent="0.2">
      <c r="H4069" s="58"/>
      <c r="I4069" s="156"/>
      <c r="K4069" s="58"/>
      <c r="M4069" s="163"/>
    </row>
    <row r="4070" spans="8:13" ht="11.45" customHeight="1" x14ac:dyDescent="0.2">
      <c r="H4070" s="58"/>
      <c r="I4070" s="156"/>
      <c r="K4070" s="58"/>
      <c r="M4070" s="163"/>
    </row>
    <row r="4071" spans="8:13" ht="11.45" customHeight="1" x14ac:dyDescent="0.2">
      <c r="H4071" s="58"/>
      <c r="I4071" s="156"/>
      <c r="K4071" s="58"/>
      <c r="M4071" s="163"/>
    </row>
    <row r="4072" spans="8:13" ht="11.45" customHeight="1" x14ac:dyDescent="0.2">
      <c r="H4072" s="58"/>
      <c r="I4072" s="156"/>
      <c r="K4072" s="58"/>
      <c r="M4072" s="163"/>
    </row>
    <row r="4073" spans="8:13" ht="11.45" customHeight="1" x14ac:dyDescent="0.2">
      <c r="H4073" s="58"/>
      <c r="I4073" s="156"/>
      <c r="K4073" s="58"/>
      <c r="M4073" s="163"/>
    </row>
    <row r="4074" spans="8:13" ht="11.45" customHeight="1" x14ac:dyDescent="0.2">
      <c r="H4074" s="58"/>
      <c r="I4074" s="156"/>
      <c r="K4074" s="58"/>
      <c r="M4074" s="163"/>
    </row>
    <row r="4075" spans="8:13" ht="11.45" customHeight="1" x14ac:dyDescent="0.2">
      <c r="H4075" s="58"/>
      <c r="I4075" s="156"/>
      <c r="K4075" s="58"/>
      <c r="M4075" s="163"/>
    </row>
    <row r="4076" spans="8:13" ht="11.45" customHeight="1" x14ac:dyDescent="0.2">
      <c r="H4076" s="58"/>
      <c r="I4076" s="156"/>
      <c r="K4076" s="58"/>
      <c r="M4076" s="163"/>
    </row>
    <row r="4077" spans="8:13" ht="11.45" customHeight="1" x14ac:dyDescent="0.2">
      <c r="H4077" s="58"/>
      <c r="I4077" s="156"/>
      <c r="K4077" s="58"/>
      <c r="M4077" s="163"/>
    </row>
    <row r="4078" spans="8:13" ht="11.45" customHeight="1" x14ac:dyDescent="0.2">
      <c r="H4078" s="58"/>
      <c r="I4078" s="156"/>
      <c r="K4078" s="58"/>
      <c r="M4078" s="163"/>
    </row>
    <row r="4079" spans="8:13" ht="11.45" customHeight="1" x14ac:dyDescent="0.2">
      <c r="H4079" s="58"/>
      <c r="I4079" s="156"/>
      <c r="K4079" s="58"/>
      <c r="M4079" s="163"/>
    </row>
    <row r="4080" spans="8:13" ht="11.45" customHeight="1" x14ac:dyDescent="0.2">
      <c r="H4080" s="58"/>
      <c r="I4080" s="156"/>
      <c r="K4080" s="58"/>
      <c r="M4080" s="163"/>
    </row>
    <row r="4081" spans="8:13" ht="11.45" customHeight="1" x14ac:dyDescent="0.2">
      <c r="H4081" s="58"/>
      <c r="I4081" s="156"/>
      <c r="K4081" s="58"/>
      <c r="M4081" s="163"/>
    </row>
    <row r="4082" spans="8:13" ht="11.45" customHeight="1" x14ac:dyDescent="0.2">
      <c r="H4082" s="58"/>
      <c r="I4082" s="156"/>
      <c r="K4082" s="58"/>
      <c r="M4082" s="163"/>
    </row>
    <row r="4083" spans="8:13" ht="11.45" customHeight="1" x14ac:dyDescent="0.2">
      <c r="H4083" s="58"/>
      <c r="I4083" s="156"/>
      <c r="K4083" s="58"/>
      <c r="M4083" s="163"/>
    </row>
    <row r="4084" spans="8:13" ht="11.45" customHeight="1" x14ac:dyDescent="0.2">
      <c r="H4084" s="58"/>
      <c r="I4084" s="156"/>
      <c r="K4084" s="58"/>
      <c r="M4084" s="163"/>
    </row>
    <row r="4085" spans="8:13" ht="11.45" customHeight="1" x14ac:dyDescent="0.2">
      <c r="H4085" s="58"/>
      <c r="I4085" s="156"/>
      <c r="K4085" s="58"/>
      <c r="M4085" s="163"/>
    </row>
    <row r="4086" spans="8:13" ht="11.45" customHeight="1" x14ac:dyDescent="0.2">
      <c r="H4086" s="58"/>
      <c r="I4086" s="156"/>
      <c r="K4086" s="58"/>
      <c r="M4086" s="163"/>
    </row>
    <row r="4087" spans="8:13" ht="11.45" customHeight="1" x14ac:dyDescent="0.2">
      <c r="H4087" s="58"/>
      <c r="I4087" s="156"/>
      <c r="K4087" s="58"/>
      <c r="M4087" s="163"/>
    </row>
    <row r="4088" spans="8:13" ht="11.45" customHeight="1" x14ac:dyDescent="0.2">
      <c r="H4088" s="58"/>
      <c r="I4088" s="156"/>
      <c r="K4088" s="58"/>
      <c r="M4088" s="163"/>
    </row>
    <row r="4089" spans="8:13" ht="11.45" customHeight="1" x14ac:dyDescent="0.2">
      <c r="H4089" s="58"/>
      <c r="I4089" s="156"/>
      <c r="K4089" s="58"/>
      <c r="M4089" s="163"/>
    </row>
    <row r="4090" spans="8:13" ht="11.45" customHeight="1" x14ac:dyDescent="0.2">
      <c r="H4090" s="58"/>
      <c r="I4090" s="156"/>
      <c r="K4090" s="58"/>
      <c r="M4090" s="163"/>
    </row>
    <row r="4091" spans="8:13" ht="11.45" customHeight="1" x14ac:dyDescent="0.2">
      <c r="H4091" s="58"/>
      <c r="I4091" s="156"/>
      <c r="K4091" s="58"/>
      <c r="M4091" s="163"/>
    </row>
    <row r="4092" spans="8:13" ht="11.45" customHeight="1" x14ac:dyDescent="0.2">
      <c r="H4092" s="58"/>
      <c r="I4092" s="156"/>
      <c r="K4092" s="58"/>
      <c r="M4092" s="163"/>
    </row>
    <row r="4093" spans="8:13" ht="11.45" customHeight="1" x14ac:dyDescent="0.2">
      <c r="H4093" s="58"/>
      <c r="I4093" s="156"/>
      <c r="K4093" s="58"/>
      <c r="M4093" s="163"/>
    </row>
    <row r="4094" spans="8:13" ht="11.45" customHeight="1" x14ac:dyDescent="0.2">
      <c r="H4094" s="58"/>
      <c r="I4094" s="156"/>
      <c r="K4094" s="58"/>
      <c r="M4094" s="163"/>
    </row>
    <row r="4095" spans="8:13" ht="11.45" customHeight="1" x14ac:dyDescent="0.2">
      <c r="H4095" s="58"/>
      <c r="I4095" s="156"/>
      <c r="K4095" s="58"/>
      <c r="M4095" s="163"/>
    </row>
    <row r="4096" spans="8:13" ht="11.45" customHeight="1" x14ac:dyDescent="0.2">
      <c r="H4096" s="58"/>
      <c r="I4096" s="156"/>
      <c r="K4096" s="58"/>
      <c r="M4096" s="163"/>
    </row>
    <row r="4097" spans="8:13" ht="11.45" customHeight="1" x14ac:dyDescent="0.2">
      <c r="H4097" s="58"/>
      <c r="I4097" s="156"/>
      <c r="K4097" s="58"/>
      <c r="M4097" s="163"/>
    </row>
    <row r="4098" spans="8:13" ht="11.45" customHeight="1" x14ac:dyDescent="0.2">
      <c r="H4098" s="58"/>
      <c r="I4098" s="156"/>
      <c r="K4098" s="58"/>
      <c r="M4098" s="163"/>
    </row>
    <row r="4099" spans="8:13" ht="11.45" customHeight="1" x14ac:dyDescent="0.2">
      <c r="H4099" s="58"/>
      <c r="I4099" s="156"/>
      <c r="K4099" s="58"/>
      <c r="M4099" s="163"/>
    </row>
    <row r="4100" spans="8:13" ht="11.45" customHeight="1" x14ac:dyDescent="0.2">
      <c r="H4100" s="58"/>
      <c r="I4100" s="156"/>
      <c r="K4100" s="58"/>
      <c r="M4100" s="163"/>
    </row>
    <row r="4101" spans="8:13" ht="11.45" customHeight="1" x14ac:dyDescent="0.2">
      <c r="H4101" s="58"/>
      <c r="I4101" s="156"/>
      <c r="K4101" s="58"/>
      <c r="M4101" s="163"/>
    </row>
    <row r="4102" spans="8:13" ht="11.45" customHeight="1" x14ac:dyDescent="0.2">
      <c r="H4102" s="58"/>
      <c r="I4102" s="156"/>
      <c r="K4102" s="58"/>
      <c r="M4102" s="163"/>
    </row>
    <row r="4103" spans="8:13" ht="11.45" customHeight="1" x14ac:dyDescent="0.2">
      <c r="H4103" s="58"/>
      <c r="I4103" s="156"/>
      <c r="K4103" s="58"/>
      <c r="M4103" s="163"/>
    </row>
    <row r="4104" spans="8:13" ht="11.45" customHeight="1" x14ac:dyDescent="0.2">
      <c r="H4104" s="58"/>
      <c r="I4104" s="156"/>
      <c r="K4104" s="58"/>
      <c r="M4104" s="163"/>
    </row>
    <row r="4105" spans="8:13" ht="11.45" customHeight="1" x14ac:dyDescent="0.2">
      <c r="H4105" s="58"/>
      <c r="I4105" s="156"/>
      <c r="K4105" s="58"/>
      <c r="M4105" s="163"/>
    </row>
    <row r="4106" spans="8:13" ht="11.45" customHeight="1" x14ac:dyDescent="0.2">
      <c r="H4106" s="58"/>
      <c r="I4106" s="156"/>
      <c r="K4106" s="58"/>
      <c r="M4106" s="163"/>
    </row>
    <row r="4107" spans="8:13" ht="11.45" customHeight="1" x14ac:dyDescent="0.2">
      <c r="H4107" s="58"/>
      <c r="I4107" s="156"/>
      <c r="K4107" s="58"/>
      <c r="M4107" s="163"/>
    </row>
    <row r="4108" spans="8:13" ht="11.45" customHeight="1" x14ac:dyDescent="0.2">
      <c r="H4108" s="58"/>
      <c r="I4108" s="156"/>
      <c r="K4108" s="58"/>
      <c r="M4108" s="163"/>
    </row>
    <row r="4109" spans="8:13" ht="11.45" customHeight="1" x14ac:dyDescent="0.2">
      <c r="H4109" s="58"/>
      <c r="I4109" s="156"/>
      <c r="K4109" s="58"/>
      <c r="M4109" s="163"/>
    </row>
    <row r="4110" spans="8:13" ht="11.45" customHeight="1" x14ac:dyDescent="0.2">
      <c r="H4110" s="58"/>
      <c r="I4110" s="156"/>
      <c r="K4110" s="58"/>
      <c r="M4110" s="163"/>
    </row>
    <row r="4111" spans="8:13" ht="11.45" customHeight="1" x14ac:dyDescent="0.2">
      <c r="H4111" s="58"/>
      <c r="I4111" s="156"/>
      <c r="K4111" s="58"/>
      <c r="M4111" s="163"/>
    </row>
    <row r="4112" spans="8:13" ht="11.45" customHeight="1" x14ac:dyDescent="0.2">
      <c r="H4112" s="58"/>
      <c r="I4112" s="156"/>
      <c r="K4112" s="58"/>
      <c r="M4112" s="163"/>
    </row>
    <row r="4113" spans="8:13" ht="11.45" customHeight="1" x14ac:dyDescent="0.2">
      <c r="H4113" s="58"/>
      <c r="I4113" s="156"/>
      <c r="K4113" s="58"/>
      <c r="M4113" s="163"/>
    </row>
    <row r="4114" spans="8:13" ht="11.45" customHeight="1" x14ac:dyDescent="0.2">
      <c r="H4114" s="58"/>
      <c r="I4114" s="156"/>
      <c r="K4114" s="58"/>
      <c r="M4114" s="163"/>
    </row>
    <row r="4115" spans="8:13" ht="11.45" customHeight="1" x14ac:dyDescent="0.2">
      <c r="H4115" s="58"/>
      <c r="I4115" s="156"/>
      <c r="K4115" s="58"/>
      <c r="M4115" s="163"/>
    </row>
    <row r="4116" spans="8:13" ht="11.45" customHeight="1" x14ac:dyDescent="0.2">
      <c r="H4116" s="58"/>
      <c r="I4116" s="156"/>
      <c r="K4116" s="58"/>
      <c r="M4116" s="163"/>
    </row>
    <row r="4117" spans="8:13" ht="11.45" customHeight="1" x14ac:dyDescent="0.2">
      <c r="H4117" s="58"/>
      <c r="I4117" s="156"/>
      <c r="K4117" s="58"/>
      <c r="M4117" s="163"/>
    </row>
    <row r="4118" spans="8:13" ht="11.45" customHeight="1" x14ac:dyDescent="0.2">
      <c r="H4118" s="58"/>
      <c r="I4118" s="156"/>
      <c r="K4118" s="58"/>
      <c r="M4118" s="163"/>
    </row>
    <row r="4119" spans="8:13" ht="11.45" customHeight="1" x14ac:dyDescent="0.2">
      <c r="H4119" s="58"/>
      <c r="I4119" s="156"/>
      <c r="K4119" s="58"/>
      <c r="M4119" s="163"/>
    </row>
    <row r="4120" spans="8:13" ht="11.45" customHeight="1" x14ac:dyDescent="0.2">
      <c r="H4120" s="58"/>
      <c r="I4120" s="156"/>
      <c r="K4120" s="58"/>
      <c r="M4120" s="163"/>
    </row>
    <row r="4121" spans="8:13" ht="11.45" customHeight="1" x14ac:dyDescent="0.2">
      <c r="H4121" s="58"/>
      <c r="I4121" s="156"/>
      <c r="K4121" s="58"/>
      <c r="M4121" s="163"/>
    </row>
    <row r="4122" spans="8:13" ht="11.45" customHeight="1" x14ac:dyDescent="0.2">
      <c r="H4122" s="58"/>
      <c r="I4122" s="156"/>
      <c r="K4122" s="58"/>
      <c r="M4122" s="163"/>
    </row>
    <row r="4123" spans="8:13" ht="11.45" customHeight="1" x14ac:dyDescent="0.2">
      <c r="H4123" s="58"/>
      <c r="I4123" s="156"/>
      <c r="K4123" s="58"/>
      <c r="M4123" s="163"/>
    </row>
    <row r="4124" spans="8:13" ht="11.45" customHeight="1" x14ac:dyDescent="0.2">
      <c r="H4124" s="58"/>
      <c r="I4124" s="156"/>
      <c r="K4124" s="58"/>
      <c r="M4124" s="163"/>
    </row>
    <row r="4125" spans="8:13" ht="11.45" customHeight="1" x14ac:dyDescent="0.2">
      <c r="H4125" s="58"/>
      <c r="I4125" s="156"/>
      <c r="K4125" s="58"/>
      <c r="M4125" s="163"/>
    </row>
    <row r="4126" spans="8:13" ht="11.45" customHeight="1" x14ac:dyDescent="0.2">
      <c r="H4126" s="58"/>
      <c r="I4126" s="156"/>
      <c r="K4126" s="58"/>
      <c r="M4126" s="163"/>
    </row>
    <row r="4127" spans="8:13" ht="11.45" customHeight="1" x14ac:dyDescent="0.2">
      <c r="H4127" s="58"/>
      <c r="I4127" s="156"/>
      <c r="K4127" s="58"/>
      <c r="M4127" s="163"/>
    </row>
    <row r="4128" spans="8:13" ht="11.45" customHeight="1" x14ac:dyDescent="0.2">
      <c r="H4128" s="58"/>
      <c r="I4128" s="156"/>
      <c r="K4128" s="58"/>
      <c r="M4128" s="163"/>
    </row>
    <row r="4129" spans="8:13" ht="11.45" customHeight="1" x14ac:dyDescent="0.2">
      <c r="H4129" s="58"/>
      <c r="I4129" s="156"/>
      <c r="K4129" s="58"/>
      <c r="M4129" s="163"/>
    </row>
    <row r="4130" spans="8:13" ht="11.45" customHeight="1" x14ac:dyDescent="0.2">
      <c r="H4130" s="58"/>
      <c r="I4130" s="156"/>
      <c r="K4130" s="58"/>
      <c r="M4130" s="163"/>
    </row>
    <row r="4131" spans="8:13" ht="11.45" customHeight="1" x14ac:dyDescent="0.2">
      <c r="H4131" s="58"/>
      <c r="I4131" s="156"/>
      <c r="K4131" s="58"/>
      <c r="M4131" s="163"/>
    </row>
    <row r="4132" spans="8:13" ht="11.45" customHeight="1" x14ac:dyDescent="0.2">
      <c r="H4132" s="58"/>
      <c r="I4132" s="156"/>
      <c r="K4132" s="58"/>
      <c r="M4132" s="163"/>
    </row>
    <row r="4133" spans="8:13" ht="11.45" customHeight="1" x14ac:dyDescent="0.2">
      <c r="H4133" s="58"/>
      <c r="I4133" s="156"/>
      <c r="K4133" s="58"/>
      <c r="M4133" s="163"/>
    </row>
    <row r="4134" spans="8:13" ht="11.45" customHeight="1" x14ac:dyDescent="0.2">
      <c r="H4134" s="58"/>
      <c r="I4134" s="156"/>
      <c r="K4134" s="58"/>
      <c r="M4134" s="163"/>
    </row>
    <row r="4135" spans="8:13" ht="11.45" customHeight="1" x14ac:dyDescent="0.2">
      <c r="H4135" s="58"/>
      <c r="I4135" s="156"/>
      <c r="K4135" s="58"/>
      <c r="M4135" s="163"/>
    </row>
    <row r="4136" spans="8:13" ht="11.45" customHeight="1" x14ac:dyDescent="0.2">
      <c r="H4136" s="58"/>
      <c r="I4136" s="156"/>
      <c r="K4136" s="58"/>
      <c r="M4136" s="163"/>
    </row>
    <row r="4137" spans="8:13" ht="11.45" customHeight="1" x14ac:dyDescent="0.2">
      <c r="H4137" s="58"/>
      <c r="I4137" s="156"/>
      <c r="K4137" s="58"/>
      <c r="M4137" s="163"/>
    </row>
    <row r="4138" spans="8:13" ht="11.45" customHeight="1" x14ac:dyDescent="0.2">
      <c r="H4138" s="58"/>
      <c r="I4138" s="156"/>
      <c r="K4138" s="58"/>
      <c r="M4138" s="163"/>
    </row>
    <row r="4139" spans="8:13" ht="11.45" customHeight="1" x14ac:dyDescent="0.2">
      <c r="H4139" s="58"/>
      <c r="I4139" s="156"/>
      <c r="K4139" s="58"/>
      <c r="M4139" s="163"/>
    </row>
    <row r="4140" spans="8:13" ht="11.45" customHeight="1" x14ac:dyDescent="0.2">
      <c r="H4140" s="58"/>
      <c r="I4140" s="156"/>
      <c r="K4140" s="58"/>
      <c r="M4140" s="163"/>
    </row>
    <row r="4141" spans="8:13" ht="11.45" customHeight="1" x14ac:dyDescent="0.2">
      <c r="H4141" s="58"/>
      <c r="I4141" s="156"/>
      <c r="K4141" s="58"/>
      <c r="M4141" s="163"/>
    </row>
    <row r="4142" spans="8:13" ht="11.45" customHeight="1" x14ac:dyDescent="0.2">
      <c r="H4142" s="58"/>
      <c r="I4142" s="156"/>
      <c r="K4142" s="58"/>
      <c r="M4142" s="163"/>
    </row>
    <row r="4143" spans="8:13" ht="11.45" customHeight="1" x14ac:dyDescent="0.2">
      <c r="H4143" s="58"/>
      <c r="I4143" s="156"/>
      <c r="K4143" s="58"/>
      <c r="M4143" s="163"/>
    </row>
    <row r="4144" spans="8:13" ht="11.45" customHeight="1" x14ac:dyDescent="0.2">
      <c r="H4144" s="58"/>
      <c r="I4144" s="156"/>
      <c r="K4144" s="58"/>
      <c r="M4144" s="163"/>
    </row>
    <row r="4145" spans="8:13" ht="11.45" customHeight="1" x14ac:dyDescent="0.2">
      <c r="H4145" s="58"/>
      <c r="I4145" s="156"/>
      <c r="K4145" s="58"/>
      <c r="M4145" s="163"/>
    </row>
    <row r="4146" spans="8:13" ht="11.45" customHeight="1" x14ac:dyDescent="0.2">
      <c r="H4146" s="58"/>
      <c r="I4146" s="156"/>
      <c r="K4146" s="58"/>
      <c r="M4146" s="163"/>
    </row>
    <row r="4147" spans="8:13" ht="11.45" customHeight="1" x14ac:dyDescent="0.2">
      <c r="H4147" s="58"/>
      <c r="I4147" s="156"/>
      <c r="K4147" s="58"/>
      <c r="M4147" s="163"/>
    </row>
    <row r="4148" spans="8:13" ht="11.45" customHeight="1" x14ac:dyDescent="0.2">
      <c r="H4148" s="58"/>
      <c r="I4148" s="156"/>
      <c r="K4148" s="58"/>
      <c r="M4148" s="163"/>
    </row>
    <row r="4149" spans="8:13" ht="11.45" customHeight="1" x14ac:dyDescent="0.2">
      <c r="H4149" s="58"/>
      <c r="I4149" s="156"/>
      <c r="K4149" s="58"/>
      <c r="M4149" s="163"/>
    </row>
    <row r="4150" spans="8:13" ht="11.45" customHeight="1" x14ac:dyDescent="0.2">
      <c r="H4150" s="58"/>
      <c r="I4150" s="156"/>
      <c r="K4150" s="58"/>
      <c r="M4150" s="163"/>
    </row>
    <row r="4151" spans="8:13" ht="11.45" customHeight="1" x14ac:dyDescent="0.2">
      <c r="H4151" s="58"/>
      <c r="I4151" s="156"/>
      <c r="K4151" s="58"/>
      <c r="M4151" s="163"/>
    </row>
    <row r="4152" spans="8:13" ht="11.45" customHeight="1" x14ac:dyDescent="0.2">
      <c r="H4152" s="58"/>
      <c r="I4152" s="156"/>
      <c r="K4152" s="58"/>
      <c r="M4152" s="163"/>
    </row>
    <row r="4153" spans="8:13" ht="11.45" customHeight="1" x14ac:dyDescent="0.2">
      <c r="H4153" s="58"/>
      <c r="I4153" s="156"/>
      <c r="K4153" s="58"/>
      <c r="M4153" s="163"/>
    </row>
    <row r="4154" spans="8:13" ht="11.45" customHeight="1" x14ac:dyDescent="0.2">
      <c r="H4154" s="58"/>
      <c r="I4154" s="156"/>
      <c r="K4154" s="58"/>
      <c r="M4154" s="163"/>
    </row>
    <row r="4155" spans="8:13" ht="11.45" customHeight="1" x14ac:dyDescent="0.2">
      <c r="H4155" s="58"/>
      <c r="I4155" s="156"/>
      <c r="K4155" s="58"/>
      <c r="M4155" s="163"/>
    </row>
    <row r="4156" spans="8:13" ht="11.45" customHeight="1" x14ac:dyDescent="0.2">
      <c r="H4156" s="58"/>
      <c r="I4156" s="156"/>
      <c r="K4156" s="58"/>
      <c r="M4156" s="163"/>
    </row>
    <row r="4157" spans="8:13" ht="11.45" customHeight="1" x14ac:dyDescent="0.2">
      <c r="H4157" s="58"/>
      <c r="I4157" s="156"/>
      <c r="K4157" s="58"/>
      <c r="M4157" s="163"/>
    </row>
    <row r="4158" spans="8:13" ht="11.45" customHeight="1" x14ac:dyDescent="0.2">
      <c r="H4158" s="58"/>
      <c r="I4158" s="156"/>
      <c r="K4158" s="58"/>
      <c r="M4158" s="163"/>
    </row>
    <row r="4159" spans="8:13" ht="11.45" customHeight="1" x14ac:dyDescent="0.2">
      <c r="H4159" s="58"/>
      <c r="I4159" s="156"/>
      <c r="K4159" s="58"/>
      <c r="M4159" s="163"/>
    </row>
    <row r="4160" spans="8:13" ht="11.45" customHeight="1" x14ac:dyDescent="0.2">
      <c r="H4160" s="58"/>
      <c r="I4160" s="156"/>
      <c r="K4160" s="58"/>
      <c r="M4160" s="163"/>
    </row>
    <row r="4161" spans="8:13" ht="11.45" customHeight="1" x14ac:dyDescent="0.2">
      <c r="H4161" s="58"/>
      <c r="I4161" s="156"/>
      <c r="K4161" s="58"/>
      <c r="M4161" s="163"/>
    </row>
    <row r="4162" spans="8:13" ht="11.45" customHeight="1" x14ac:dyDescent="0.2">
      <c r="H4162" s="58"/>
      <c r="I4162" s="156"/>
      <c r="K4162" s="58"/>
      <c r="M4162" s="163"/>
    </row>
    <row r="4163" spans="8:13" ht="11.45" customHeight="1" x14ac:dyDescent="0.2">
      <c r="H4163" s="58"/>
      <c r="I4163" s="156"/>
      <c r="K4163" s="58"/>
      <c r="M4163" s="163"/>
    </row>
    <row r="4164" spans="8:13" ht="11.45" customHeight="1" x14ac:dyDescent="0.2">
      <c r="H4164" s="58"/>
      <c r="I4164" s="156"/>
      <c r="K4164" s="58"/>
      <c r="M4164" s="163"/>
    </row>
    <row r="4165" spans="8:13" ht="11.45" customHeight="1" x14ac:dyDescent="0.2">
      <c r="H4165" s="58"/>
      <c r="I4165" s="156"/>
      <c r="K4165" s="58"/>
      <c r="M4165" s="163"/>
    </row>
    <row r="4166" spans="8:13" ht="11.45" customHeight="1" x14ac:dyDescent="0.2">
      <c r="H4166" s="58"/>
      <c r="I4166" s="156"/>
      <c r="K4166" s="58"/>
      <c r="M4166" s="163"/>
    </row>
    <row r="4167" spans="8:13" ht="11.45" customHeight="1" x14ac:dyDescent="0.2">
      <c r="H4167" s="58"/>
      <c r="I4167" s="156"/>
      <c r="K4167" s="58"/>
      <c r="M4167" s="163"/>
    </row>
    <row r="4168" spans="8:13" ht="11.45" customHeight="1" x14ac:dyDescent="0.2">
      <c r="H4168" s="58"/>
      <c r="I4168" s="156"/>
      <c r="K4168" s="58"/>
      <c r="M4168" s="163"/>
    </row>
    <row r="4169" spans="8:13" ht="11.45" customHeight="1" x14ac:dyDescent="0.2">
      <c r="H4169" s="58"/>
      <c r="I4169" s="156"/>
      <c r="K4169" s="58"/>
      <c r="M4169" s="163"/>
    </row>
    <row r="4170" spans="8:13" ht="11.45" customHeight="1" x14ac:dyDescent="0.2">
      <c r="H4170" s="58"/>
      <c r="I4170" s="156"/>
      <c r="K4170" s="58"/>
      <c r="M4170" s="163"/>
    </row>
    <row r="4171" spans="8:13" ht="11.45" customHeight="1" x14ac:dyDescent="0.2">
      <c r="H4171" s="58"/>
      <c r="I4171" s="156"/>
      <c r="K4171" s="58"/>
      <c r="M4171" s="163"/>
    </row>
    <row r="4172" spans="8:13" ht="11.45" customHeight="1" x14ac:dyDescent="0.2">
      <c r="H4172" s="58"/>
      <c r="I4172" s="156"/>
      <c r="K4172" s="58"/>
      <c r="M4172" s="163"/>
    </row>
    <row r="4173" spans="8:13" ht="11.45" customHeight="1" x14ac:dyDescent="0.2">
      <c r="H4173" s="58"/>
      <c r="I4173" s="156"/>
      <c r="K4173" s="58"/>
      <c r="M4173" s="163"/>
    </row>
    <row r="4174" spans="8:13" ht="11.45" customHeight="1" x14ac:dyDescent="0.2">
      <c r="H4174" s="58"/>
      <c r="I4174" s="156"/>
      <c r="K4174" s="58"/>
      <c r="M4174" s="163"/>
    </row>
    <row r="4175" spans="8:13" ht="11.45" customHeight="1" x14ac:dyDescent="0.2">
      <c r="H4175" s="58"/>
      <c r="I4175" s="156"/>
      <c r="K4175" s="58"/>
      <c r="M4175" s="163"/>
    </row>
    <row r="4176" spans="8:13" ht="11.45" customHeight="1" x14ac:dyDescent="0.2">
      <c r="H4176" s="58"/>
      <c r="I4176" s="156"/>
      <c r="K4176" s="58"/>
      <c r="M4176" s="163"/>
    </row>
    <row r="4177" spans="8:13" ht="11.45" customHeight="1" x14ac:dyDescent="0.2">
      <c r="H4177" s="58"/>
      <c r="I4177" s="156"/>
      <c r="K4177" s="58"/>
      <c r="M4177" s="163"/>
    </row>
    <row r="4178" spans="8:13" ht="11.45" customHeight="1" x14ac:dyDescent="0.2">
      <c r="H4178" s="58"/>
      <c r="I4178" s="156"/>
      <c r="K4178" s="58"/>
      <c r="M4178" s="163"/>
    </row>
    <row r="4179" spans="8:13" ht="11.45" customHeight="1" x14ac:dyDescent="0.2">
      <c r="H4179" s="58"/>
      <c r="I4179" s="156"/>
      <c r="K4179" s="58"/>
      <c r="M4179" s="163"/>
    </row>
    <row r="4180" spans="8:13" ht="11.45" customHeight="1" x14ac:dyDescent="0.2">
      <c r="H4180" s="58"/>
      <c r="I4180" s="156"/>
      <c r="K4180" s="58"/>
      <c r="M4180" s="163"/>
    </row>
    <row r="4181" spans="8:13" ht="11.45" customHeight="1" x14ac:dyDescent="0.2">
      <c r="H4181" s="58"/>
      <c r="I4181" s="156"/>
      <c r="K4181" s="58"/>
      <c r="M4181" s="163"/>
    </row>
    <row r="4182" spans="8:13" ht="11.45" customHeight="1" x14ac:dyDescent="0.2">
      <c r="H4182" s="58"/>
      <c r="I4182" s="156"/>
      <c r="K4182" s="58"/>
      <c r="M4182" s="163"/>
    </row>
    <row r="4183" spans="8:13" ht="11.45" customHeight="1" x14ac:dyDescent="0.2">
      <c r="H4183" s="58"/>
      <c r="I4183" s="156"/>
      <c r="K4183" s="58"/>
      <c r="M4183" s="163"/>
    </row>
    <row r="4184" spans="8:13" ht="11.45" customHeight="1" x14ac:dyDescent="0.2">
      <c r="H4184" s="58"/>
      <c r="I4184" s="156"/>
      <c r="K4184" s="58"/>
      <c r="M4184" s="163"/>
    </row>
    <row r="4185" spans="8:13" ht="11.45" customHeight="1" x14ac:dyDescent="0.2">
      <c r="H4185" s="58"/>
      <c r="I4185" s="156"/>
      <c r="K4185" s="58"/>
      <c r="M4185" s="163"/>
    </row>
    <row r="4186" spans="8:13" ht="11.45" customHeight="1" x14ac:dyDescent="0.2">
      <c r="H4186" s="58"/>
      <c r="I4186" s="156"/>
      <c r="K4186" s="58"/>
      <c r="M4186" s="163"/>
    </row>
    <row r="4187" spans="8:13" ht="11.45" customHeight="1" x14ac:dyDescent="0.2">
      <c r="H4187" s="58"/>
      <c r="I4187" s="156"/>
      <c r="K4187" s="58"/>
      <c r="M4187" s="163"/>
    </row>
    <row r="4188" spans="8:13" ht="11.45" customHeight="1" x14ac:dyDescent="0.2">
      <c r="H4188" s="58"/>
      <c r="I4188" s="156"/>
      <c r="K4188" s="58"/>
      <c r="M4188" s="163"/>
    </row>
    <row r="4189" spans="8:13" ht="11.45" customHeight="1" x14ac:dyDescent="0.2">
      <c r="H4189" s="58"/>
      <c r="I4189" s="156"/>
      <c r="K4189" s="58"/>
      <c r="M4189" s="163"/>
    </row>
    <row r="4190" spans="8:13" ht="11.45" customHeight="1" x14ac:dyDescent="0.2">
      <c r="H4190" s="58"/>
      <c r="I4190" s="156"/>
      <c r="K4190" s="58"/>
      <c r="M4190" s="163"/>
    </row>
    <row r="4191" spans="8:13" ht="11.45" customHeight="1" x14ac:dyDescent="0.2">
      <c r="H4191" s="58"/>
      <c r="I4191" s="156"/>
      <c r="K4191" s="58"/>
      <c r="M4191" s="163"/>
    </row>
    <row r="4192" spans="8:13" ht="11.45" customHeight="1" x14ac:dyDescent="0.2">
      <c r="H4192" s="58"/>
      <c r="I4192" s="156"/>
      <c r="K4192" s="58"/>
      <c r="M4192" s="163"/>
    </row>
    <row r="4193" spans="8:13" ht="11.45" customHeight="1" x14ac:dyDescent="0.2">
      <c r="H4193" s="58"/>
      <c r="I4193" s="156"/>
      <c r="K4193" s="58"/>
      <c r="M4193" s="163"/>
    </row>
    <row r="4194" spans="8:13" ht="11.45" customHeight="1" x14ac:dyDescent="0.2">
      <c r="H4194" s="58"/>
      <c r="I4194" s="156"/>
      <c r="K4194" s="58"/>
      <c r="M4194" s="163"/>
    </row>
    <row r="4195" spans="8:13" ht="11.45" customHeight="1" x14ac:dyDescent="0.2">
      <c r="H4195" s="58"/>
      <c r="I4195" s="156"/>
      <c r="K4195" s="58"/>
      <c r="M4195" s="163"/>
    </row>
    <row r="4196" spans="8:13" ht="11.45" customHeight="1" x14ac:dyDescent="0.2">
      <c r="H4196" s="58"/>
      <c r="I4196" s="156"/>
      <c r="K4196" s="58"/>
      <c r="M4196" s="163"/>
    </row>
    <row r="4197" spans="8:13" ht="11.45" customHeight="1" x14ac:dyDescent="0.2">
      <c r="H4197" s="58"/>
      <c r="I4197" s="156"/>
      <c r="K4197" s="58"/>
      <c r="M4197" s="163"/>
    </row>
    <row r="4198" spans="8:13" ht="11.45" customHeight="1" x14ac:dyDescent="0.2">
      <c r="H4198" s="58"/>
      <c r="I4198" s="156"/>
      <c r="K4198" s="58"/>
      <c r="M4198" s="163"/>
    </row>
    <row r="4199" spans="8:13" ht="11.45" customHeight="1" x14ac:dyDescent="0.2">
      <c r="H4199" s="58"/>
      <c r="I4199" s="156"/>
      <c r="K4199" s="58"/>
      <c r="M4199" s="163"/>
    </row>
    <row r="4200" spans="8:13" ht="11.45" customHeight="1" x14ac:dyDescent="0.2">
      <c r="H4200" s="58"/>
      <c r="I4200" s="156"/>
      <c r="K4200" s="58"/>
      <c r="M4200" s="163"/>
    </row>
    <row r="4201" spans="8:13" ht="11.45" customHeight="1" x14ac:dyDescent="0.2">
      <c r="H4201" s="58"/>
      <c r="I4201" s="156"/>
      <c r="K4201" s="58"/>
      <c r="M4201" s="163"/>
    </row>
    <row r="4202" spans="8:13" ht="11.45" customHeight="1" x14ac:dyDescent="0.2">
      <c r="H4202" s="58"/>
      <c r="I4202" s="156"/>
      <c r="K4202" s="58"/>
      <c r="M4202" s="163"/>
    </row>
    <row r="4203" spans="8:13" ht="11.45" customHeight="1" x14ac:dyDescent="0.2">
      <c r="H4203" s="58"/>
      <c r="I4203" s="156"/>
      <c r="K4203" s="58"/>
      <c r="M4203" s="163"/>
    </row>
    <row r="4204" spans="8:13" ht="11.45" customHeight="1" x14ac:dyDescent="0.2">
      <c r="H4204" s="58"/>
      <c r="I4204" s="156"/>
      <c r="K4204" s="58"/>
      <c r="M4204" s="163"/>
    </row>
    <row r="4205" spans="8:13" ht="11.45" customHeight="1" x14ac:dyDescent="0.2">
      <c r="H4205" s="58"/>
      <c r="I4205" s="156"/>
      <c r="K4205" s="58"/>
      <c r="M4205" s="163"/>
    </row>
    <row r="4206" spans="8:13" ht="11.45" customHeight="1" x14ac:dyDescent="0.2">
      <c r="H4206" s="58"/>
      <c r="I4206" s="156"/>
      <c r="K4206" s="58"/>
      <c r="M4206" s="163"/>
    </row>
    <row r="4207" spans="8:13" ht="11.45" customHeight="1" x14ac:dyDescent="0.2">
      <c r="H4207" s="58"/>
      <c r="I4207" s="156"/>
      <c r="K4207" s="58"/>
      <c r="M4207" s="163"/>
    </row>
    <row r="4208" spans="8:13" ht="11.45" customHeight="1" x14ac:dyDescent="0.2">
      <c r="H4208" s="58"/>
      <c r="I4208" s="156"/>
      <c r="K4208" s="58"/>
      <c r="M4208" s="163"/>
    </row>
    <row r="4209" spans="8:13" ht="11.45" customHeight="1" x14ac:dyDescent="0.2">
      <c r="H4209" s="58"/>
      <c r="I4209" s="156"/>
      <c r="K4209" s="58"/>
      <c r="M4209" s="163"/>
    </row>
    <row r="4210" spans="8:13" ht="11.45" customHeight="1" x14ac:dyDescent="0.2">
      <c r="H4210" s="58"/>
      <c r="I4210" s="156"/>
      <c r="K4210" s="58"/>
      <c r="M4210" s="163"/>
    </row>
    <row r="4211" spans="8:13" ht="11.45" customHeight="1" x14ac:dyDescent="0.2">
      <c r="H4211" s="58"/>
      <c r="I4211" s="156"/>
      <c r="K4211" s="58"/>
      <c r="M4211" s="163"/>
    </row>
    <row r="4212" spans="8:13" ht="11.45" customHeight="1" x14ac:dyDescent="0.2">
      <c r="H4212" s="58"/>
      <c r="I4212" s="156"/>
      <c r="K4212" s="58"/>
      <c r="M4212" s="163"/>
    </row>
    <row r="4213" spans="8:13" ht="11.45" customHeight="1" x14ac:dyDescent="0.2">
      <c r="H4213" s="58"/>
      <c r="I4213" s="156"/>
      <c r="K4213" s="58"/>
      <c r="M4213" s="163"/>
    </row>
    <row r="4214" spans="8:13" ht="11.45" customHeight="1" x14ac:dyDescent="0.2">
      <c r="H4214" s="58"/>
      <c r="I4214" s="156"/>
      <c r="K4214" s="58"/>
      <c r="M4214" s="163"/>
    </row>
    <row r="4215" spans="8:13" ht="11.45" customHeight="1" x14ac:dyDescent="0.2">
      <c r="H4215" s="58"/>
      <c r="I4215" s="156"/>
      <c r="K4215" s="58"/>
      <c r="M4215" s="163"/>
    </row>
    <row r="4216" spans="8:13" ht="11.45" customHeight="1" x14ac:dyDescent="0.2">
      <c r="H4216" s="58"/>
      <c r="I4216" s="156"/>
      <c r="K4216" s="58"/>
      <c r="M4216" s="163"/>
    </row>
    <row r="4217" spans="8:13" ht="11.45" customHeight="1" x14ac:dyDescent="0.2">
      <c r="H4217" s="58"/>
      <c r="I4217" s="156"/>
      <c r="K4217" s="58"/>
      <c r="M4217" s="163"/>
    </row>
    <row r="4218" spans="8:13" ht="11.45" customHeight="1" x14ac:dyDescent="0.2">
      <c r="H4218" s="58"/>
      <c r="I4218" s="156"/>
      <c r="K4218" s="58"/>
      <c r="M4218" s="163"/>
    </row>
    <row r="4219" spans="8:13" ht="11.45" customHeight="1" x14ac:dyDescent="0.2">
      <c r="H4219" s="58"/>
      <c r="I4219" s="156"/>
      <c r="K4219" s="58"/>
      <c r="M4219" s="163"/>
    </row>
    <row r="4220" spans="8:13" ht="11.45" customHeight="1" x14ac:dyDescent="0.2">
      <c r="H4220" s="58"/>
      <c r="I4220" s="156"/>
      <c r="K4220" s="58"/>
      <c r="M4220" s="163"/>
    </row>
    <row r="4221" spans="8:13" ht="11.45" customHeight="1" x14ac:dyDescent="0.2">
      <c r="H4221" s="58"/>
      <c r="I4221" s="156"/>
      <c r="K4221" s="58"/>
      <c r="M4221" s="163"/>
    </row>
    <row r="4222" spans="8:13" ht="11.45" customHeight="1" x14ac:dyDescent="0.2">
      <c r="H4222" s="58"/>
      <c r="I4222" s="156"/>
      <c r="K4222" s="58"/>
      <c r="M4222" s="163"/>
    </row>
    <row r="4223" spans="8:13" ht="11.45" customHeight="1" x14ac:dyDescent="0.2">
      <c r="H4223" s="58"/>
      <c r="I4223" s="156"/>
      <c r="K4223" s="58"/>
      <c r="M4223" s="163"/>
    </row>
    <row r="4224" spans="8:13" ht="11.45" customHeight="1" x14ac:dyDescent="0.2">
      <c r="H4224" s="58"/>
      <c r="I4224" s="156"/>
      <c r="K4224" s="58"/>
      <c r="M4224" s="163"/>
    </row>
    <row r="4225" spans="8:13" ht="11.45" customHeight="1" x14ac:dyDescent="0.2">
      <c r="H4225" s="58"/>
      <c r="I4225" s="156"/>
      <c r="K4225" s="58"/>
      <c r="M4225" s="163"/>
    </row>
    <row r="4226" spans="8:13" ht="11.45" customHeight="1" x14ac:dyDescent="0.2">
      <c r="H4226" s="58"/>
      <c r="I4226" s="156"/>
      <c r="K4226" s="58"/>
      <c r="M4226" s="163"/>
    </row>
    <row r="4227" spans="8:13" ht="11.45" customHeight="1" x14ac:dyDescent="0.2">
      <c r="H4227" s="58"/>
      <c r="I4227" s="156"/>
      <c r="K4227" s="58"/>
      <c r="M4227" s="163"/>
    </row>
    <row r="4228" spans="8:13" ht="11.45" customHeight="1" x14ac:dyDescent="0.2">
      <c r="H4228" s="58"/>
      <c r="I4228" s="156"/>
      <c r="K4228" s="58"/>
      <c r="M4228" s="163"/>
    </row>
    <row r="4229" spans="8:13" ht="11.45" customHeight="1" x14ac:dyDescent="0.2">
      <c r="H4229" s="58"/>
      <c r="I4229" s="156"/>
      <c r="K4229" s="58"/>
      <c r="M4229" s="163"/>
    </row>
    <row r="4230" spans="8:13" ht="11.45" customHeight="1" x14ac:dyDescent="0.2">
      <c r="H4230" s="58"/>
      <c r="I4230" s="156"/>
      <c r="K4230" s="58"/>
      <c r="M4230" s="163"/>
    </row>
    <row r="4231" spans="8:13" ht="11.45" customHeight="1" x14ac:dyDescent="0.2">
      <c r="H4231" s="58"/>
      <c r="I4231" s="156"/>
      <c r="K4231" s="58"/>
      <c r="M4231" s="163"/>
    </row>
    <row r="4232" spans="8:13" ht="11.45" customHeight="1" x14ac:dyDescent="0.2">
      <c r="H4232" s="58"/>
      <c r="I4232" s="156"/>
      <c r="K4232" s="58"/>
      <c r="M4232" s="163"/>
    </row>
    <row r="4233" spans="8:13" ht="11.45" customHeight="1" x14ac:dyDescent="0.2">
      <c r="H4233" s="58"/>
      <c r="I4233" s="156"/>
      <c r="K4233" s="58"/>
      <c r="M4233" s="163"/>
    </row>
    <row r="4234" spans="8:13" ht="11.45" customHeight="1" x14ac:dyDescent="0.2">
      <c r="H4234" s="58"/>
      <c r="I4234" s="156"/>
      <c r="K4234" s="58"/>
      <c r="M4234" s="163"/>
    </row>
    <row r="4235" spans="8:13" ht="11.45" customHeight="1" x14ac:dyDescent="0.2">
      <c r="H4235" s="58"/>
      <c r="I4235" s="156"/>
      <c r="K4235" s="58"/>
      <c r="M4235" s="163"/>
    </row>
    <row r="4236" spans="8:13" ht="11.45" customHeight="1" x14ac:dyDescent="0.2">
      <c r="H4236" s="58"/>
      <c r="I4236" s="156"/>
      <c r="K4236" s="58"/>
      <c r="M4236" s="163"/>
    </row>
    <row r="4237" spans="8:13" ht="11.45" customHeight="1" x14ac:dyDescent="0.2">
      <c r="H4237" s="58"/>
      <c r="I4237" s="156"/>
      <c r="K4237" s="58"/>
      <c r="M4237" s="163"/>
    </row>
    <row r="4238" spans="8:13" ht="11.45" customHeight="1" x14ac:dyDescent="0.2">
      <c r="H4238" s="58"/>
      <c r="I4238" s="156"/>
      <c r="K4238" s="58"/>
      <c r="M4238" s="163"/>
    </row>
    <row r="4239" spans="8:13" ht="11.45" customHeight="1" x14ac:dyDescent="0.2">
      <c r="H4239" s="58"/>
      <c r="I4239" s="156"/>
      <c r="K4239" s="58"/>
      <c r="M4239" s="163"/>
    </row>
    <row r="4240" spans="8:13" ht="11.45" customHeight="1" x14ac:dyDescent="0.2">
      <c r="H4240" s="58"/>
      <c r="I4240" s="156"/>
      <c r="K4240" s="58"/>
      <c r="M4240" s="163"/>
    </row>
    <row r="4241" spans="8:13" ht="11.45" customHeight="1" x14ac:dyDescent="0.2">
      <c r="H4241" s="58"/>
      <c r="I4241" s="156"/>
      <c r="K4241" s="58"/>
      <c r="M4241" s="163"/>
    </row>
    <row r="4242" spans="8:13" ht="11.45" customHeight="1" x14ac:dyDescent="0.2">
      <c r="H4242" s="58"/>
      <c r="I4242" s="156"/>
      <c r="K4242" s="58"/>
      <c r="M4242" s="163"/>
    </row>
    <row r="4243" spans="8:13" ht="11.45" customHeight="1" x14ac:dyDescent="0.2">
      <c r="H4243" s="58"/>
      <c r="I4243" s="156"/>
      <c r="K4243" s="58"/>
      <c r="M4243" s="163"/>
    </row>
    <row r="4244" spans="8:13" ht="11.45" customHeight="1" x14ac:dyDescent="0.2">
      <c r="H4244" s="58"/>
      <c r="I4244" s="156"/>
      <c r="K4244" s="58"/>
      <c r="M4244" s="163"/>
    </row>
    <row r="4245" spans="8:13" ht="11.45" customHeight="1" x14ac:dyDescent="0.2">
      <c r="H4245" s="58"/>
      <c r="I4245" s="156"/>
      <c r="K4245" s="58"/>
      <c r="M4245" s="163"/>
    </row>
    <row r="4246" spans="8:13" ht="11.45" customHeight="1" x14ac:dyDescent="0.2">
      <c r="H4246" s="58"/>
      <c r="I4246" s="156"/>
      <c r="K4246" s="58"/>
      <c r="M4246" s="163"/>
    </row>
    <row r="4247" spans="8:13" ht="11.45" customHeight="1" x14ac:dyDescent="0.2">
      <c r="H4247" s="58"/>
      <c r="I4247" s="156"/>
      <c r="K4247" s="58"/>
      <c r="M4247" s="163"/>
    </row>
    <row r="4248" spans="8:13" ht="11.45" customHeight="1" x14ac:dyDescent="0.2">
      <c r="H4248" s="58"/>
      <c r="I4248" s="156"/>
      <c r="K4248" s="58"/>
      <c r="M4248" s="163"/>
    </row>
    <row r="4249" spans="8:13" ht="11.45" customHeight="1" x14ac:dyDescent="0.2">
      <c r="H4249" s="58"/>
      <c r="I4249" s="156"/>
      <c r="K4249" s="58"/>
      <c r="M4249" s="163"/>
    </row>
    <row r="4250" spans="8:13" ht="11.45" customHeight="1" x14ac:dyDescent="0.2">
      <c r="H4250" s="58"/>
      <c r="I4250" s="156"/>
      <c r="K4250" s="58"/>
      <c r="M4250" s="163"/>
    </row>
    <row r="4251" spans="8:13" ht="11.45" customHeight="1" x14ac:dyDescent="0.2">
      <c r="H4251" s="58"/>
      <c r="I4251" s="156"/>
      <c r="K4251" s="58"/>
      <c r="M4251" s="163"/>
    </row>
    <row r="4252" spans="8:13" ht="11.45" customHeight="1" x14ac:dyDescent="0.2">
      <c r="H4252" s="58"/>
      <c r="I4252" s="156"/>
      <c r="K4252" s="58"/>
      <c r="M4252" s="163"/>
    </row>
    <row r="4253" spans="8:13" ht="11.45" customHeight="1" x14ac:dyDescent="0.2">
      <c r="H4253" s="58"/>
      <c r="I4253" s="156"/>
      <c r="K4253" s="58"/>
      <c r="M4253" s="163"/>
    </row>
    <row r="4254" spans="8:13" ht="11.45" customHeight="1" x14ac:dyDescent="0.2">
      <c r="H4254" s="58"/>
      <c r="I4254" s="156"/>
      <c r="K4254" s="58"/>
      <c r="M4254" s="163"/>
    </row>
    <row r="4255" spans="8:13" ht="11.45" customHeight="1" x14ac:dyDescent="0.2">
      <c r="H4255" s="58"/>
      <c r="I4255" s="156"/>
      <c r="K4255" s="58"/>
      <c r="M4255" s="163"/>
    </row>
    <row r="4256" spans="8:13" ht="11.45" customHeight="1" x14ac:dyDescent="0.2">
      <c r="H4256" s="58"/>
      <c r="I4256" s="156"/>
      <c r="K4256" s="58"/>
      <c r="M4256" s="163"/>
    </row>
    <row r="4257" spans="8:13" ht="11.45" customHeight="1" x14ac:dyDescent="0.2">
      <c r="H4257" s="58"/>
      <c r="I4257" s="156"/>
      <c r="K4257" s="58"/>
      <c r="M4257" s="163"/>
    </row>
    <row r="4258" spans="8:13" ht="11.45" customHeight="1" x14ac:dyDescent="0.2">
      <c r="H4258" s="58"/>
      <c r="I4258" s="156"/>
      <c r="K4258" s="58"/>
      <c r="M4258" s="163"/>
    </row>
    <row r="4259" spans="8:13" ht="11.45" customHeight="1" x14ac:dyDescent="0.2">
      <c r="H4259" s="58"/>
      <c r="I4259" s="156"/>
      <c r="K4259" s="58"/>
      <c r="M4259" s="163"/>
    </row>
    <row r="4260" spans="8:13" ht="11.45" customHeight="1" x14ac:dyDescent="0.2">
      <c r="H4260" s="58"/>
      <c r="I4260" s="156"/>
      <c r="K4260" s="58"/>
      <c r="M4260" s="163"/>
    </row>
    <row r="4261" spans="8:13" ht="11.45" customHeight="1" x14ac:dyDescent="0.2">
      <c r="H4261" s="58"/>
      <c r="I4261" s="156"/>
      <c r="K4261" s="58"/>
      <c r="M4261" s="163"/>
    </row>
    <row r="4262" spans="8:13" ht="11.45" customHeight="1" x14ac:dyDescent="0.2">
      <c r="H4262" s="58"/>
      <c r="I4262" s="156"/>
      <c r="K4262" s="58"/>
      <c r="M4262" s="163"/>
    </row>
    <row r="4263" spans="8:13" ht="11.45" customHeight="1" x14ac:dyDescent="0.2">
      <c r="H4263" s="58"/>
      <c r="I4263" s="156"/>
      <c r="K4263" s="58"/>
      <c r="M4263" s="163"/>
    </row>
    <row r="4264" spans="8:13" ht="11.45" customHeight="1" x14ac:dyDescent="0.2">
      <c r="H4264" s="58"/>
      <c r="I4264" s="156"/>
      <c r="K4264" s="58"/>
      <c r="M4264" s="163"/>
    </row>
    <row r="4265" spans="8:13" ht="11.45" customHeight="1" x14ac:dyDescent="0.2">
      <c r="H4265" s="58"/>
      <c r="I4265" s="156"/>
      <c r="K4265" s="58"/>
      <c r="M4265" s="163"/>
    </row>
    <row r="4266" spans="8:13" ht="11.45" customHeight="1" x14ac:dyDescent="0.2">
      <c r="H4266" s="58"/>
      <c r="I4266" s="156"/>
      <c r="K4266" s="58"/>
      <c r="M4266" s="163"/>
    </row>
    <row r="4267" spans="8:13" ht="11.45" customHeight="1" x14ac:dyDescent="0.2">
      <c r="H4267" s="58"/>
      <c r="I4267" s="156"/>
      <c r="K4267" s="58"/>
      <c r="M4267" s="163"/>
    </row>
    <row r="4268" spans="8:13" ht="11.45" customHeight="1" x14ac:dyDescent="0.2">
      <c r="H4268" s="58"/>
      <c r="I4268" s="156"/>
      <c r="K4268" s="58"/>
      <c r="M4268" s="163"/>
    </row>
    <row r="4269" spans="8:13" ht="11.45" customHeight="1" x14ac:dyDescent="0.2">
      <c r="H4269" s="58"/>
      <c r="I4269" s="156"/>
      <c r="K4269" s="58"/>
      <c r="M4269" s="163"/>
    </row>
    <row r="4270" spans="8:13" ht="11.45" customHeight="1" x14ac:dyDescent="0.2">
      <c r="H4270" s="58"/>
      <c r="I4270" s="156"/>
      <c r="K4270" s="58"/>
      <c r="M4270" s="163"/>
    </row>
    <row r="4271" spans="8:13" ht="11.45" customHeight="1" x14ac:dyDescent="0.2">
      <c r="H4271" s="58"/>
      <c r="I4271" s="156"/>
      <c r="K4271" s="58"/>
      <c r="M4271" s="163"/>
    </row>
    <row r="4272" spans="8:13" ht="11.45" customHeight="1" x14ac:dyDescent="0.2">
      <c r="H4272" s="58"/>
      <c r="I4272" s="156"/>
      <c r="K4272" s="58"/>
      <c r="M4272" s="163"/>
    </row>
    <row r="4273" spans="8:13" ht="11.45" customHeight="1" x14ac:dyDescent="0.2">
      <c r="H4273" s="58"/>
      <c r="I4273" s="156"/>
      <c r="K4273" s="58"/>
      <c r="M4273" s="163"/>
    </row>
    <row r="4274" spans="8:13" ht="11.45" customHeight="1" x14ac:dyDescent="0.2">
      <c r="H4274" s="58"/>
      <c r="I4274" s="156"/>
      <c r="K4274" s="58"/>
      <c r="M4274" s="163"/>
    </row>
    <row r="4275" spans="8:13" ht="11.45" customHeight="1" x14ac:dyDescent="0.2">
      <c r="H4275" s="58"/>
      <c r="I4275" s="156"/>
      <c r="K4275" s="58"/>
      <c r="M4275" s="163"/>
    </row>
    <row r="4276" spans="8:13" ht="11.45" customHeight="1" x14ac:dyDescent="0.2">
      <c r="H4276" s="58"/>
      <c r="I4276" s="156"/>
      <c r="K4276" s="58"/>
      <c r="M4276" s="163"/>
    </row>
    <row r="4277" spans="8:13" ht="11.45" customHeight="1" x14ac:dyDescent="0.2">
      <c r="H4277" s="58"/>
      <c r="I4277" s="156"/>
      <c r="K4277" s="58"/>
      <c r="M4277" s="163"/>
    </row>
    <row r="4278" spans="8:13" ht="11.45" customHeight="1" x14ac:dyDescent="0.2">
      <c r="H4278" s="58"/>
      <c r="I4278" s="156"/>
      <c r="K4278" s="58"/>
      <c r="M4278" s="163"/>
    </row>
    <row r="4279" spans="8:13" ht="11.45" customHeight="1" x14ac:dyDescent="0.2">
      <c r="H4279" s="58"/>
      <c r="I4279" s="156"/>
      <c r="K4279" s="58"/>
      <c r="M4279" s="163"/>
    </row>
    <row r="4280" spans="8:13" ht="11.45" customHeight="1" x14ac:dyDescent="0.2">
      <c r="H4280" s="58"/>
      <c r="I4280" s="156"/>
      <c r="K4280" s="58"/>
      <c r="M4280" s="163"/>
    </row>
    <row r="4281" spans="8:13" ht="11.45" customHeight="1" x14ac:dyDescent="0.2">
      <c r="H4281" s="58"/>
      <c r="I4281" s="156"/>
      <c r="K4281" s="58"/>
      <c r="M4281" s="163"/>
    </row>
    <row r="4282" spans="8:13" ht="11.45" customHeight="1" x14ac:dyDescent="0.2">
      <c r="H4282" s="58"/>
      <c r="I4282" s="156"/>
      <c r="K4282" s="58"/>
      <c r="M4282" s="163"/>
    </row>
    <row r="4283" spans="8:13" ht="11.45" customHeight="1" x14ac:dyDescent="0.2">
      <c r="H4283" s="58"/>
      <c r="I4283" s="156"/>
      <c r="K4283" s="58"/>
      <c r="M4283" s="163"/>
    </row>
    <row r="4284" spans="8:13" ht="11.45" customHeight="1" x14ac:dyDescent="0.2">
      <c r="H4284" s="58"/>
      <c r="I4284" s="156"/>
      <c r="K4284" s="58"/>
      <c r="M4284" s="163"/>
    </row>
    <row r="4285" spans="8:13" ht="11.45" customHeight="1" x14ac:dyDescent="0.2">
      <c r="H4285" s="58"/>
      <c r="I4285" s="156"/>
      <c r="K4285" s="58"/>
      <c r="M4285" s="163"/>
    </row>
    <row r="4286" spans="8:13" ht="11.45" customHeight="1" x14ac:dyDescent="0.2">
      <c r="H4286" s="58"/>
      <c r="I4286" s="156"/>
      <c r="K4286" s="58"/>
      <c r="M4286" s="163"/>
    </row>
    <row r="4287" spans="8:13" ht="11.45" customHeight="1" x14ac:dyDescent="0.2">
      <c r="H4287" s="58"/>
      <c r="I4287" s="156"/>
      <c r="K4287" s="58"/>
      <c r="M4287" s="163"/>
    </row>
    <row r="4288" spans="8:13" ht="11.45" customHeight="1" x14ac:dyDescent="0.2">
      <c r="H4288" s="58"/>
      <c r="I4288" s="156"/>
      <c r="K4288" s="58"/>
      <c r="M4288" s="163"/>
    </row>
    <row r="4289" spans="8:13" ht="11.45" customHeight="1" x14ac:dyDescent="0.2">
      <c r="H4289" s="58"/>
      <c r="I4289" s="156"/>
      <c r="K4289" s="58"/>
      <c r="M4289" s="163"/>
    </row>
    <row r="4290" spans="8:13" ht="11.45" customHeight="1" x14ac:dyDescent="0.2">
      <c r="H4290" s="58"/>
      <c r="I4290" s="156"/>
      <c r="K4290" s="58"/>
      <c r="M4290" s="163"/>
    </row>
    <row r="4291" spans="8:13" ht="11.45" customHeight="1" x14ac:dyDescent="0.2">
      <c r="H4291" s="58"/>
      <c r="I4291" s="156"/>
      <c r="K4291" s="58"/>
      <c r="M4291" s="163"/>
    </row>
    <row r="4292" spans="8:13" ht="11.45" customHeight="1" x14ac:dyDescent="0.2">
      <c r="H4292" s="58"/>
      <c r="I4292" s="156"/>
      <c r="K4292" s="58"/>
      <c r="M4292" s="163"/>
    </row>
    <row r="4293" spans="8:13" ht="11.45" customHeight="1" x14ac:dyDescent="0.2">
      <c r="H4293" s="58"/>
      <c r="I4293" s="156"/>
      <c r="K4293" s="58"/>
      <c r="M4293" s="163"/>
    </row>
    <row r="4294" spans="8:13" ht="11.45" customHeight="1" x14ac:dyDescent="0.2">
      <c r="H4294" s="58"/>
      <c r="I4294" s="156"/>
      <c r="K4294" s="58"/>
      <c r="M4294" s="163"/>
    </row>
    <row r="4295" spans="8:13" ht="11.45" customHeight="1" x14ac:dyDescent="0.2">
      <c r="H4295" s="58"/>
      <c r="I4295" s="156"/>
      <c r="K4295" s="58"/>
      <c r="M4295" s="163"/>
    </row>
    <row r="4296" spans="8:13" ht="11.45" customHeight="1" x14ac:dyDescent="0.2">
      <c r="H4296" s="58"/>
      <c r="I4296" s="156"/>
      <c r="K4296" s="58"/>
      <c r="M4296" s="163"/>
    </row>
    <row r="4297" spans="8:13" ht="11.45" customHeight="1" x14ac:dyDescent="0.2">
      <c r="H4297" s="58"/>
      <c r="I4297" s="156"/>
      <c r="K4297" s="58"/>
      <c r="M4297" s="163"/>
    </row>
    <row r="4298" spans="8:13" ht="11.45" customHeight="1" x14ac:dyDescent="0.2">
      <c r="H4298" s="58"/>
      <c r="I4298" s="156"/>
      <c r="K4298" s="58"/>
      <c r="M4298" s="163"/>
    </row>
    <row r="4299" spans="8:13" ht="11.45" customHeight="1" x14ac:dyDescent="0.2">
      <c r="H4299" s="58"/>
      <c r="I4299" s="156"/>
      <c r="K4299" s="58"/>
      <c r="M4299" s="163"/>
    </row>
    <row r="4300" spans="8:13" ht="11.45" customHeight="1" x14ac:dyDescent="0.2">
      <c r="H4300" s="58"/>
      <c r="I4300" s="156"/>
      <c r="K4300" s="58"/>
      <c r="M4300" s="163"/>
    </row>
    <row r="4301" spans="8:13" ht="11.45" customHeight="1" x14ac:dyDescent="0.2">
      <c r="H4301" s="58"/>
      <c r="I4301" s="156"/>
      <c r="K4301" s="58"/>
      <c r="M4301" s="163"/>
    </row>
    <row r="4302" spans="8:13" ht="11.45" customHeight="1" x14ac:dyDescent="0.2">
      <c r="H4302" s="58"/>
      <c r="I4302" s="156"/>
      <c r="K4302" s="58"/>
      <c r="M4302" s="163"/>
    </row>
    <row r="4303" spans="8:13" ht="11.45" customHeight="1" x14ac:dyDescent="0.2">
      <c r="H4303" s="58"/>
      <c r="I4303" s="156"/>
      <c r="K4303" s="58"/>
      <c r="M4303" s="163"/>
    </row>
    <row r="4304" spans="8:13" ht="11.45" customHeight="1" x14ac:dyDescent="0.2">
      <c r="H4304" s="58"/>
      <c r="I4304" s="156"/>
      <c r="K4304" s="58"/>
      <c r="M4304" s="163"/>
    </row>
    <row r="4305" spans="8:13" ht="11.45" customHeight="1" x14ac:dyDescent="0.2">
      <c r="H4305" s="58"/>
      <c r="I4305" s="156"/>
      <c r="K4305" s="58"/>
      <c r="M4305" s="163"/>
    </row>
    <row r="4306" spans="8:13" ht="11.45" customHeight="1" x14ac:dyDescent="0.2">
      <c r="H4306" s="58"/>
      <c r="I4306" s="156"/>
      <c r="K4306" s="58"/>
      <c r="M4306" s="163"/>
    </row>
    <row r="4307" spans="8:13" ht="11.45" customHeight="1" x14ac:dyDescent="0.2">
      <c r="H4307" s="58"/>
      <c r="I4307" s="156"/>
      <c r="K4307" s="58"/>
      <c r="M4307" s="163"/>
    </row>
    <row r="4308" spans="8:13" ht="11.45" customHeight="1" x14ac:dyDescent="0.2">
      <c r="H4308" s="58"/>
      <c r="I4308" s="156"/>
      <c r="K4308" s="58"/>
      <c r="M4308" s="163"/>
    </row>
    <row r="4309" spans="8:13" ht="11.45" customHeight="1" x14ac:dyDescent="0.2">
      <c r="H4309" s="58"/>
      <c r="I4309" s="156"/>
      <c r="K4309" s="58"/>
      <c r="M4309" s="163"/>
    </row>
    <row r="4310" spans="8:13" ht="11.45" customHeight="1" x14ac:dyDescent="0.2">
      <c r="H4310" s="58"/>
      <c r="I4310" s="156"/>
      <c r="K4310" s="58"/>
      <c r="M4310" s="163"/>
    </row>
    <row r="4311" spans="8:13" ht="11.45" customHeight="1" x14ac:dyDescent="0.2">
      <c r="H4311" s="58"/>
      <c r="I4311" s="156"/>
      <c r="K4311" s="58"/>
      <c r="M4311" s="163"/>
    </row>
    <row r="4312" spans="8:13" ht="11.45" customHeight="1" x14ac:dyDescent="0.2">
      <c r="H4312" s="58"/>
      <c r="I4312" s="156"/>
      <c r="K4312" s="58"/>
      <c r="M4312" s="163"/>
    </row>
    <row r="4313" spans="8:13" ht="11.45" customHeight="1" x14ac:dyDescent="0.2">
      <c r="H4313" s="58"/>
      <c r="I4313" s="156"/>
      <c r="K4313" s="58"/>
      <c r="M4313" s="163"/>
    </row>
    <row r="4314" spans="8:13" ht="11.45" customHeight="1" x14ac:dyDescent="0.2">
      <c r="H4314" s="58"/>
      <c r="I4314" s="156"/>
      <c r="K4314" s="58"/>
      <c r="M4314" s="163"/>
    </row>
    <row r="4315" spans="8:13" ht="11.45" customHeight="1" x14ac:dyDescent="0.2">
      <c r="H4315" s="58"/>
      <c r="I4315" s="156"/>
      <c r="K4315" s="58"/>
      <c r="M4315" s="163"/>
    </row>
    <row r="4316" spans="8:13" ht="11.45" customHeight="1" x14ac:dyDescent="0.2">
      <c r="H4316" s="58"/>
      <c r="I4316" s="156"/>
      <c r="K4316" s="58"/>
      <c r="M4316" s="163"/>
    </row>
    <row r="4317" spans="8:13" ht="11.45" customHeight="1" x14ac:dyDescent="0.2">
      <c r="H4317" s="58"/>
      <c r="I4317" s="156"/>
      <c r="K4317" s="58"/>
      <c r="M4317" s="163"/>
    </row>
    <row r="4318" spans="8:13" ht="11.45" customHeight="1" x14ac:dyDescent="0.2">
      <c r="H4318" s="58"/>
      <c r="I4318" s="156"/>
      <c r="K4318" s="58"/>
      <c r="M4318" s="163"/>
    </row>
    <row r="4319" spans="8:13" ht="11.45" customHeight="1" x14ac:dyDescent="0.2">
      <c r="H4319" s="58"/>
      <c r="I4319" s="156"/>
      <c r="K4319" s="58"/>
      <c r="M4319" s="163"/>
    </row>
    <row r="4320" spans="8:13" ht="11.45" customHeight="1" x14ac:dyDescent="0.2">
      <c r="H4320" s="58"/>
      <c r="I4320" s="156"/>
      <c r="K4320" s="58"/>
      <c r="M4320" s="163"/>
    </row>
    <row r="4321" spans="8:13" ht="11.45" customHeight="1" x14ac:dyDescent="0.2">
      <c r="H4321" s="58"/>
      <c r="I4321" s="156"/>
      <c r="K4321" s="58"/>
      <c r="M4321" s="163"/>
    </row>
    <row r="4322" spans="8:13" ht="11.45" customHeight="1" x14ac:dyDescent="0.2">
      <c r="H4322" s="58"/>
      <c r="I4322" s="156"/>
      <c r="K4322" s="58"/>
      <c r="M4322" s="163"/>
    </row>
    <row r="4323" spans="8:13" ht="11.45" customHeight="1" x14ac:dyDescent="0.2">
      <c r="H4323" s="58"/>
      <c r="I4323" s="156"/>
      <c r="K4323" s="58"/>
      <c r="M4323" s="163"/>
    </row>
    <row r="4324" spans="8:13" ht="11.45" customHeight="1" x14ac:dyDescent="0.2">
      <c r="H4324" s="58"/>
      <c r="I4324" s="156"/>
      <c r="K4324" s="58"/>
      <c r="M4324" s="163"/>
    </row>
    <row r="4325" spans="8:13" ht="11.45" customHeight="1" x14ac:dyDescent="0.2">
      <c r="H4325" s="58"/>
      <c r="I4325" s="156"/>
      <c r="K4325" s="58"/>
      <c r="M4325" s="163"/>
    </row>
    <row r="4326" spans="8:13" ht="11.45" customHeight="1" x14ac:dyDescent="0.2">
      <c r="H4326" s="58"/>
      <c r="I4326" s="156"/>
      <c r="K4326" s="58"/>
      <c r="M4326" s="163"/>
    </row>
    <row r="4327" spans="8:13" ht="11.45" customHeight="1" x14ac:dyDescent="0.2">
      <c r="H4327" s="58"/>
      <c r="I4327" s="156"/>
      <c r="K4327" s="58"/>
      <c r="M4327" s="163"/>
    </row>
    <row r="4328" spans="8:13" ht="11.45" customHeight="1" x14ac:dyDescent="0.2">
      <c r="H4328" s="58"/>
      <c r="I4328" s="156"/>
      <c r="K4328" s="58"/>
      <c r="M4328" s="163"/>
    </row>
    <row r="4329" spans="8:13" ht="11.45" customHeight="1" x14ac:dyDescent="0.2">
      <c r="H4329" s="58"/>
      <c r="I4329" s="156"/>
      <c r="K4329" s="58"/>
      <c r="M4329" s="163"/>
    </row>
    <row r="4330" spans="8:13" ht="11.45" customHeight="1" x14ac:dyDescent="0.2">
      <c r="H4330" s="58"/>
      <c r="I4330" s="156"/>
      <c r="K4330" s="58"/>
      <c r="M4330" s="163"/>
    </row>
    <row r="4331" spans="8:13" ht="11.45" customHeight="1" x14ac:dyDescent="0.2">
      <c r="H4331" s="58"/>
      <c r="I4331" s="156"/>
      <c r="K4331" s="58"/>
      <c r="M4331" s="163"/>
    </row>
    <row r="4332" spans="8:13" ht="11.45" customHeight="1" x14ac:dyDescent="0.2">
      <c r="H4332" s="58"/>
      <c r="I4332" s="156"/>
      <c r="K4332" s="58"/>
      <c r="M4332" s="163"/>
    </row>
    <row r="4333" spans="8:13" ht="11.45" customHeight="1" x14ac:dyDescent="0.2">
      <c r="H4333" s="58"/>
      <c r="I4333" s="156"/>
      <c r="K4333" s="58"/>
      <c r="M4333" s="163"/>
    </row>
    <row r="4334" spans="8:13" ht="11.45" customHeight="1" x14ac:dyDescent="0.2">
      <c r="H4334" s="58"/>
      <c r="I4334" s="156"/>
      <c r="K4334" s="58"/>
      <c r="M4334" s="163"/>
    </row>
    <row r="4335" spans="8:13" ht="11.45" customHeight="1" x14ac:dyDescent="0.2">
      <c r="H4335" s="58"/>
      <c r="I4335" s="156"/>
      <c r="K4335" s="58"/>
      <c r="M4335" s="163"/>
    </row>
    <row r="4336" spans="8:13" ht="11.45" customHeight="1" x14ac:dyDescent="0.2">
      <c r="H4336" s="58"/>
      <c r="I4336" s="156"/>
      <c r="K4336" s="58"/>
      <c r="M4336" s="163"/>
    </row>
    <row r="4337" spans="8:13" ht="11.45" customHeight="1" x14ac:dyDescent="0.2">
      <c r="H4337" s="58"/>
      <c r="I4337" s="156"/>
      <c r="K4337" s="58"/>
      <c r="M4337" s="163"/>
    </row>
    <row r="4338" spans="8:13" ht="11.45" customHeight="1" x14ac:dyDescent="0.2">
      <c r="H4338" s="58"/>
      <c r="I4338" s="156"/>
      <c r="K4338" s="58"/>
      <c r="M4338" s="163"/>
    </row>
    <row r="4339" spans="8:13" ht="11.45" customHeight="1" x14ac:dyDescent="0.2">
      <c r="H4339" s="58"/>
      <c r="I4339" s="156"/>
      <c r="K4339" s="58"/>
      <c r="M4339" s="163"/>
    </row>
    <row r="4340" spans="8:13" ht="11.45" customHeight="1" x14ac:dyDescent="0.2">
      <c r="H4340" s="58"/>
      <c r="I4340" s="156"/>
      <c r="K4340" s="58"/>
      <c r="M4340" s="163"/>
    </row>
    <row r="4341" spans="8:13" ht="11.45" customHeight="1" x14ac:dyDescent="0.2">
      <c r="H4341" s="58"/>
      <c r="I4341" s="156"/>
      <c r="K4341" s="58"/>
      <c r="M4341" s="163"/>
    </row>
    <row r="4342" spans="8:13" ht="11.45" customHeight="1" x14ac:dyDescent="0.2">
      <c r="H4342" s="58"/>
      <c r="I4342" s="156"/>
      <c r="K4342" s="58"/>
      <c r="M4342" s="163"/>
    </row>
    <row r="4343" spans="8:13" ht="11.45" customHeight="1" x14ac:dyDescent="0.2">
      <c r="H4343" s="58"/>
      <c r="I4343" s="156"/>
      <c r="K4343" s="58"/>
      <c r="M4343" s="163"/>
    </row>
    <row r="4344" spans="8:13" ht="11.45" customHeight="1" x14ac:dyDescent="0.2">
      <c r="H4344" s="58"/>
      <c r="I4344" s="156"/>
      <c r="K4344" s="58"/>
      <c r="M4344" s="163"/>
    </row>
    <row r="4345" spans="8:13" ht="11.45" customHeight="1" x14ac:dyDescent="0.2">
      <c r="H4345" s="58"/>
      <c r="I4345" s="156"/>
      <c r="K4345" s="58"/>
      <c r="M4345" s="163"/>
    </row>
    <row r="4346" spans="8:13" ht="11.45" customHeight="1" x14ac:dyDescent="0.2">
      <c r="H4346" s="58"/>
      <c r="I4346" s="156"/>
      <c r="K4346" s="58"/>
      <c r="M4346" s="163"/>
    </row>
    <row r="4347" spans="8:13" ht="11.45" customHeight="1" x14ac:dyDescent="0.2">
      <c r="H4347" s="58"/>
      <c r="I4347" s="156"/>
      <c r="K4347" s="58"/>
      <c r="M4347" s="163"/>
    </row>
    <row r="4348" spans="8:13" ht="11.45" customHeight="1" x14ac:dyDescent="0.2">
      <c r="H4348" s="58"/>
      <c r="I4348" s="156"/>
      <c r="K4348" s="58"/>
      <c r="M4348" s="163"/>
    </row>
    <row r="4349" spans="8:13" ht="11.45" customHeight="1" x14ac:dyDescent="0.2">
      <c r="H4349" s="58"/>
      <c r="I4349" s="156"/>
      <c r="K4349" s="58"/>
      <c r="M4349" s="163"/>
    </row>
    <row r="4350" spans="8:13" ht="11.45" customHeight="1" x14ac:dyDescent="0.2">
      <c r="H4350" s="58"/>
      <c r="I4350" s="156"/>
      <c r="K4350" s="58"/>
      <c r="M4350" s="163"/>
    </row>
    <row r="4351" spans="8:13" ht="11.45" customHeight="1" x14ac:dyDescent="0.2">
      <c r="H4351" s="58"/>
      <c r="I4351" s="156"/>
      <c r="K4351" s="58"/>
      <c r="M4351" s="163"/>
    </row>
    <row r="4352" spans="8:13" ht="11.45" customHeight="1" x14ac:dyDescent="0.2">
      <c r="H4352" s="58"/>
      <c r="I4352" s="156"/>
      <c r="K4352" s="58"/>
      <c r="M4352" s="163"/>
    </row>
    <row r="4353" spans="8:13" ht="11.45" customHeight="1" x14ac:dyDescent="0.2">
      <c r="H4353" s="58"/>
      <c r="I4353" s="156"/>
      <c r="K4353" s="58"/>
      <c r="M4353" s="163"/>
    </row>
    <row r="4354" spans="8:13" ht="11.45" customHeight="1" x14ac:dyDescent="0.2">
      <c r="H4354" s="58"/>
      <c r="I4354" s="156"/>
      <c r="K4354" s="58"/>
      <c r="M4354" s="163"/>
    </row>
    <row r="4355" spans="8:13" ht="11.45" customHeight="1" x14ac:dyDescent="0.2">
      <c r="H4355" s="58"/>
      <c r="I4355" s="156"/>
      <c r="K4355" s="58"/>
      <c r="M4355" s="163"/>
    </row>
    <row r="4356" spans="8:13" ht="11.45" customHeight="1" x14ac:dyDescent="0.2">
      <c r="H4356" s="58"/>
      <c r="I4356" s="156"/>
      <c r="K4356" s="58"/>
      <c r="M4356" s="163"/>
    </row>
    <row r="4357" spans="8:13" ht="11.45" customHeight="1" x14ac:dyDescent="0.2">
      <c r="H4357" s="58"/>
      <c r="I4357" s="156"/>
      <c r="K4357" s="58"/>
      <c r="M4357" s="163"/>
    </row>
    <row r="4358" spans="8:13" ht="11.45" customHeight="1" x14ac:dyDescent="0.2">
      <c r="H4358" s="58"/>
      <c r="I4358" s="156"/>
      <c r="K4358" s="58"/>
      <c r="M4358" s="163"/>
    </row>
    <row r="4359" spans="8:13" ht="11.45" customHeight="1" x14ac:dyDescent="0.2">
      <c r="H4359" s="58"/>
      <c r="I4359" s="156"/>
      <c r="K4359" s="58"/>
      <c r="M4359" s="163"/>
    </row>
    <row r="4360" spans="8:13" ht="11.45" customHeight="1" x14ac:dyDescent="0.2">
      <c r="H4360" s="58"/>
      <c r="I4360" s="156"/>
      <c r="K4360" s="58"/>
      <c r="M4360" s="163"/>
    </row>
    <row r="4361" spans="8:13" ht="11.45" customHeight="1" x14ac:dyDescent="0.2">
      <c r="H4361" s="58"/>
      <c r="I4361" s="156"/>
      <c r="K4361" s="58"/>
      <c r="M4361" s="163"/>
    </row>
    <row r="4362" spans="8:13" ht="11.45" customHeight="1" x14ac:dyDescent="0.2">
      <c r="H4362" s="58"/>
      <c r="I4362" s="156"/>
      <c r="K4362" s="58"/>
      <c r="M4362" s="163"/>
    </row>
    <row r="4363" spans="8:13" ht="11.45" customHeight="1" x14ac:dyDescent="0.2">
      <c r="H4363" s="58"/>
      <c r="I4363" s="156"/>
      <c r="K4363" s="58"/>
      <c r="M4363" s="163"/>
    </row>
    <row r="4364" spans="8:13" ht="11.45" customHeight="1" x14ac:dyDescent="0.2">
      <c r="H4364" s="58"/>
      <c r="I4364" s="156"/>
      <c r="K4364" s="58"/>
      <c r="M4364" s="163"/>
    </row>
    <row r="4365" spans="8:13" ht="11.45" customHeight="1" x14ac:dyDescent="0.2">
      <c r="H4365" s="58"/>
      <c r="I4365" s="156"/>
      <c r="K4365" s="58"/>
      <c r="M4365" s="163"/>
    </row>
    <row r="4366" spans="8:13" ht="11.45" customHeight="1" x14ac:dyDescent="0.2">
      <c r="H4366" s="58"/>
      <c r="I4366" s="156"/>
      <c r="K4366" s="58"/>
      <c r="M4366" s="163"/>
    </row>
    <row r="4367" spans="8:13" ht="11.45" customHeight="1" x14ac:dyDescent="0.2">
      <c r="H4367" s="58"/>
      <c r="I4367" s="156"/>
      <c r="K4367" s="58"/>
      <c r="M4367" s="163"/>
    </row>
    <row r="4368" spans="8:13" ht="11.45" customHeight="1" x14ac:dyDescent="0.2">
      <c r="H4368" s="58"/>
      <c r="I4368" s="156"/>
      <c r="K4368" s="58"/>
      <c r="M4368" s="163"/>
    </row>
    <row r="4369" spans="8:13" ht="11.45" customHeight="1" x14ac:dyDescent="0.2">
      <c r="H4369" s="58"/>
      <c r="I4369" s="156"/>
      <c r="K4369" s="58"/>
      <c r="M4369" s="163"/>
    </row>
    <row r="4370" spans="8:13" ht="11.45" customHeight="1" x14ac:dyDescent="0.2">
      <c r="H4370" s="58"/>
      <c r="I4370" s="156"/>
      <c r="K4370" s="58"/>
      <c r="M4370" s="163"/>
    </row>
    <row r="4371" spans="8:13" ht="11.45" customHeight="1" x14ac:dyDescent="0.2">
      <c r="H4371" s="58"/>
      <c r="I4371" s="156"/>
      <c r="K4371" s="58"/>
      <c r="M4371" s="163"/>
    </row>
    <row r="4372" spans="8:13" ht="11.45" customHeight="1" x14ac:dyDescent="0.2">
      <c r="H4372" s="58"/>
      <c r="I4372" s="156"/>
      <c r="K4372" s="58"/>
      <c r="M4372" s="163"/>
    </row>
    <row r="4373" spans="8:13" ht="11.45" customHeight="1" x14ac:dyDescent="0.2">
      <c r="H4373" s="58"/>
      <c r="I4373" s="156"/>
      <c r="K4373" s="58"/>
      <c r="M4373" s="163"/>
    </row>
    <row r="4374" spans="8:13" ht="11.45" customHeight="1" x14ac:dyDescent="0.2">
      <c r="H4374" s="58"/>
      <c r="I4374" s="156"/>
      <c r="K4374" s="58"/>
      <c r="M4374" s="163"/>
    </row>
    <row r="4375" spans="8:13" ht="11.45" customHeight="1" x14ac:dyDescent="0.2">
      <c r="H4375" s="58"/>
      <c r="I4375" s="156"/>
      <c r="K4375" s="58"/>
      <c r="M4375" s="163"/>
    </row>
    <row r="4376" spans="8:13" ht="11.45" customHeight="1" x14ac:dyDescent="0.2">
      <c r="H4376" s="58"/>
      <c r="I4376" s="156"/>
      <c r="K4376" s="58"/>
      <c r="M4376" s="163"/>
    </row>
    <row r="4377" spans="8:13" ht="11.45" customHeight="1" x14ac:dyDescent="0.2">
      <c r="H4377" s="58"/>
      <c r="I4377" s="156"/>
      <c r="K4377" s="58"/>
      <c r="M4377" s="163"/>
    </row>
    <row r="4378" spans="8:13" ht="11.45" customHeight="1" x14ac:dyDescent="0.2">
      <c r="H4378" s="58"/>
      <c r="I4378" s="156"/>
      <c r="K4378" s="58"/>
      <c r="M4378" s="163"/>
    </row>
    <row r="4379" spans="8:13" ht="11.45" customHeight="1" x14ac:dyDescent="0.2">
      <c r="H4379" s="58"/>
      <c r="I4379" s="156"/>
      <c r="K4379" s="58"/>
      <c r="M4379" s="163"/>
    </row>
    <row r="4380" spans="8:13" ht="11.45" customHeight="1" x14ac:dyDescent="0.2">
      <c r="H4380" s="58"/>
      <c r="I4380" s="156"/>
      <c r="K4380" s="58"/>
      <c r="M4380" s="163"/>
    </row>
    <row r="4381" spans="8:13" ht="11.45" customHeight="1" x14ac:dyDescent="0.2">
      <c r="H4381" s="58"/>
      <c r="I4381" s="156"/>
      <c r="K4381" s="58"/>
      <c r="M4381" s="163"/>
    </row>
    <row r="4382" spans="8:13" ht="11.45" customHeight="1" x14ac:dyDescent="0.2">
      <c r="H4382" s="58"/>
      <c r="I4382" s="156"/>
      <c r="K4382" s="58"/>
      <c r="M4382" s="163"/>
    </row>
    <row r="4383" spans="8:13" ht="11.45" customHeight="1" x14ac:dyDescent="0.2">
      <c r="H4383" s="58"/>
      <c r="I4383" s="156"/>
      <c r="K4383" s="58"/>
      <c r="M4383" s="163"/>
    </row>
    <row r="4384" spans="8:13" ht="11.45" customHeight="1" x14ac:dyDescent="0.2">
      <c r="H4384" s="58"/>
      <c r="I4384" s="156"/>
      <c r="K4384" s="58"/>
      <c r="M4384" s="163"/>
    </row>
    <row r="4385" spans="8:13" ht="11.45" customHeight="1" x14ac:dyDescent="0.2">
      <c r="H4385" s="58"/>
      <c r="I4385" s="156"/>
      <c r="K4385" s="58"/>
      <c r="M4385" s="163"/>
    </row>
    <row r="4386" spans="8:13" ht="11.45" customHeight="1" x14ac:dyDescent="0.2">
      <c r="H4386" s="58"/>
      <c r="I4386" s="156"/>
      <c r="K4386" s="58"/>
      <c r="M4386" s="163"/>
    </row>
    <row r="4387" spans="8:13" ht="11.45" customHeight="1" x14ac:dyDescent="0.2">
      <c r="H4387" s="58"/>
      <c r="I4387" s="156"/>
      <c r="K4387" s="58"/>
      <c r="M4387" s="163"/>
    </row>
    <row r="4388" spans="8:13" ht="11.45" customHeight="1" x14ac:dyDescent="0.2">
      <c r="H4388" s="58"/>
      <c r="I4388" s="156"/>
      <c r="K4388" s="58"/>
      <c r="M4388" s="163"/>
    </row>
    <row r="4389" spans="8:13" ht="11.45" customHeight="1" x14ac:dyDescent="0.2">
      <c r="H4389" s="58"/>
      <c r="I4389" s="156"/>
      <c r="K4389" s="58"/>
      <c r="M4389" s="163"/>
    </row>
    <row r="4390" spans="8:13" ht="11.45" customHeight="1" x14ac:dyDescent="0.2">
      <c r="H4390" s="58"/>
      <c r="I4390" s="156"/>
      <c r="K4390" s="58"/>
      <c r="M4390" s="163"/>
    </row>
    <row r="4391" spans="8:13" ht="11.45" customHeight="1" x14ac:dyDescent="0.2">
      <c r="H4391" s="58"/>
      <c r="I4391" s="156"/>
      <c r="K4391" s="58"/>
      <c r="M4391" s="163"/>
    </row>
    <row r="4392" spans="8:13" ht="11.45" customHeight="1" x14ac:dyDescent="0.2">
      <c r="H4392" s="58"/>
      <c r="I4392" s="156"/>
      <c r="K4392" s="58"/>
      <c r="M4392" s="163"/>
    </row>
    <row r="4393" spans="8:13" ht="11.45" customHeight="1" x14ac:dyDescent="0.2">
      <c r="H4393" s="58"/>
      <c r="I4393" s="156"/>
      <c r="K4393" s="58"/>
      <c r="M4393" s="163"/>
    </row>
    <row r="4394" spans="8:13" ht="11.45" customHeight="1" x14ac:dyDescent="0.2">
      <c r="H4394" s="58"/>
      <c r="I4394" s="156"/>
      <c r="K4394" s="58"/>
      <c r="M4394" s="163"/>
    </row>
    <row r="4395" spans="8:13" ht="11.45" customHeight="1" x14ac:dyDescent="0.2">
      <c r="H4395" s="58"/>
      <c r="I4395" s="156"/>
      <c r="K4395" s="58"/>
      <c r="M4395" s="163"/>
    </row>
    <row r="4396" spans="8:13" ht="11.45" customHeight="1" x14ac:dyDescent="0.2">
      <c r="H4396" s="58"/>
      <c r="I4396" s="156"/>
      <c r="K4396" s="58"/>
      <c r="M4396" s="163"/>
    </row>
    <row r="4397" spans="8:13" ht="11.45" customHeight="1" x14ac:dyDescent="0.2">
      <c r="H4397" s="58"/>
      <c r="I4397" s="156"/>
      <c r="K4397" s="58"/>
      <c r="M4397" s="163"/>
    </row>
    <row r="4398" spans="8:13" ht="11.45" customHeight="1" x14ac:dyDescent="0.2">
      <c r="H4398" s="58"/>
      <c r="I4398" s="156"/>
      <c r="K4398" s="58"/>
      <c r="M4398" s="163"/>
    </row>
    <row r="4399" spans="8:13" ht="11.45" customHeight="1" x14ac:dyDescent="0.2">
      <c r="H4399" s="58"/>
      <c r="I4399" s="156"/>
      <c r="K4399" s="58"/>
      <c r="M4399" s="163"/>
    </row>
    <row r="4400" spans="8:13" ht="11.45" customHeight="1" x14ac:dyDescent="0.2">
      <c r="H4400" s="58"/>
      <c r="I4400" s="156"/>
      <c r="K4400" s="58"/>
      <c r="M4400" s="163"/>
    </row>
    <row r="4401" spans="8:13" ht="11.45" customHeight="1" x14ac:dyDescent="0.2">
      <c r="H4401" s="58"/>
      <c r="I4401" s="156"/>
      <c r="K4401" s="58"/>
      <c r="M4401" s="163"/>
    </row>
    <row r="4402" spans="8:13" ht="11.45" customHeight="1" x14ac:dyDescent="0.2">
      <c r="H4402" s="58"/>
      <c r="I4402" s="156"/>
      <c r="K4402" s="58"/>
      <c r="M4402" s="163"/>
    </row>
    <row r="4403" spans="8:13" ht="11.45" customHeight="1" x14ac:dyDescent="0.2">
      <c r="H4403" s="58"/>
      <c r="I4403" s="156"/>
      <c r="K4403" s="58"/>
      <c r="M4403" s="163"/>
    </row>
    <row r="4404" spans="8:13" ht="11.45" customHeight="1" x14ac:dyDescent="0.2">
      <c r="H4404" s="58"/>
      <c r="I4404" s="156"/>
      <c r="K4404" s="58"/>
      <c r="M4404" s="163"/>
    </row>
    <row r="4405" spans="8:13" ht="11.45" customHeight="1" x14ac:dyDescent="0.2">
      <c r="H4405" s="58"/>
      <c r="I4405" s="156"/>
      <c r="K4405" s="58"/>
      <c r="M4405" s="163"/>
    </row>
    <row r="4406" spans="8:13" ht="11.45" customHeight="1" x14ac:dyDescent="0.2">
      <c r="H4406" s="58"/>
      <c r="I4406" s="156"/>
      <c r="K4406" s="58"/>
      <c r="M4406" s="163"/>
    </row>
    <row r="4407" spans="8:13" ht="11.45" customHeight="1" x14ac:dyDescent="0.2">
      <c r="H4407" s="58"/>
      <c r="I4407" s="156"/>
      <c r="K4407" s="58"/>
      <c r="M4407" s="163"/>
    </row>
    <row r="4408" spans="8:13" ht="11.45" customHeight="1" x14ac:dyDescent="0.2">
      <c r="H4408" s="58"/>
      <c r="I4408" s="156"/>
      <c r="K4408" s="58"/>
      <c r="M4408" s="163"/>
    </row>
    <row r="4409" spans="8:13" ht="11.45" customHeight="1" x14ac:dyDescent="0.2">
      <c r="H4409" s="58"/>
      <c r="I4409" s="156"/>
      <c r="K4409" s="58"/>
      <c r="M4409" s="163"/>
    </row>
    <row r="4410" spans="8:13" ht="11.45" customHeight="1" x14ac:dyDescent="0.2">
      <c r="H4410" s="58"/>
      <c r="I4410" s="156"/>
      <c r="K4410" s="58"/>
      <c r="M4410" s="163"/>
    </row>
    <row r="4411" spans="8:13" ht="11.45" customHeight="1" x14ac:dyDescent="0.2">
      <c r="H4411" s="58"/>
      <c r="I4411" s="156"/>
      <c r="K4411" s="58"/>
      <c r="M4411" s="163"/>
    </row>
    <row r="4412" spans="8:13" ht="11.45" customHeight="1" x14ac:dyDescent="0.2">
      <c r="H4412" s="58"/>
      <c r="I4412" s="156"/>
      <c r="K4412" s="58"/>
      <c r="M4412" s="163"/>
    </row>
    <row r="4413" spans="8:13" ht="11.45" customHeight="1" x14ac:dyDescent="0.2">
      <c r="H4413" s="58"/>
      <c r="I4413" s="156"/>
      <c r="K4413" s="58"/>
      <c r="M4413" s="163"/>
    </row>
    <row r="4414" spans="8:13" ht="11.45" customHeight="1" x14ac:dyDescent="0.2">
      <c r="H4414" s="58"/>
      <c r="I4414" s="156"/>
      <c r="K4414" s="58"/>
      <c r="M4414" s="163"/>
    </row>
    <row r="4415" spans="8:13" ht="11.45" customHeight="1" x14ac:dyDescent="0.2">
      <c r="H4415" s="58"/>
      <c r="I4415" s="156"/>
      <c r="K4415" s="58"/>
      <c r="M4415" s="163"/>
    </row>
    <row r="4416" spans="8:13" ht="11.45" customHeight="1" x14ac:dyDescent="0.2">
      <c r="H4416" s="58"/>
      <c r="I4416" s="156"/>
      <c r="K4416" s="58"/>
      <c r="M4416" s="163"/>
    </row>
    <row r="4417" spans="8:13" ht="11.45" customHeight="1" x14ac:dyDescent="0.2">
      <c r="H4417" s="58"/>
      <c r="I4417" s="156"/>
      <c r="K4417" s="58"/>
      <c r="M4417" s="163"/>
    </row>
    <row r="4418" spans="8:13" ht="11.45" customHeight="1" x14ac:dyDescent="0.2">
      <c r="H4418" s="58"/>
      <c r="I4418" s="156"/>
      <c r="K4418" s="58"/>
      <c r="M4418" s="163"/>
    </row>
    <row r="4419" spans="8:13" ht="11.45" customHeight="1" x14ac:dyDescent="0.2">
      <c r="H4419" s="58"/>
      <c r="I4419" s="156"/>
      <c r="K4419" s="58"/>
      <c r="M4419" s="163"/>
    </row>
    <row r="4420" spans="8:13" ht="11.45" customHeight="1" x14ac:dyDescent="0.2">
      <c r="H4420" s="58"/>
      <c r="I4420" s="156"/>
      <c r="K4420" s="58"/>
      <c r="M4420" s="163"/>
    </row>
    <row r="4421" spans="8:13" ht="11.45" customHeight="1" x14ac:dyDescent="0.2">
      <c r="H4421" s="58"/>
      <c r="I4421" s="156"/>
      <c r="K4421" s="58"/>
      <c r="M4421" s="163"/>
    </row>
    <row r="4422" spans="8:13" ht="11.45" customHeight="1" x14ac:dyDescent="0.2">
      <c r="H4422" s="58"/>
      <c r="I4422" s="156"/>
      <c r="K4422" s="58"/>
      <c r="M4422" s="163"/>
    </row>
    <row r="4423" spans="8:13" ht="11.45" customHeight="1" x14ac:dyDescent="0.2">
      <c r="H4423" s="58"/>
      <c r="I4423" s="156"/>
      <c r="K4423" s="58"/>
      <c r="M4423" s="163"/>
    </row>
    <row r="4424" spans="8:13" ht="11.45" customHeight="1" x14ac:dyDescent="0.2">
      <c r="H4424" s="58"/>
      <c r="I4424" s="156"/>
      <c r="K4424" s="58"/>
      <c r="M4424" s="163"/>
    </row>
    <row r="4425" spans="8:13" ht="11.45" customHeight="1" x14ac:dyDescent="0.2">
      <c r="H4425" s="58"/>
      <c r="I4425" s="156"/>
      <c r="K4425" s="58"/>
      <c r="M4425" s="163"/>
    </row>
    <row r="4426" spans="8:13" ht="11.45" customHeight="1" x14ac:dyDescent="0.2">
      <c r="H4426" s="58"/>
      <c r="I4426" s="156"/>
      <c r="K4426" s="58"/>
      <c r="M4426" s="163"/>
    </row>
    <row r="4427" spans="8:13" ht="11.45" customHeight="1" x14ac:dyDescent="0.2">
      <c r="H4427" s="58"/>
      <c r="I4427" s="156"/>
      <c r="K4427" s="58"/>
      <c r="M4427" s="163"/>
    </row>
    <row r="4428" spans="8:13" ht="11.45" customHeight="1" x14ac:dyDescent="0.2">
      <c r="H4428" s="58"/>
      <c r="I4428" s="156"/>
      <c r="K4428" s="58"/>
      <c r="M4428" s="163"/>
    </row>
    <row r="4429" spans="8:13" ht="11.45" customHeight="1" x14ac:dyDescent="0.2">
      <c r="H4429" s="58"/>
      <c r="I4429" s="156"/>
      <c r="K4429" s="58"/>
      <c r="M4429" s="163"/>
    </row>
    <row r="4430" spans="8:13" ht="11.45" customHeight="1" x14ac:dyDescent="0.2">
      <c r="H4430" s="58"/>
      <c r="I4430" s="156"/>
      <c r="K4430" s="58"/>
      <c r="M4430" s="163"/>
    </row>
    <row r="4431" spans="8:13" ht="11.45" customHeight="1" x14ac:dyDescent="0.2">
      <c r="H4431" s="58"/>
      <c r="I4431" s="156"/>
      <c r="K4431" s="58"/>
      <c r="M4431" s="163"/>
    </row>
    <row r="4432" spans="8:13" ht="11.45" customHeight="1" x14ac:dyDescent="0.2">
      <c r="H4432" s="58"/>
      <c r="I4432" s="156"/>
      <c r="K4432" s="58"/>
      <c r="M4432" s="163"/>
    </row>
    <row r="4433" spans="8:13" ht="11.45" customHeight="1" x14ac:dyDescent="0.2">
      <c r="H4433" s="58"/>
      <c r="I4433" s="156"/>
      <c r="K4433" s="58"/>
      <c r="M4433" s="163"/>
    </row>
    <row r="4434" spans="8:13" ht="11.45" customHeight="1" x14ac:dyDescent="0.2">
      <c r="H4434" s="58"/>
      <c r="I4434" s="156"/>
      <c r="K4434" s="58"/>
      <c r="M4434" s="163"/>
    </row>
    <row r="4435" spans="8:13" ht="11.45" customHeight="1" x14ac:dyDescent="0.2">
      <c r="H4435" s="58"/>
      <c r="I4435" s="156"/>
      <c r="K4435" s="58"/>
      <c r="M4435" s="163"/>
    </row>
    <row r="4436" spans="8:13" ht="11.45" customHeight="1" x14ac:dyDescent="0.2">
      <c r="H4436" s="58"/>
      <c r="I4436" s="156"/>
      <c r="K4436" s="58"/>
      <c r="M4436" s="163"/>
    </row>
    <row r="4437" spans="8:13" ht="11.45" customHeight="1" x14ac:dyDescent="0.2">
      <c r="H4437" s="58"/>
      <c r="I4437" s="156"/>
      <c r="K4437" s="58"/>
      <c r="M4437" s="163"/>
    </row>
    <row r="4438" spans="8:13" ht="11.45" customHeight="1" x14ac:dyDescent="0.2">
      <c r="H4438" s="58"/>
      <c r="I4438" s="156"/>
      <c r="K4438" s="58"/>
      <c r="M4438" s="163"/>
    </row>
    <row r="4439" spans="8:13" ht="11.45" customHeight="1" x14ac:dyDescent="0.2">
      <c r="H4439" s="58"/>
      <c r="I4439" s="156"/>
      <c r="K4439" s="58"/>
      <c r="M4439" s="163"/>
    </row>
    <row r="4440" spans="8:13" ht="11.45" customHeight="1" x14ac:dyDescent="0.2">
      <c r="H4440" s="58"/>
      <c r="I4440" s="156"/>
      <c r="K4440" s="58"/>
      <c r="M4440" s="163"/>
    </row>
    <row r="4441" spans="8:13" ht="11.45" customHeight="1" x14ac:dyDescent="0.2">
      <c r="H4441" s="58"/>
      <c r="I4441" s="156"/>
      <c r="K4441" s="58"/>
      <c r="M4441" s="163"/>
    </row>
    <row r="4442" spans="8:13" ht="11.45" customHeight="1" x14ac:dyDescent="0.2">
      <c r="H4442" s="58"/>
      <c r="I4442" s="156"/>
      <c r="K4442" s="58"/>
      <c r="M4442" s="163"/>
    </row>
    <row r="4443" spans="8:13" ht="11.45" customHeight="1" x14ac:dyDescent="0.2">
      <c r="H4443" s="58"/>
      <c r="I4443" s="156"/>
      <c r="K4443" s="58"/>
      <c r="M4443" s="163"/>
    </row>
    <row r="4444" spans="8:13" ht="11.45" customHeight="1" x14ac:dyDescent="0.2">
      <c r="H4444" s="58"/>
      <c r="I4444" s="156"/>
      <c r="K4444" s="58"/>
      <c r="M4444" s="163"/>
    </row>
    <row r="4445" spans="8:13" ht="11.45" customHeight="1" x14ac:dyDescent="0.2">
      <c r="H4445" s="58"/>
      <c r="I4445" s="156"/>
      <c r="K4445" s="58"/>
      <c r="M4445" s="163"/>
    </row>
    <row r="4446" spans="8:13" ht="11.45" customHeight="1" x14ac:dyDescent="0.2">
      <c r="H4446" s="58"/>
      <c r="I4446" s="156"/>
      <c r="K4446" s="58"/>
      <c r="M4446" s="163"/>
    </row>
    <row r="4447" spans="8:13" ht="11.45" customHeight="1" x14ac:dyDescent="0.2">
      <c r="H4447" s="58"/>
      <c r="I4447" s="156"/>
      <c r="K4447" s="58"/>
      <c r="M4447" s="163"/>
    </row>
    <row r="4448" spans="8:13" ht="11.45" customHeight="1" x14ac:dyDescent="0.2">
      <c r="H4448" s="58"/>
      <c r="I4448" s="156"/>
      <c r="K4448" s="58"/>
      <c r="M4448" s="163"/>
    </row>
    <row r="4449" spans="8:13" ht="11.45" customHeight="1" x14ac:dyDescent="0.2">
      <c r="H4449" s="58"/>
      <c r="I4449" s="156"/>
      <c r="K4449" s="58"/>
      <c r="M4449" s="163"/>
    </row>
    <row r="4450" spans="8:13" ht="11.45" customHeight="1" x14ac:dyDescent="0.2">
      <c r="H4450" s="58"/>
      <c r="I4450" s="156"/>
      <c r="K4450" s="58"/>
      <c r="M4450" s="163"/>
    </row>
    <row r="4451" spans="8:13" ht="11.45" customHeight="1" x14ac:dyDescent="0.2">
      <c r="H4451" s="58"/>
      <c r="I4451" s="156"/>
      <c r="K4451" s="58"/>
      <c r="M4451" s="163"/>
    </row>
    <row r="4452" spans="8:13" ht="11.45" customHeight="1" x14ac:dyDescent="0.2">
      <c r="H4452" s="58"/>
      <c r="I4452" s="156"/>
      <c r="K4452" s="58"/>
      <c r="M4452" s="163"/>
    </row>
    <row r="4453" spans="8:13" ht="11.45" customHeight="1" x14ac:dyDescent="0.2">
      <c r="H4453" s="58"/>
      <c r="I4453" s="156"/>
      <c r="K4453" s="58"/>
      <c r="M4453" s="163"/>
    </row>
    <row r="4454" spans="8:13" ht="11.45" customHeight="1" x14ac:dyDescent="0.2">
      <c r="H4454" s="58"/>
      <c r="I4454" s="156"/>
      <c r="K4454" s="58"/>
      <c r="M4454" s="163"/>
    </row>
    <row r="4455" spans="8:13" ht="11.45" customHeight="1" x14ac:dyDescent="0.2">
      <c r="H4455" s="58"/>
      <c r="I4455" s="156"/>
      <c r="K4455" s="58"/>
      <c r="M4455" s="163"/>
    </row>
    <row r="4456" spans="8:13" ht="11.45" customHeight="1" x14ac:dyDescent="0.2">
      <c r="H4456" s="58"/>
      <c r="I4456" s="156"/>
      <c r="K4456" s="58"/>
      <c r="M4456" s="163"/>
    </row>
    <row r="4457" spans="8:13" ht="11.45" customHeight="1" x14ac:dyDescent="0.2">
      <c r="H4457" s="58"/>
      <c r="I4457" s="156"/>
      <c r="K4457" s="58"/>
      <c r="M4457" s="163"/>
    </row>
    <row r="4458" spans="8:13" ht="11.45" customHeight="1" x14ac:dyDescent="0.2">
      <c r="H4458" s="58"/>
      <c r="I4458" s="156"/>
      <c r="K4458" s="58"/>
      <c r="M4458" s="163"/>
    </row>
    <row r="4459" spans="8:13" ht="11.45" customHeight="1" x14ac:dyDescent="0.2">
      <c r="H4459" s="58"/>
      <c r="I4459" s="156"/>
      <c r="K4459" s="58"/>
      <c r="M4459" s="163"/>
    </row>
    <row r="4460" spans="8:13" ht="11.45" customHeight="1" x14ac:dyDescent="0.2">
      <c r="H4460" s="58"/>
      <c r="I4460" s="156"/>
      <c r="K4460" s="58"/>
      <c r="M4460" s="163"/>
    </row>
    <row r="4461" spans="8:13" ht="11.45" customHeight="1" x14ac:dyDescent="0.2">
      <c r="H4461" s="58"/>
      <c r="I4461" s="156"/>
      <c r="K4461" s="58"/>
      <c r="M4461" s="163"/>
    </row>
    <row r="4462" spans="8:13" ht="11.45" customHeight="1" x14ac:dyDescent="0.2">
      <c r="H4462" s="58"/>
      <c r="I4462" s="156"/>
      <c r="K4462" s="58"/>
      <c r="M4462" s="163"/>
    </row>
    <row r="4463" spans="8:13" ht="11.45" customHeight="1" x14ac:dyDescent="0.2">
      <c r="H4463" s="58"/>
      <c r="I4463" s="156"/>
      <c r="K4463" s="58"/>
      <c r="M4463" s="163"/>
    </row>
    <row r="4464" spans="8:13" ht="11.45" customHeight="1" x14ac:dyDescent="0.2">
      <c r="H4464" s="58"/>
      <c r="I4464" s="156"/>
      <c r="K4464" s="58"/>
      <c r="M4464" s="163"/>
    </row>
    <row r="4465" spans="8:13" ht="11.45" customHeight="1" x14ac:dyDescent="0.2">
      <c r="H4465" s="58"/>
      <c r="I4465" s="156"/>
      <c r="K4465" s="58"/>
      <c r="M4465" s="163"/>
    </row>
    <row r="4466" spans="8:13" ht="11.45" customHeight="1" x14ac:dyDescent="0.2">
      <c r="H4466" s="58"/>
      <c r="I4466" s="156"/>
      <c r="K4466" s="58"/>
      <c r="M4466" s="163"/>
    </row>
    <row r="4467" spans="8:13" ht="11.45" customHeight="1" x14ac:dyDescent="0.2">
      <c r="H4467" s="58"/>
      <c r="I4467" s="156"/>
      <c r="K4467" s="58"/>
      <c r="M4467" s="163"/>
    </row>
    <row r="4468" spans="8:13" ht="11.45" customHeight="1" x14ac:dyDescent="0.2">
      <c r="H4468" s="58"/>
      <c r="I4468" s="156"/>
      <c r="K4468" s="58"/>
      <c r="M4468" s="163"/>
    </row>
    <row r="4469" spans="8:13" ht="11.45" customHeight="1" x14ac:dyDescent="0.2">
      <c r="H4469" s="58"/>
      <c r="I4469" s="156"/>
      <c r="K4469" s="58"/>
      <c r="M4469" s="163"/>
    </row>
    <row r="4470" spans="8:13" ht="11.45" customHeight="1" x14ac:dyDescent="0.2">
      <c r="H4470" s="58"/>
      <c r="I4470" s="156"/>
      <c r="K4470" s="58"/>
      <c r="M4470" s="163"/>
    </row>
    <row r="4471" spans="8:13" ht="11.45" customHeight="1" x14ac:dyDescent="0.2">
      <c r="H4471" s="58"/>
      <c r="I4471" s="156"/>
      <c r="K4471" s="58"/>
      <c r="M4471" s="163"/>
    </row>
    <row r="4472" spans="8:13" ht="11.45" customHeight="1" x14ac:dyDescent="0.2">
      <c r="H4472" s="58"/>
      <c r="I4472" s="156"/>
      <c r="K4472" s="58"/>
      <c r="M4472" s="163"/>
    </row>
    <row r="4473" spans="8:13" ht="11.45" customHeight="1" x14ac:dyDescent="0.2">
      <c r="H4473" s="58"/>
      <c r="I4473" s="156"/>
      <c r="K4473" s="58"/>
      <c r="M4473" s="163"/>
    </row>
    <row r="4474" spans="8:13" ht="11.45" customHeight="1" x14ac:dyDescent="0.2">
      <c r="H4474" s="58"/>
      <c r="I4474" s="156"/>
      <c r="K4474" s="58"/>
      <c r="M4474" s="163"/>
    </row>
    <row r="4475" spans="8:13" ht="11.45" customHeight="1" x14ac:dyDescent="0.2">
      <c r="H4475" s="58"/>
      <c r="I4475" s="156"/>
      <c r="K4475" s="58"/>
      <c r="M4475" s="163"/>
    </row>
    <row r="4476" spans="8:13" ht="11.45" customHeight="1" x14ac:dyDescent="0.2">
      <c r="H4476" s="58"/>
      <c r="I4476" s="156"/>
      <c r="K4476" s="58"/>
      <c r="M4476" s="163"/>
    </row>
    <row r="4477" spans="8:13" ht="11.45" customHeight="1" x14ac:dyDescent="0.2">
      <c r="H4477" s="58"/>
      <c r="I4477" s="156"/>
      <c r="K4477" s="58"/>
      <c r="M4477" s="163"/>
    </row>
    <row r="4478" spans="8:13" ht="11.45" customHeight="1" x14ac:dyDescent="0.2">
      <c r="H4478" s="58"/>
      <c r="I4478" s="156"/>
      <c r="K4478" s="58"/>
      <c r="M4478" s="163"/>
    </row>
    <row r="4479" spans="8:13" ht="11.45" customHeight="1" x14ac:dyDescent="0.2">
      <c r="H4479" s="58"/>
      <c r="I4479" s="156"/>
      <c r="K4479" s="58"/>
      <c r="M4479" s="163"/>
    </row>
    <row r="4480" spans="8:13" ht="11.45" customHeight="1" x14ac:dyDescent="0.2">
      <c r="H4480" s="58"/>
      <c r="I4480" s="156"/>
      <c r="K4480" s="58"/>
      <c r="M4480" s="163"/>
    </row>
    <row r="4481" spans="8:13" ht="11.45" customHeight="1" x14ac:dyDescent="0.2">
      <c r="H4481" s="58"/>
      <c r="I4481" s="156"/>
      <c r="K4481" s="58"/>
      <c r="M4481" s="163"/>
    </row>
    <row r="4482" spans="8:13" ht="11.45" customHeight="1" x14ac:dyDescent="0.2">
      <c r="H4482" s="58"/>
      <c r="I4482" s="156"/>
      <c r="K4482" s="58"/>
      <c r="M4482" s="163"/>
    </row>
    <row r="4483" spans="8:13" ht="11.45" customHeight="1" x14ac:dyDescent="0.2">
      <c r="H4483" s="58"/>
      <c r="I4483" s="156"/>
      <c r="K4483" s="58"/>
      <c r="M4483" s="163"/>
    </row>
    <row r="4484" spans="8:13" ht="11.45" customHeight="1" x14ac:dyDescent="0.2">
      <c r="H4484" s="58"/>
      <c r="I4484" s="156"/>
      <c r="K4484" s="58"/>
      <c r="M4484" s="163"/>
    </row>
    <row r="4485" spans="8:13" ht="11.45" customHeight="1" x14ac:dyDescent="0.2">
      <c r="H4485" s="58"/>
      <c r="I4485" s="156"/>
      <c r="K4485" s="58"/>
      <c r="M4485" s="163"/>
    </row>
    <row r="4486" spans="8:13" ht="11.45" customHeight="1" x14ac:dyDescent="0.2">
      <c r="H4486" s="58"/>
      <c r="I4486" s="156"/>
      <c r="K4486" s="58"/>
      <c r="M4486" s="163"/>
    </row>
    <row r="4487" spans="8:13" ht="11.45" customHeight="1" x14ac:dyDescent="0.2">
      <c r="H4487" s="58"/>
      <c r="I4487" s="156"/>
      <c r="K4487" s="58"/>
      <c r="M4487" s="163"/>
    </row>
    <row r="4488" spans="8:13" ht="11.45" customHeight="1" x14ac:dyDescent="0.2">
      <c r="H4488" s="58"/>
      <c r="I4488" s="156"/>
      <c r="K4488" s="58"/>
      <c r="M4488" s="163"/>
    </row>
    <row r="4489" spans="8:13" ht="11.45" customHeight="1" x14ac:dyDescent="0.2">
      <c r="H4489" s="58"/>
      <c r="I4489" s="156"/>
      <c r="K4489" s="58"/>
      <c r="M4489" s="163"/>
    </row>
    <row r="4490" spans="8:13" ht="11.45" customHeight="1" x14ac:dyDescent="0.2">
      <c r="H4490" s="58"/>
      <c r="I4490" s="156"/>
      <c r="K4490" s="58"/>
      <c r="M4490" s="163"/>
    </row>
    <row r="4491" spans="8:13" ht="11.45" customHeight="1" x14ac:dyDescent="0.2">
      <c r="H4491" s="58"/>
      <c r="I4491" s="156"/>
      <c r="K4491" s="58"/>
      <c r="M4491" s="163"/>
    </row>
    <row r="4492" spans="8:13" ht="11.45" customHeight="1" x14ac:dyDescent="0.2">
      <c r="H4492" s="58"/>
      <c r="I4492" s="156"/>
      <c r="K4492" s="58"/>
      <c r="M4492" s="163"/>
    </row>
    <row r="4493" spans="8:13" ht="11.45" customHeight="1" x14ac:dyDescent="0.2">
      <c r="H4493" s="58"/>
      <c r="I4493" s="156"/>
      <c r="K4493" s="58"/>
      <c r="M4493" s="163"/>
    </row>
    <row r="4494" spans="8:13" ht="11.45" customHeight="1" x14ac:dyDescent="0.2">
      <c r="H4494" s="58"/>
      <c r="I4494" s="156"/>
      <c r="K4494" s="58"/>
      <c r="M4494" s="163"/>
    </row>
    <row r="4495" spans="8:13" ht="11.45" customHeight="1" x14ac:dyDescent="0.2">
      <c r="H4495" s="58"/>
      <c r="I4495" s="156"/>
      <c r="K4495" s="58"/>
      <c r="M4495" s="163"/>
    </row>
    <row r="4496" spans="8:13" ht="11.45" customHeight="1" x14ac:dyDescent="0.2">
      <c r="H4496" s="58"/>
      <c r="I4496" s="156"/>
      <c r="K4496" s="58"/>
      <c r="M4496" s="163"/>
    </row>
    <row r="4497" spans="8:13" ht="11.45" customHeight="1" x14ac:dyDescent="0.2">
      <c r="H4497" s="58"/>
      <c r="I4497" s="156"/>
      <c r="K4497" s="58"/>
      <c r="M4497" s="163"/>
    </row>
    <row r="4498" spans="8:13" ht="11.45" customHeight="1" x14ac:dyDescent="0.2">
      <c r="H4498" s="58"/>
      <c r="I4498" s="156"/>
      <c r="K4498" s="58"/>
      <c r="M4498" s="163"/>
    </row>
    <row r="4499" spans="8:13" ht="11.45" customHeight="1" x14ac:dyDescent="0.2">
      <c r="H4499" s="58"/>
      <c r="I4499" s="156"/>
      <c r="K4499" s="58"/>
      <c r="M4499" s="163"/>
    </row>
    <row r="4500" spans="8:13" ht="11.45" customHeight="1" x14ac:dyDescent="0.2">
      <c r="H4500" s="58"/>
      <c r="I4500" s="156"/>
      <c r="K4500" s="58"/>
      <c r="M4500" s="163"/>
    </row>
    <row r="4501" spans="8:13" ht="11.45" customHeight="1" x14ac:dyDescent="0.2">
      <c r="H4501" s="58"/>
      <c r="I4501" s="156"/>
      <c r="K4501" s="58"/>
      <c r="M4501" s="163"/>
    </row>
    <row r="4502" spans="8:13" ht="11.45" customHeight="1" x14ac:dyDescent="0.2">
      <c r="H4502" s="58"/>
      <c r="I4502" s="156"/>
      <c r="K4502" s="58"/>
      <c r="M4502" s="163"/>
    </row>
    <row r="4503" spans="8:13" ht="11.45" customHeight="1" x14ac:dyDescent="0.2">
      <c r="H4503" s="58"/>
      <c r="I4503" s="156"/>
      <c r="K4503" s="58"/>
      <c r="M4503" s="163"/>
    </row>
    <row r="4504" spans="8:13" ht="11.45" customHeight="1" x14ac:dyDescent="0.2">
      <c r="H4504" s="58"/>
      <c r="I4504" s="156"/>
      <c r="K4504" s="58"/>
      <c r="M4504" s="163"/>
    </row>
    <row r="4505" spans="8:13" ht="11.45" customHeight="1" x14ac:dyDescent="0.2">
      <c r="H4505" s="58"/>
      <c r="I4505" s="156"/>
      <c r="K4505" s="58"/>
      <c r="M4505" s="163"/>
    </row>
    <row r="4506" spans="8:13" ht="11.45" customHeight="1" x14ac:dyDescent="0.2">
      <c r="H4506" s="58"/>
      <c r="I4506" s="156"/>
      <c r="K4506" s="58"/>
      <c r="M4506" s="163"/>
    </row>
    <row r="4507" spans="8:13" ht="11.45" customHeight="1" x14ac:dyDescent="0.2">
      <c r="H4507" s="58"/>
      <c r="I4507" s="156"/>
      <c r="K4507" s="58"/>
      <c r="M4507" s="163"/>
    </row>
    <row r="4508" spans="8:13" ht="11.45" customHeight="1" x14ac:dyDescent="0.2">
      <c r="H4508" s="58"/>
      <c r="I4508" s="156"/>
      <c r="K4508" s="58"/>
      <c r="M4508" s="163"/>
    </row>
    <row r="4509" spans="8:13" ht="11.45" customHeight="1" x14ac:dyDescent="0.2">
      <c r="H4509" s="58"/>
      <c r="I4509" s="156"/>
      <c r="K4509" s="58"/>
      <c r="M4509" s="163"/>
    </row>
    <row r="4510" spans="8:13" ht="11.45" customHeight="1" x14ac:dyDescent="0.2">
      <c r="H4510" s="58"/>
      <c r="I4510" s="156"/>
      <c r="K4510" s="58"/>
      <c r="M4510" s="163"/>
    </row>
    <row r="4511" spans="8:13" ht="11.45" customHeight="1" x14ac:dyDescent="0.2">
      <c r="H4511" s="58"/>
      <c r="I4511" s="156"/>
      <c r="K4511" s="58"/>
      <c r="M4511" s="163"/>
    </row>
    <row r="4512" spans="8:13" ht="11.45" customHeight="1" x14ac:dyDescent="0.2">
      <c r="H4512" s="58"/>
      <c r="I4512" s="156"/>
      <c r="K4512" s="58"/>
      <c r="M4512" s="163"/>
    </row>
    <row r="4513" spans="8:13" ht="11.45" customHeight="1" x14ac:dyDescent="0.2">
      <c r="H4513" s="58"/>
      <c r="I4513" s="156"/>
      <c r="K4513" s="58"/>
      <c r="M4513" s="163"/>
    </row>
    <row r="4514" spans="8:13" ht="11.45" customHeight="1" x14ac:dyDescent="0.2">
      <c r="H4514" s="58"/>
      <c r="I4514" s="156"/>
      <c r="K4514" s="58"/>
      <c r="M4514" s="163"/>
    </row>
    <row r="4515" spans="8:13" ht="11.45" customHeight="1" x14ac:dyDescent="0.2">
      <c r="H4515" s="58"/>
      <c r="I4515" s="156"/>
      <c r="K4515" s="58"/>
      <c r="M4515" s="163"/>
    </row>
    <row r="4516" spans="8:13" ht="11.45" customHeight="1" x14ac:dyDescent="0.2">
      <c r="H4516" s="58"/>
      <c r="I4516" s="156"/>
      <c r="K4516" s="58"/>
      <c r="M4516" s="163"/>
    </row>
    <row r="4517" spans="8:13" ht="11.45" customHeight="1" x14ac:dyDescent="0.2">
      <c r="H4517" s="58"/>
      <c r="I4517" s="156"/>
      <c r="K4517" s="58"/>
      <c r="M4517" s="163"/>
    </row>
    <row r="4518" spans="8:13" ht="11.45" customHeight="1" x14ac:dyDescent="0.2">
      <c r="H4518" s="58"/>
      <c r="I4518" s="156"/>
      <c r="K4518" s="58"/>
      <c r="M4518" s="163"/>
    </row>
    <row r="4519" spans="8:13" ht="11.45" customHeight="1" x14ac:dyDescent="0.2">
      <c r="H4519" s="58"/>
      <c r="I4519" s="156"/>
      <c r="K4519" s="58"/>
      <c r="M4519" s="163"/>
    </row>
    <row r="4520" spans="8:13" ht="11.45" customHeight="1" x14ac:dyDescent="0.2">
      <c r="H4520" s="58"/>
      <c r="I4520" s="156"/>
      <c r="K4520" s="58"/>
      <c r="M4520" s="163"/>
    </row>
    <row r="4521" spans="8:13" ht="11.45" customHeight="1" x14ac:dyDescent="0.2">
      <c r="H4521" s="58"/>
      <c r="I4521" s="156"/>
      <c r="K4521" s="58"/>
      <c r="M4521" s="163"/>
    </row>
    <row r="4522" spans="8:13" ht="11.45" customHeight="1" x14ac:dyDescent="0.2">
      <c r="H4522" s="58"/>
      <c r="I4522" s="156"/>
      <c r="K4522" s="58"/>
      <c r="M4522" s="163"/>
    </row>
    <row r="4523" spans="8:13" ht="11.45" customHeight="1" x14ac:dyDescent="0.2">
      <c r="H4523" s="58"/>
      <c r="I4523" s="156"/>
      <c r="K4523" s="58"/>
      <c r="M4523" s="163"/>
    </row>
    <row r="4524" spans="8:13" ht="11.45" customHeight="1" x14ac:dyDescent="0.2">
      <c r="H4524" s="58"/>
      <c r="I4524" s="156"/>
      <c r="K4524" s="58"/>
      <c r="M4524" s="163"/>
    </row>
    <row r="4525" spans="8:13" ht="11.45" customHeight="1" x14ac:dyDescent="0.2">
      <c r="H4525" s="58"/>
      <c r="I4525" s="156"/>
      <c r="K4525" s="58"/>
      <c r="M4525" s="163"/>
    </row>
    <row r="4526" spans="8:13" ht="11.45" customHeight="1" x14ac:dyDescent="0.2">
      <c r="H4526" s="58"/>
      <c r="I4526" s="156"/>
      <c r="K4526" s="58"/>
      <c r="M4526" s="163"/>
    </row>
    <row r="4527" spans="8:13" ht="11.45" customHeight="1" x14ac:dyDescent="0.2">
      <c r="H4527" s="58"/>
      <c r="I4527" s="156"/>
      <c r="K4527" s="58"/>
      <c r="M4527" s="163"/>
    </row>
    <row r="4528" spans="8:13" ht="11.45" customHeight="1" x14ac:dyDescent="0.2">
      <c r="H4528" s="58"/>
      <c r="I4528" s="156"/>
      <c r="K4528" s="58"/>
      <c r="M4528" s="163"/>
    </row>
    <row r="4529" spans="8:13" ht="11.45" customHeight="1" x14ac:dyDescent="0.2">
      <c r="H4529" s="58"/>
      <c r="I4529" s="156"/>
      <c r="K4529" s="58"/>
      <c r="M4529" s="163"/>
    </row>
    <row r="4530" spans="8:13" ht="11.45" customHeight="1" x14ac:dyDescent="0.2">
      <c r="H4530" s="58"/>
      <c r="I4530" s="156"/>
      <c r="K4530" s="58"/>
      <c r="M4530" s="163"/>
    </row>
    <row r="4531" spans="8:13" ht="11.45" customHeight="1" x14ac:dyDescent="0.2">
      <c r="H4531" s="58"/>
      <c r="I4531" s="156"/>
      <c r="K4531" s="58"/>
      <c r="M4531" s="163"/>
    </row>
    <row r="4532" spans="8:13" ht="11.45" customHeight="1" x14ac:dyDescent="0.2">
      <c r="H4532" s="58"/>
      <c r="I4532" s="156"/>
      <c r="K4532" s="58"/>
      <c r="M4532" s="163"/>
    </row>
    <row r="4533" spans="8:13" ht="11.45" customHeight="1" x14ac:dyDescent="0.2">
      <c r="H4533" s="58"/>
      <c r="I4533" s="156"/>
      <c r="K4533" s="58"/>
      <c r="M4533" s="163"/>
    </row>
    <row r="4534" spans="8:13" ht="11.45" customHeight="1" x14ac:dyDescent="0.2">
      <c r="H4534" s="58"/>
      <c r="I4534" s="156"/>
      <c r="K4534" s="58"/>
      <c r="M4534" s="163"/>
    </row>
    <row r="4535" spans="8:13" ht="11.45" customHeight="1" x14ac:dyDescent="0.2">
      <c r="H4535" s="58"/>
      <c r="I4535" s="156"/>
      <c r="K4535" s="58"/>
      <c r="M4535" s="163"/>
    </row>
    <row r="4536" spans="8:13" ht="11.45" customHeight="1" x14ac:dyDescent="0.2">
      <c r="H4536" s="58"/>
      <c r="I4536" s="156"/>
      <c r="K4536" s="58"/>
      <c r="M4536" s="163"/>
    </row>
    <row r="4537" spans="8:13" ht="11.45" customHeight="1" x14ac:dyDescent="0.2">
      <c r="H4537" s="58"/>
      <c r="I4537" s="156"/>
      <c r="K4537" s="58"/>
      <c r="M4537" s="163"/>
    </row>
    <row r="4538" spans="8:13" ht="11.45" customHeight="1" x14ac:dyDescent="0.2">
      <c r="H4538" s="58"/>
      <c r="I4538" s="156"/>
      <c r="K4538" s="58"/>
      <c r="M4538" s="163"/>
    </row>
    <row r="4539" spans="8:13" ht="11.45" customHeight="1" x14ac:dyDescent="0.2">
      <c r="H4539" s="58"/>
      <c r="I4539" s="156"/>
      <c r="K4539" s="58"/>
      <c r="M4539" s="163"/>
    </row>
    <row r="4540" spans="8:13" ht="11.45" customHeight="1" x14ac:dyDescent="0.2">
      <c r="H4540" s="58"/>
      <c r="I4540" s="156"/>
      <c r="K4540" s="58"/>
      <c r="M4540" s="163"/>
    </row>
    <row r="4541" spans="8:13" ht="11.45" customHeight="1" x14ac:dyDescent="0.2">
      <c r="H4541" s="58"/>
      <c r="I4541" s="156"/>
      <c r="K4541" s="58"/>
      <c r="M4541" s="163"/>
    </row>
    <row r="4542" spans="8:13" ht="11.45" customHeight="1" x14ac:dyDescent="0.2">
      <c r="H4542" s="58"/>
      <c r="I4542" s="156"/>
      <c r="K4542" s="58"/>
      <c r="M4542" s="163"/>
    </row>
    <row r="4543" spans="8:13" ht="11.45" customHeight="1" x14ac:dyDescent="0.2">
      <c r="H4543" s="58"/>
      <c r="I4543" s="156"/>
      <c r="K4543" s="58"/>
      <c r="M4543" s="163"/>
    </row>
    <row r="4544" spans="8:13" ht="11.45" customHeight="1" x14ac:dyDescent="0.2">
      <c r="H4544" s="58"/>
      <c r="I4544" s="156"/>
      <c r="K4544" s="58"/>
      <c r="M4544" s="163"/>
    </row>
    <row r="4545" spans="8:13" ht="11.45" customHeight="1" x14ac:dyDescent="0.2">
      <c r="H4545" s="58"/>
      <c r="I4545" s="156"/>
      <c r="K4545" s="58"/>
      <c r="M4545" s="163"/>
    </row>
    <row r="4546" spans="8:13" ht="11.45" customHeight="1" x14ac:dyDescent="0.2">
      <c r="H4546" s="58"/>
      <c r="I4546" s="156"/>
      <c r="K4546" s="58"/>
      <c r="M4546" s="163"/>
    </row>
    <row r="4547" spans="8:13" ht="11.45" customHeight="1" x14ac:dyDescent="0.2">
      <c r="H4547" s="58"/>
      <c r="I4547" s="156"/>
      <c r="K4547" s="58"/>
      <c r="M4547" s="163"/>
    </row>
    <row r="4548" spans="8:13" ht="11.45" customHeight="1" x14ac:dyDescent="0.2">
      <c r="H4548" s="58"/>
      <c r="I4548" s="156"/>
      <c r="K4548" s="58"/>
      <c r="M4548" s="163"/>
    </row>
    <row r="4549" spans="8:13" ht="11.45" customHeight="1" x14ac:dyDescent="0.2">
      <c r="H4549" s="58"/>
      <c r="I4549" s="156"/>
      <c r="K4549" s="58"/>
      <c r="M4549" s="163"/>
    </row>
    <row r="4550" spans="8:13" ht="11.45" customHeight="1" x14ac:dyDescent="0.2">
      <c r="H4550" s="58"/>
      <c r="I4550" s="156"/>
      <c r="K4550" s="58"/>
      <c r="M4550" s="163"/>
    </row>
    <row r="4551" spans="8:13" ht="11.45" customHeight="1" x14ac:dyDescent="0.2">
      <c r="H4551" s="58"/>
      <c r="I4551" s="156"/>
      <c r="K4551" s="58"/>
      <c r="M4551" s="163"/>
    </row>
    <row r="4552" spans="8:13" ht="11.45" customHeight="1" x14ac:dyDescent="0.2">
      <c r="H4552" s="58"/>
      <c r="I4552" s="156"/>
      <c r="K4552" s="58"/>
      <c r="M4552" s="163"/>
    </row>
    <row r="4553" spans="8:13" ht="11.45" customHeight="1" x14ac:dyDescent="0.2">
      <c r="H4553" s="58"/>
      <c r="I4553" s="156"/>
      <c r="K4553" s="58"/>
      <c r="M4553" s="163"/>
    </row>
    <row r="4554" spans="8:13" ht="11.45" customHeight="1" x14ac:dyDescent="0.2">
      <c r="H4554" s="58"/>
      <c r="I4554" s="156"/>
      <c r="K4554" s="58"/>
      <c r="M4554" s="163"/>
    </row>
    <row r="4555" spans="8:13" ht="11.45" customHeight="1" x14ac:dyDescent="0.2">
      <c r="H4555" s="58"/>
      <c r="I4555" s="156"/>
      <c r="K4555" s="58"/>
      <c r="M4555" s="163"/>
    </row>
    <row r="4556" spans="8:13" ht="11.45" customHeight="1" x14ac:dyDescent="0.2">
      <c r="H4556" s="58"/>
      <c r="I4556" s="156"/>
      <c r="K4556" s="58"/>
      <c r="M4556" s="163"/>
    </row>
    <row r="4557" spans="8:13" ht="11.45" customHeight="1" x14ac:dyDescent="0.2">
      <c r="H4557" s="58"/>
      <c r="I4557" s="156"/>
      <c r="K4557" s="58"/>
      <c r="M4557" s="163"/>
    </row>
    <row r="4558" spans="8:13" ht="11.45" customHeight="1" x14ac:dyDescent="0.2">
      <c r="H4558" s="58"/>
      <c r="I4558" s="156"/>
      <c r="K4558" s="58"/>
      <c r="M4558" s="163"/>
    </row>
    <row r="4559" spans="8:13" ht="11.45" customHeight="1" x14ac:dyDescent="0.2">
      <c r="H4559" s="58"/>
      <c r="I4559" s="156"/>
      <c r="K4559" s="58"/>
      <c r="M4559" s="163"/>
    </row>
    <row r="4560" spans="8:13" ht="11.45" customHeight="1" x14ac:dyDescent="0.2">
      <c r="H4560" s="58"/>
      <c r="I4560" s="156"/>
      <c r="K4560" s="58"/>
      <c r="M4560" s="163"/>
    </row>
    <row r="4561" spans="8:13" ht="11.45" customHeight="1" x14ac:dyDescent="0.2">
      <c r="H4561" s="58"/>
      <c r="I4561" s="156"/>
      <c r="K4561" s="58"/>
      <c r="M4561" s="163"/>
    </row>
    <row r="4562" spans="8:13" ht="11.45" customHeight="1" x14ac:dyDescent="0.2">
      <c r="H4562" s="58"/>
      <c r="I4562" s="156"/>
      <c r="K4562" s="58"/>
      <c r="M4562" s="163"/>
    </row>
    <row r="4563" spans="8:13" ht="11.45" customHeight="1" x14ac:dyDescent="0.2">
      <c r="H4563" s="58"/>
      <c r="I4563" s="156"/>
      <c r="K4563" s="58"/>
      <c r="M4563" s="163"/>
    </row>
    <row r="4564" spans="8:13" ht="11.45" customHeight="1" x14ac:dyDescent="0.2">
      <c r="H4564" s="58"/>
      <c r="I4564" s="156"/>
      <c r="K4564" s="58"/>
      <c r="M4564" s="163"/>
    </row>
    <row r="4565" spans="8:13" ht="11.45" customHeight="1" x14ac:dyDescent="0.2">
      <c r="H4565" s="58"/>
      <c r="I4565" s="156"/>
      <c r="K4565" s="58"/>
      <c r="M4565" s="163"/>
    </row>
    <row r="4566" spans="8:13" ht="11.45" customHeight="1" x14ac:dyDescent="0.2">
      <c r="H4566" s="58"/>
      <c r="I4566" s="156"/>
      <c r="K4566" s="58"/>
      <c r="M4566" s="163"/>
    </row>
    <row r="4567" spans="8:13" ht="11.45" customHeight="1" x14ac:dyDescent="0.2">
      <c r="H4567" s="58"/>
      <c r="I4567" s="156"/>
      <c r="K4567" s="58"/>
      <c r="M4567" s="163"/>
    </row>
    <row r="4568" spans="8:13" ht="11.45" customHeight="1" x14ac:dyDescent="0.2">
      <c r="H4568" s="58"/>
      <c r="I4568" s="156"/>
      <c r="K4568" s="58"/>
      <c r="M4568" s="163"/>
    </row>
    <row r="4569" spans="8:13" ht="11.45" customHeight="1" x14ac:dyDescent="0.2">
      <c r="H4569" s="58"/>
      <c r="I4569" s="156"/>
      <c r="K4569" s="58"/>
      <c r="M4569" s="163"/>
    </row>
    <row r="4570" spans="8:13" ht="11.45" customHeight="1" x14ac:dyDescent="0.2">
      <c r="H4570" s="58"/>
      <c r="I4570" s="156"/>
      <c r="K4570" s="58"/>
      <c r="M4570" s="163"/>
    </row>
    <row r="4571" spans="8:13" ht="11.45" customHeight="1" x14ac:dyDescent="0.2">
      <c r="H4571" s="58"/>
      <c r="I4571" s="156"/>
      <c r="K4571" s="58"/>
      <c r="M4571" s="163"/>
    </row>
    <row r="4572" spans="8:13" ht="11.45" customHeight="1" x14ac:dyDescent="0.2">
      <c r="H4572" s="58"/>
      <c r="I4572" s="156"/>
      <c r="K4572" s="58"/>
      <c r="M4572" s="163"/>
    </row>
    <row r="4573" spans="8:13" ht="11.45" customHeight="1" x14ac:dyDescent="0.2">
      <c r="H4573" s="58"/>
      <c r="I4573" s="156"/>
      <c r="K4573" s="58"/>
      <c r="M4573" s="163"/>
    </row>
    <row r="4574" spans="8:13" ht="11.45" customHeight="1" x14ac:dyDescent="0.2">
      <c r="H4574" s="58"/>
      <c r="I4574" s="156"/>
      <c r="K4574" s="58"/>
      <c r="M4574" s="163"/>
    </row>
    <row r="4575" spans="8:13" ht="11.45" customHeight="1" x14ac:dyDescent="0.2">
      <c r="H4575" s="58"/>
      <c r="I4575" s="156"/>
      <c r="K4575" s="58"/>
      <c r="M4575" s="163"/>
    </row>
    <row r="4576" spans="8:13" ht="11.45" customHeight="1" x14ac:dyDescent="0.2">
      <c r="H4576" s="58"/>
      <c r="I4576" s="156"/>
      <c r="K4576" s="58"/>
      <c r="M4576" s="163"/>
    </row>
    <row r="4577" spans="8:13" ht="11.45" customHeight="1" x14ac:dyDescent="0.2">
      <c r="H4577" s="58"/>
      <c r="I4577" s="156"/>
      <c r="K4577" s="58"/>
      <c r="M4577" s="163"/>
    </row>
    <row r="4578" spans="8:13" ht="11.45" customHeight="1" x14ac:dyDescent="0.2">
      <c r="H4578" s="58"/>
      <c r="I4578" s="156"/>
      <c r="K4578" s="58"/>
      <c r="M4578" s="163"/>
    </row>
    <row r="4579" spans="8:13" ht="11.45" customHeight="1" x14ac:dyDescent="0.2">
      <c r="H4579" s="58"/>
      <c r="I4579" s="156"/>
      <c r="K4579" s="58"/>
      <c r="M4579" s="163"/>
    </row>
    <row r="4580" spans="8:13" ht="11.45" customHeight="1" x14ac:dyDescent="0.2">
      <c r="H4580" s="58"/>
      <c r="I4580" s="156"/>
      <c r="K4580" s="58"/>
      <c r="M4580" s="163"/>
    </row>
    <row r="4581" spans="8:13" ht="11.45" customHeight="1" x14ac:dyDescent="0.2">
      <c r="H4581" s="58"/>
      <c r="I4581" s="156"/>
      <c r="K4581" s="58"/>
      <c r="M4581" s="163"/>
    </row>
    <row r="4582" spans="8:13" ht="11.45" customHeight="1" x14ac:dyDescent="0.2">
      <c r="H4582" s="58"/>
      <c r="I4582" s="156"/>
      <c r="K4582" s="58"/>
      <c r="M4582" s="163"/>
    </row>
    <row r="4583" spans="8:13" ht="11.45" customHeight="1" x14ac:dyDescent="0.2">
      <c r="H4583" s="58"/>
      <c r="I4583" s="156"/>
      <c r="K4583" s="58"/>
      <c r="M4583" s="163"/>
    </row>
    <row r="4584" spans="8:13" ht="11.45" customHeight="1" x14ac:dyDescent="0.2">
      <c r="H4584" s="58"/>
      <c r="I4584" s="156"/>
      <c r="K4584" s="58"/>
      <c r="M4584" s="163"/>
    </row>
    <row r="4585" spans="8:13" ht="11.45" customHeight="1" x14ac:dyDescent="0.2">
      <c r="H4585" s="58"/>
      <c r="I4585" s="156"/>
      <c r="K4585" s="58"/>
      <c r="M4585" s="163"/>
    </row>
    <row r="4586" spans="8:13" ht="11.45" customHeight="1" x14ac:dyDescent="0.2">
      <c r="H4586" s="58"/>
      <c r="I4586" s="156"/>
      <c r="K4586" s="58"/>
      <c r="M4586" s="163"/>
    </row>
    <row r="4587" spans="8:13" ht="11.45" customHeight="1" x14ac:dyDescent="0.2">
      <c r="H4587" s="58"/>
      <c r="I4587" s="156"/>
      <c r="K4587" s="58"/>
      <c r="M4587" s="163"/>
    </row>
    <row r="4588" spans="8:13" ht="11.45" customHeight="1" x14ac:dyDescent="0.2">
      <c r="H4588" s="58"/>
      <c r="I4588" s="156"/>
      <c r="K4588" s="58"/>
      <c r="M4588" s="163"/>
    </row>
    <row r="4589" spans="8:13" ht="11.45" customHeight="1" x14ac:dyDescent="0.2">
      <c r="H4589" s="58"/>
      <c r="I4589" s="156"/>
      <c r="K4589" s="58"/>
      <c r="M4589" s="163"/>
    </row>
    <row r="4590" spans="8:13" ht="11.45" customHeight="1" x14ac:dyDescent="0.2">
      <c r="H4590" s="58"/>
      <c r="I4590" s="156"/>
      <c r="K4590" s="58"/>
      <c r="M4590" s="163"/>
    </row>
    <row r="4591" spans="8:13" ht="11.45" customHeight="1" x14ac:dyDescent="0.2">
      <c r="H4591" s="58"/>
      <c r="I4591" s="156"/>
      <c r="K4591" s="58"/>
      <c r="M4591" s="163"/>
    </row>
    <row r="4592" spans="8:13" ht="11.45" customHeight="1" x14ac:dyDescent="0.2">
      <c r="H4592" s="58"/>
      <c r="I4592" s="156"/>
      <c r="K4592" s="58"/>
      <c r="M4592" s="163"/>
    </row>
    <row r="4593" spans="8:13" ht="11.45" customHeight="1" x14ac:dyDescent="0.2">
      <c r="H4593" s="58"/>
      <c r="I4593" s="156"/>
      <c r="K4593" s="58"/>
      <c r="M4593" s="163"/>
    </row>
    <row r="4594" spans="8:13" ht="11.45" customHeight="1" x14ac:dyDescent="0.2">
      <c r="H4594" s="58"/>
      <c r="I4594" s="156"/>
      <c r="K4594" s="58"/>
      <c r="M4594" s="163"/>
    </row>
    <row r="4595" spans="8:13" ht="11.45" customHeight="1" x14ac:dyDescent="0.2">
      <c r="H4595" s="58"/>
      <c r="I4595" s="156"/>
      <c r="K4595" s="58"/>
      <c r="M4595" s="163"/>
    </row>
    <row r="4596" spans="8:13" ht="11.45" customHeight="1" x14ac:dyDescent="0.2">
      <c r="H4596" s="58"/>
      <c r="I4596" s="156"/>
      <c r="K4596" s="58"/>
      <c r="M4596" s="163"/>
    </row>
    <row r="4597" spans="8:13" ht="11.45" customHeight="1" x14ac:dyDescent="0.2">
      <c r="H4597" s="58"/>
      <c r="I4597" s="156"/>
      <c r="K4597" s="58"/>
      <c r="M4597" s="163"/>
    </row>
    <row r="4598" spans="8:13" ht="11.45" customHeight="1" x14ac:dyDescent="0.2">
      <c r="H4598" s="58"/>
      <c r="I4598" s="156"/>
      <c r="K4598" s="58"/>
      <c r="M4598" s="163"/>
    </row>
    <row r="4599" spans="8:13" ht="11.45" customHeight="1" x14ac:dyDescent="0.2">
      <c r="H4599" s="58"/>
      <c r="I4599" s="156"/>
      <c r="K4599" s="58"/>
      <c r="M4599" s="163"/>
    </row>
    <row r="4600" spans="8:13" ht="11.45" customHeight="1" x14ac:dyDescent="0.2">
      <c r="H4600" s="58"/>
      <c r="I4600" s="156"/>
      <c r="K4600" s="58"/>
      <c r="M4600" s="163"/>
    </row>
    <row r="4601" spans="8:13" ht="11.45" customHeight="1" x14ac:dyDescent="0.2">
      <c r="H4601" s="58"/>
      <c r="I4601" s="156"/>
      <c r="K4601" s="58"/>
      <c r="M4601" s="163"/>
    </row>
    <row r="4602" spans="8:13" ht="11.45" customHeight="1" x14ac:dyDescent="0.2">
      <c r="H4602" s="58"/>
      <c r="I4602" s="156"/>
      <c r="K4602" s="58"/>
      <c r="M4602" s="163"/>
    </row>
    <row r="4603" spans="8:13" ht="11.45" customHeight="1" x14ac:dyDescent="0.2">
      <c r="H4603" s="58"/>
      <c r="I4603" s="156"/>
      <c r="K4603" s="58"/>
      <c r="M4603" s="163"/>
    </row>
    <row r="4604" spans="8:13" ht="11.45" customHeight="1" x14ac:dyDescent="0.2">
      <c r="H4604" s="58"/>
      <c r="I4604" s="156"/>
      <c r="K4604" s="58"/>
      <c r="M4604" s="163"/>
    </row>
    <row r="4605" spans="8:13" ht="11.45" customHeight="1" x14ac:dyDescent="0.2">
      <c r="H4605" s="58"/>
      <c r="I4605" s="156"/>
      <c r="K4605" s="58"/>
      <c r="M4605" s="163"/>
    </row>
    <row r="4606" spans="8:13" ht="11.45" customHeight="1" x14ac:dyDescent="0.2">
      <c r="H4606" s="58"/>
      <c r="I4606" s="156"/>
      <c r="K4606" s="58"/>
      <c r="M4606" s="163"/>
    </row>
    <row r="4607" spans="8:13" ht="11.45" customHeight="1" x14ac:dyDescent="0.2">
      <c r="H4607" s="58"/>
      <c r="I4607" s="156"/>
      <c r="K4607" s="58"/>
      <c r="M4607" s="163"/>
    </row>
    <row r="4608" spans="8:13" ht="11.45" customHeight="1" x14ac:dyDescent="0.2">
      <c r="H4608" s="58"/>
      <c r="I4608" s="156"/>
      <c r="K4608" s="58"/>
      <c r="M4608" s="163"/>
    </row>
    <row r="4609" spans="8:13" ht="11.45" customHeight="1" x14ac:dyDescent="0.2">
      <c r="H4609" s="58"/>
      <c r="I4609" s="156"/>
      <c r="K4609" s="58"/>
      <c r="M4609" s="163"/>
    </row>
    <row r="4610" spans="8:13" ht="11.45" customHeight="1" x14ac:dyDescent="0.2">
      <c r="H4610" s="58"/>
      <c r="I4610" s="156"/>
      <c r="K4610" s="58"/>
      <c r="M4610" s="163"/>
    </row>
    <row r="4611" spans="8:13" ht="11.45" customHeight="1" x14ac:dyDescent="0.2">
      <c r="H4611" s="58"/>
      <c r="I4611" s="156"/>
      <c r="K4611" s="58"/>
      <c r="M4611" s="163"/>
    </row>
    <row r="4612" spans="8:13" ht="11.45" customHeight="1" x14ac:dyDescent="0.2">
      <c r="H4612" s="58"/>
      <c r="I4612" s="156"/>
      <c r="K4612" s="58"/>
      <c r="M4612" s="163"/>
    </row>
    <row r="4613" spans="8:13" ht="11.45" customHeight="1" x14ac:dyDescent="0.2">
      <c r="H4613" s="58"/>
      <c r="I4613" s="156"/>
      <c r="K4613" s="58"/>
      <c r="M4613" s="163"/>
    </row>
    <row r="4614" spans="8:13" ht="11.45" customHeight="1" x14ac:dyDescent="0.2">
      <c r="H4614" s="58"/>
      <c r="I4614" s="156"/>
      <c r="K4614" s="58"/>
      <c r="M4614" s="163"/>
    </row>
    <row r="4615" spans="8:13" ht="11.45" customHeight="1" x14ac:dyDescent="0.2">
      <c r="H4615" s="58"/>
      <c r="I4615" s="156"/>
      <c r="K4615" s="58"/>
      <c r="M4615" s="163"/>
    </row>
    <row r="4616" spans="8:13" ht="11.45" customHeight="1" x14ac:dyDescent="0.2">
      <c r="H4616" s="58"/>
      <c r="I4616" s="156"/>
      <c r="K4616" s="58"/>
      <c r="M4616" s="163"/>
    </row>
    <row r="4617" spans="8:13" ht="11.45" customHeight="1" x14ac:dyDescent="0.2">
      <c r="H4617" s="58"/>
      <c r="I4617" s="156"/>
      <c r="K4617" s="58"/>
      <c r="M4617" s="163"/>
    </row>
    <row r="4618" spans="8:13" ht="11.45" customHeight="1" x14ac:dyDescent="0.2">
      <c r="H4618" s="58"/>
      <c r="I4618" s="156"/>
      <c r="K4618" s="58"/>
      <c r="M4618" s="163"/>
    </row>
    <row r="4619" spans="8:13" ht="11.45" customHeight="1" x14ac:dyDescent="0.2">
      <c r="H4619" s="58"/>
      <c r="I4619" s="156"/>
      <c r="K4619" s="58"/>
      <c r="M4619" s="163"/>
    </row>
    <row r="4620" spans="8:13" ht="11.45" customHeight="1" x14ac:dyDescent="0.2">
      <c r="H4620" s="58"/>
      <c r="I4620" s="156"/>
      <c r="K4620" s="58"/>
      <c r="M4620" s="163"/>
    </row>
    <row r="4621" spans="8:13" ht="11.45" customHeight="1" x14ac:dyDescent="0.2">
      <c r="H4621" s="58"/>
      <c r="I4621" s="156"/>
      <c r="K4621" s="58"/>
      <c r="M4621" s="163"/>
    </row>
    <row r="4622" spans="8:13" ht="11.45" customHeight="1" x14ac:dyDescent="0.2">
      <c r="H4622" s="58"/>
      <c r="I4622" s="156"/>
      <c r="K4622" s="58"/>
      <c r="M4622" s="163"/>
    </row>
    <row r="4623" spans="8:13" ht="11.45" customHeight="1" x14ac:dyDescent="0.2">
      <c r="H4623" s="58"/>
      <c r="I4623" s="156"/>
      <c r="K4623" s="58"/>
      <c r="M4623" s="163"/>
    </row>
    <row r="4624" spans="8:13" ht="11.45" customHeight="1" x14ac:dyDescent="0.2">
      <c r="H4624" s="58"/>
      <c r="I4624" s="156"/>
      <c r="K4624" s="58"/>
      <c r="M4624" s="163"/>
    </row>
    <row r="4625" spans="8:13" ht="11.45" customHeight="1" x14ac:dyDescent="0.2">
      <c r="H4625" s="58"/>
      <c r="I4625" s="156"/>
      <c r="K4625" s="58"/>
      <c r="M4625" s="163"/>
    </row>
    <row r="4626" spans="8:13" ht="11.45" customHeight="1" x14ac:dyDescent="0.2">
      <c r="H4626" s="58"/>
      <c r="I4626" s="156"/>
      <c r="K4626" s="58"/>
      <c r="M4626" s="163"/>
    </row>
    <row r="4627" spans="8:13" ht="11.45" customHeight="1" x14ac:dyDescent="0.2">
      <c r="H4627" s="58"/>
      <c r="I4627" s="156"/>
      <c r="K4627" s="58"/>
      <c r="M4627" s="163"/>
    </row>
    <row r="4628" spans="8:13" ht="11.45" customHeight="1" x14ac:dyDescent="0.2">
      <c r="H4628" s="58"/>
      <c r="I4628" s="156"/>
      <c r="K4628" s="58"/>
      <c r="M4628" s="163"/>
    </row>
    <row r="4629" spans="8:13" ht="11.45" customHeight="1" x14ac:dyDescent="0.2">
      <c r="H4629" s="58"/>
      <c r="I4629" s="156"/>
      <c r="K4629" s="58"/>
      <c r="M4629" s="163"/>
    </row>
    <row r="4630" spans="8:13" ht="11.45" customHeight="1" x14ac:dyDescent="0.2">
      <c r="H4630" s="58"/>
      <c r="I4630" s="156"/>
      <c r="K4630" s="58"/>
      <c r="M4630" s="163"/>
    </row>
    <row r="4631" spans="8:13" ht="11.45" customHeight="1" x14ac:dyDescent="0.2">
      <c r="H4631" s="58"/>
      <c r="I4631" s="156"/>
      <c r="K4631" s="58"/>
      <c r="M4631" s="163"/>
    </row>
    <row r="4632" spans="8:13" ht="11.45" customHeight="1" x14ac:dyDescent="0.2">
      <c r="H4632" s="58"/>
      <c r="I4632" s="156"/>
      <c r="K4632" s="58"/>
      <c r="M4632" s="163"/>
    </row>
    <row r="4633" spans="8:13" ht="11.45" customHeight="1" x14ac:dyDescent="0.2">
      <c r="H4633" s="58"/>
      <c r="I4633" s="156"/>
      <c r="K4633" s="58"/>
      <c r="M4633" s="163"/>
    </row>
    <row r="4634" spans="8:13" ht="11.45" customHeight="1" x14ac:dyDescent="0.2">
      <c r="H4634" s="58"/>
      <c r="I4634" s="156"/>
      <c r="K4634" s="58"/>
      <c r="M4634" s="163"/>
    </row>
    <row r="4635" spans="8:13" ht="11.45" customHeight="1" x14ac:dyDescent="0.2">
      <c r="H4635" s="58"/>
      <c r="I4635" s="156"/>
      <c r="K4635" s="58"/>
      <c r="M4635" s="163"/>
    </row>
    <row r="4636" spans="8:13" ht="11.45" customHeight="1" x14ac:dyDescent="0.2">
      <c r="H4636" s="58"/>
      <c r="I4636" s="156"/>
      <c r="K4636" s="58"/>
      <c r="M4636" s="163"/>
    </row>
    <row r="4637" spans="8:13" ht="11.45" customHeight="1" x14ac:dyDescent="0.2">
      <c r="H4637" s="58"/>
      <c r="I4637" s="156"/>
      <c r="K4637" s="58"/>
      <c r="M4637" s="163"/>
    </row>
    <row r="4638" spans="8:13" ht="11.45" customHeight="1" x14ac:dyDescent="0.2">
      <c r="H4638" s="58"/>
      <c r="I4638" s="156"/>
      <c r="K4638" s="58"/>
      <c r="M4638" s="163"/>
    </row>
    <row r="4639" spans="8:13" ht="11.45" customHeight="1" x14ac:dyDescent="0.2">
      <c r="H4639" s="58"/>
      <c r="I4639" s="156"/>
      <c r="K4639" s="58"/>
      <c r="M4639" s="163"/>
    </row>
    <row r="4640" spans="8:13" ht="11.45" customHeight="1" x14ac:dyDescent="0.2">
      <c r="H4640" s="58"/>
      <c r="I4640" s="156"/>
      <c r="K4640" s="58"/>
      <c r="M4640" s="163"/>
    </row>
    <row r="4641" spans="8:13" ht="11.45" customHeight="1" x14ac:dyDescent="0.2">
      <c r="H4641" s="58"/>
      <c r="I4641" s="156"/>
      <c r="K4641" s="58"/>
      <c r="M4641" s="163"/>
    </row>
    <row r="4642" spans="8:13" ht="11.45" customHeight="1" x14ac:dyDescent="0.2">
      <c r="H4642" s="58"/>
      <c r="I4642" s="156"/>
      <c r="K4642" s="58"/>
      <c r="M4642" s="163"/>
    </row>
    <row r="4643" spans="8:13" ht="11.45" customHeight="1" x14ac:dyDescent="0.2">
      <c r="H4643" s="58"/>
      <c r="I4643" s="156"/>
      <c r="K4643" s="58"/>
      <c r="M4643" s="163"/>
    </row>
    <row r="4644" spans="8:13" ht="11.45" customHeight="1" x14ac:dyDescent="0.2">
      <c r="H4644" s="58"/>
      <c r="I4644" s="156"/>
      <c r="K4644" s="58"/>
      <c r="M4644" s="163"/>
    </row>
    <row r="4645" spans="8:13" ht="11.45" customHeight="1" x14ac:dyDescent="0.2">
      <c r="H4645" s="58"/>
      <c r="I4645" s="156"/>
      <c r="K4645" s="58"/>
      <c r="M4645" s="163"/>
    </row>
    <row r="4646" spans="8:13" ht="11.45" customHeight="1" x14ac:dyDescent="0.2">
      <c r="H4646" s="58"/>
      <c r="I4646" s="156"/>
      <c r="K4646" s="58"/>
      <c r="M4646" s="163"/>
    </row>
    <row r="4647" spans="8:13" ht="11.45" customHeight="1" x14ac:dyDescent="0.2">
      <c r="H4647" s="58"/>
      <c r="I4647" s="156"/>
      <c r="K4647" s="58"/>
      <c r="M4647" s="163"/>
    </row>
    <row r="4648" spans="8:13" ht="11.45" customHeight="1" x14ac:dyDescent="0.2">
      <c r="H4648" s="58"/>
      <c r="I4648" s="156"/>
      <c r="K4648" s="58"/>
      <c r="M4648" s="163"/>
    </row>
    <row r="4649" spans="8:13" ht="11.45" customHeight="1" x14ac:dyDescent="0.2">
      <c r="H4649" s="58"/>
      <c r="I4649" s="156"/>
      <c r="K4649" s="58"/>
      <c r="M4649" s="163"/>
    </row>
    <row r="4650" spans="8:13" ht="11.45" customHeight="1" x14ac:dyDescent="0.2">
      <c r="H4650" s="58"/>
      <c r="I4650" s="156"/>
      <c r="K4650" s="58"/>
      <c r="M4650" s="163"/>
    </row>
    <row r="4651" spans="8:13" ht="11.45" customHeight="1" x14ac:dyDescent="0.2">
      <c r="H4651" s="58"/>
      <c r="I4651" s="156"/>
      <c r="K4651" s="58"/>
      <c r="M4651" s="163"/>
    </row>
    <row r="4652" spans="8:13" ht="11.45" customHeight="1" x14ac:dyDescent="0.2">
      <c r="H4652" s="58"/>
      <c r="I4652" s="156"/>
      <c r="K4652" s="58"/>
      <c r="M4652" s="163"/>
    </row>
    <row r="4653" spans="8:13" ht="11.45" customHeight="1" x14ac:dyDescent="0.2">
      <c r="H4653" s="58"/>
      <c r="I4653" s="156"/>
      <c r="K4653" s="58"/>
      <c r="M4653" s="163"/>
    </row>
    <row r="4654" spans="8:13" ht="11.45" customHeight="1" x14ac:dyDescent="0.2">
      <c r="H4654" s="58"/>
      <c r="I4654" s="156"/>
      <c r="K4654" s="58"/>
      <c r="M4654" s="163"/>
    </row>
    <row r="4655" spans="8:13" ht="11.45" customHeight="1" x14ac:dyDescent="0.2">
      <c r="H4655" s="58"/>
      <c r="I4655" s="156"/>
      <c r="K4655" s="58"/>
      <c r="M4655" s="163"/>
    </row>
    <row r="4656" spans="8:13" ht="11.45" customHeight="1" x14ac:dyDescent="0.2">
      <c r="H4656" s="58"/>
      <c r="I4656" s="156"/>
      <c r="K4656" s="58"/>
      <c r="M4656" s="163"/>
    </row>
    <row r="4657" spans="8:13" ht="11.45" customHeight="1" x14ac:dyDescent="0.2">
      <c r="H4657" s="58"/>
      <c r="I4657" s="156"/>
      <c r="K4657" s="58"/>
      <c r="M4657" s="163"/>
    </row>
    <row r="4658" spans="8:13" ht="11.45" customHeight="1" x14ac:dyDescent="0.2">
      <c r="H4658" s="58"/>
      <c r="I4658" s="156"/>
      <c r="K4658" s="58"/>
      <c r="M4658" s="163"/>
    </row>
    <row r="4659" spans="8:13" ht="11.45" customHeight="1" x14ac:dyDescent="0.2">
      <c r="H4659" s="58"/>
      <c r="I4659" s="156"/>
      <c r="K4659" s="58"/>
      <c r="M4659" s="163"/>
    </row>
    <row r="4660" spans="8:13" ht="11.45" customHeight="1" x14ac:dyDescent="0.2">
      <c r="H4660" s="58"/>
      <c r="I4660" s="156"/>
      <c r="K4660" s="58"/>
      <c r="M4660" s="163"/>
    </row>
    <row r="4661" spans="8:13" ht="11.45" customHeight="1" x14ac:dyDescent="0.2">
      <c r="H4661" s="58"/>
      <c r="I4661" s="156"/>
      <c r="K4661" s="58"/>
      <c r="M4661" s="163"/>
    </row>
    <row r="4662" spans="8:13" ht="11.45" customHeight="1" x14ac:dyDescent="0.2">
      <c r="H4662" s="58"/>
      <c r="I4662" s="156"/>
      <c r="K4662" s="58"/>
      <c r="M4662" s="163"/>
    </row>
    <row r="4663" spans="8:13" ht="11.45" customHeight="1" x14ac:dyDescent="0.2">
      <c r="H4663" s="58"/>
      <c r="I4663" s="156"/>
      <c r="K4663" s="58"/>
      <c r="M4663" s="163"/>
    </row>
    <row r="4664" spans="8:13" ht="11.45" customHeight="1" x14ac:dyDescent="0.2">
      <c r="H4664" s="58"/>
      <c r="I4664" s="156"/>
      <c r="K4664" s="58"/>
      <c r="M4664" s="163"/>
    </row>
    <row r="4665" spans="8:13" ht="11.45" customHeight="1" x14ac:dyDescent="0.2">
      <c r="H4665" s="58"/>
      <c r="I4665" s="156"/>
      <c r="K4665" s="58"/>
      <c r="M4665" s="163"/>
    </row>
    <row r="4666" spans="8:13" ht="11.45" customHeight="1" x14ac:dyDescent="0.2">
      <c r="H4666" s="58"/>
      <c r="I4666" s="156"/>
      <c r="K4666" s="58"/>
      <c r="M4666" s="163"/>
    </row>
    <row r="4667" spans="8:13" ht="11.45" customHeight="1" x14ac:dyDescent="0.2">
      <c r="H4667" s="58"/>
      <c r="I4667" s="156"/>
      <c r="K4667" s="58"/>
      <c r="M4667" s="163"/>
    </row>
    <row r="4668" spans="8:13" ht="11.45" customHeight="1" x14ac:dyDescent="0.2">
      <c r="H4668" s="58"/>
      <c r="I4668" s="156"/>
      <c r="K4668" s="58"/>
      <c r="M4668" s="163"/>
    </row>
    <row r="4669" spans="8:13" ht="11.45" customHeight="1" x14ac:dyDescent="0.2">
      <c r="H4669" s="58"/>
      <c r="I4669" s="156"/>
      <c r="K4669" s="58"/>
      <c r="M4669" s="163"/>
    </row>
    <row r="4670" spans="8:13" ht="11.45" customHeight="1" x14ac:dyDescent="0.2">
      <c r="H4670" s="58"/>
      <c r="I4670" s="156"/>
      <c r="K4670" s="58"/>
      <c r="M4670" s="163"/>
    </row>
    <row r="4671" spans="8:13" ht="11.45" customHeight="1" x14ac:dyDescent="0.2">
      <c r="H4671" s="58"/>
      <c r="I4671" s="156"/>
      <c r="K4671" s="58"/>
      <c r="M4671" s="163"/>
    </row>
    <row r="4672" spans="8:13" ht="11.45" customHeight="1" x14ac:dyDescent="0.2">
      <c r="H4672" s="58"/>
      <c r="I4672" s="156"/>
      <c r="K4672" s="58"/>
      <c r="M4672" s="163"/>
    </row>
    <row r="4673" spans="8:13" ht="11.45" customHeight="1" x14ac:dyDescent="0.2">
      <c r="H4673" s="58"/>
      <c r="I4673" s="156"/>
      <c r="K4673" s="58"/>
      <c r="M4673" s="163"/>
    </row>
    <row r="4674" spans="8:13" ht="11.45" customHeight="1" x14ac:dyDescent="0.2">
      <c r="H4674" s="58"/>
      <c r="I4674" s="156"/>
      <c r="K4674" s="58"/>
      <c r="M4674" s="163"/>
    </row>
    <row r="4675" spans="8:13" ht="11.45" customHeight="1" x14ac:dyDescent="0.2">
      <c r="H4675" s="58"/>
      <c r="I4675" s="156"/>
      <c r="K4675" s="58"/>
      <c r="M4675" s="163"/>
    </row>
    <row r="4676" spans="8:13" ht="11.45" customHeight="1" x14ac:dyDescent="0.2">
      <c r="H4676" s="58"/>
      <c r="I4676" s="156"/>
      <c r="K4676" s="58"/>
      <c r="M4676" s="163"/>
    </row>
    <row r="4677" spans="8:13" ht="11.45" customHeight="1" x14ac:dyDescent="0.2">
      <c r="H4677" s="58"/>
      <c r="I4677" s="156"/>
      <c r="K4677" s="58"/>
      <c r="M4677" s="163"/>
    </row>
    <row r="4678" spans="8:13" ht="11.45" customHeight="1" x14ac:dyDescent="0.2">
      <c r="H4678" s="58"/>
      <c r="I4678" s="156"/>
      <c r="K4678" s="58"/>
      <c r="M4678" s="163"/>
    </row>
    <row r="4679" spans="8:13" ht="11.45" customHeight="1" x14ac:dyDescent="0.2">
      <c r="H4679" s="58"/>
      <c r="I4679" s="156"/>
      <c r="K4679" s="58"/>
      <c r="M4679" s="163"/>
    </row>
    <row r="4680" spans="8:13" ht="11.45" customHeight="1" x14ac:dyDescent="0.2">
      <c r="H4680" s="58"/>
      <c r="I4680" s="156"/>
      <c r="K4680" s="58"/>
      <c r="M4680" s="163"/>
    </row>
    <row r="4681" spans="8:13" ht="11.45" customHeight="1" x14ac:dyDescent="0.2">
      <c r="H4681" s="58"/>
      <c r="I4681" s="156"/>
      <c r="K4681" s="58"/>
      <c r="M4681" s="163"/>
    </row>
    <row r="4682" spans="8:13" ht="11.45" customHeight="1" x14ac:dyDescent="0.2">
      <c r="H4682" s="58"/>
      <c r="I4682" s="156"/>
      <c r="K4682" s="58"/>
      <c r="M4682" s="163"/>
    </row>
    <row r="4683" spans="8:13" ht="11.45" customHeight="1" x14ac:dyDescent="0.2">
      <c r="H4683" s="58"/>
      <c r="I4683" s="156"/>
      <c r="K4683" s="58"/>
      <c r="M4683" s="163"/>
    </row>
    <row r="4684" spans="8:13" ht="11.45" customHeight="1" x14ac:dyDescent="0.2">
      <c r="H4684" s="58"/>
      <c r="I4684" s="156"/>
      <c r="K4684" s="58"/>
      <c r="M4684" s="163"/>
    </row>
    <row r="4685" spans="8:13" ht="11.45" customHeight="1" x14ac:dyDescent="0.2">
      <c r="H4685" s="58"/>
      <c r="I4685" s="156"/>
      <c r="K4685" s="58"/>
      <c r="M4685" s="163"/>
    </row>
    <row r="4686" spans="8:13" ht="11.45" customHeight="1" x14ac:dyDescent="0.2">
      <c r="H4686" s="58"/>
      <c r="I4686" s="156"/>
      <c r="K4686" s="58"/>
      <c r="M4686" s="163"/>
    </row>
    <row r="4687" spans="8:13" ht="11.45" customHeight="1" x14ac:dyDescent="0.2">
      <c r="H4687" s="58"/>
      <c r="I4687" s="156"/>
      <c r="K4687" s="58"/>
      <c r="M4687" s="163"/>
    </row>
    <row r="4688" spans="8:13" ht="11.45" customHeight="1" x14ac:dyDescent="0.2">
      <c r="H4688" s="58"/>
      <c r="I4688" s="156"/>
      <c r="K4688" s="58"/>
      <c r="M4688" s="163"/>
    </row>
    <row r="4689" spans="8:13" ht="11.45" customHeight="1" x14ac:dyDescent="0.2">
      <c r="H4689" s="58"/>
      <c r="I4689" s="156"/>
      <c r="K4689" s="58"/>
      <c r="M4689" s="163"/>
    </row>
    <row r="4690" spans="8:13" ht="11.45" customHeight="1" x14ac:dyDescent="0.2">
      <c r="H4690" s="58"/>
      <c r="I4690" s="156"/>
      <c r="K4690" s="58"/>
      <c r="M4690" s="163"/>
    </row>
    <row r="4691" spans="8:13" ht="11.45" customHeight="1" x14ac:dyDescent="0.2">
      <c r="H4691" s="58"/>
      <c r="I4691" s="156"/>
      <c r="K4691" s="58"/>
      <c r="M4691" s="163"/>
    </row>
    <row r="4692" spans="8:13" ht="11.45" customHeight="1" x14ac:dyDescent="0.2">
      <c r="H4692" s="58"/>
      <c r="I4692" s="156"/>
      <c r="K4692" s="58"/>
      <c r="M4692" s="163"/>
    </row>
    <row r="4693" spans="8:13" ht="11.45" customHeight="1" x14ac:dyDescent="0.2">
      <c r="H4693" s="58"/>
      <c r="I4693" s="156"/>
      <c r="K4693" s="58"/>
      <c r="M4693" s="163"/>
    </row>
    <row r="4694" spans="8:13" ht="11.45" customHeight="1" x14ac:dyDescent="0.2">
      <c r="H4694" s="58"/>
      <c r="I4694" s="156"/>
      <c r="K4694" s="58"/>
      <c r="M4694" s="163"/>
    </row>
    <row r="4695" spans="8:13" ht="11.45" customHeight="1" x14ac:dyDescent="0.2">
      <c r="H4695" s="58"/>
      <c r="I4695" s="156"/>
      <c r="K4695" s="58"/>
      <c r="M4695" s="163"/>
    </row>
    <row r="4696" spans="8:13" ht="11.45" customHeight="1" x14ac:dyDescent="0.2">
      <c r="H4696" s="58"/>
      <c r="I4696" s="156"/>
      <c r="K4696" s="58"/>
      <c r="M4696" s="163"/>
    </row>
    <row r="4697" spans="8:13" ht="11.45" customHeight="1" x14ac:dyDescent="0.2">
      <c r="H4697" s="58"/>
      <c r="I4697" s="156"/>
      <c r="K4697" s="58"/>
      <c r="M4697" s="163"/>
    </row>
    <row r="4698" spans="8:13" ht="11.45" customHeight="1" x14ac:dyDescent="0.2">
      <c r="H4698" s="58"/>
      <c r="I4698" s="156"/>
      <c r="K4698" s="58"/>
      <c r="M4698" s="163"/>
    </row>
    <row r="4699" spans="8:13" ht="11.45" customHeight="1" x14ac:dyDescent="0.2">
      <c r="H4699" s="58"/>
      <c r="I4699" s="156"/>
      <c r="K4699" s="58"/>
      <c r="M4699" s="163"/>
    </row>
    <row r="4700" spans="8:13" ht="11.45" customHeight="1" x14ac:dyDescent="0.2">
      <c r="H4700" s="58"/>
      <c r="I4700" s="156"/>
      <c r="K4700" s="58"/>
      <c r="M4700" s="163"/>
    </row>
    <row r="4701" spans="8:13" ht="11.45" customHeight="1" x14ac:dyDescent="0.2">
      <c r="H4701" s="58"/>
      <c r="I4701" s="156"/>
      <c r="K4701" s="58"/>
      <c r="M4701" s="163"/>
    </row>
    <row r="4702" spans="8:13" ht="11.45" customHeight="1" x14ac:dyDescent="0.2">
      <c r="H4702" s="58"/>
      <c r="I4702" s="156"/>
      <c r="K4702" s="58"/>
      <c r="M4702" s="163"/>
    </row>
    <row r="4703" spans="8:13" ht="11.45" customHeight="1" x14ac:dyDescent="0.2">
      <c r="H4703" s="58"/>
      <c r="I4703" s="156"/>
      <c r="K4703" s="58"/>
      <c r="M4703" s="163"/>
    </row>
    <row r="4704" spans="8:13" ht="11.45" customHeight="1" x14ac:dyDescent="0.2">
      <c r="H4704" s="58"/>
      <c r="I4704" s="156"/>
      <c r="K4704" s="58"/>
      <c r="M4704" s="163"/>
    </row>
    <row r="4705" spans="8:13" ht="11.45" customHeight="1" x14ac:dyDescent="0.2">
      <c r="H4705" s="58"/>
      <c r="I4705" s="156"/>
      <c r="K4705" s="58"/>
      <c r="M4705" s="163"/>
    </row>
    <row r="4706" spans="8:13" ht="11.45" customHeight="1" x14ac:dyDescent="0.2">
      <c r="H4706" s="58"/>
      <c r="I4706" s="156"/>
      <c r="K4706" s="58"/>
      <c r="M4706" s="163"/>
    </row>
    <row r="4707" spans="8:13" ht="11.45" customHeight="1" x14ac:dyDescent="0.2">
      <c r="H4707" s="58"/>
      <c r="I4707" s="156"/>
      <c r="K4707" s="58"/>
      <c r="M4707" s="163"/>
    </row>
    <row r="4708" spans="8:13" ht="11.45" customHeight="1" x14ac:dyDescent="0.2">
      <c r="H4708" s="58"/>
      <c r="I4708" s="156"/>
      <c r="K4708" s="58"/>
      <c r="M4708" s="163"/>
    </row>
    <row r="4709" spans="8:13" ht="11.45" customHeight="1" x14ac:dyDescent="0.2">
      <c r="H4709" s="58"/>
      <c r="I4709" s="156"/>
      <c r="K4709" s="58"/>
      <c r="M4709" s="163"/>
    </row>
    <row r="4710" spans="8:13" ht="11.45" customHeight="1" x14ac:dyDescent="0.2">
      <c r="H4710" s="58"/>
      <c r="I4710" s="156"/>
      <c r="K4710" s="58"/>
      <c r="M4710" s="163"/>
    </row>
    <row r="4711" spans="8:13" ht="11.45" customHeight="1" x14ac:dyDescent="0.2">
      <c r="H4711" s="58"/>
      <c r="I4711" s="156"/>
      <c r="K4711" s="58"/>
      <c r="M4711" s="163"/>
    </row>
    <row r="4712" spans="8:13" ht="11.45" customHeight="1" x14ac:dyDescent="0.2">
      <c r="H4712" s="58"/>
      <c r="I4712" s="156"/>
      <c r="K4712" s="58"/>
      <c r="M4712" s="163"/>
    </row>
    <row r="4713" spans="8:13" ht="11.45" customHeight="1" x14ac:dyDescent="0.2">
      <c r="H4713" s="58"/>
      <c r="I4713" s="156"/>
      <c r="K4713" s="58"/>
      <c r="M4713" s="163"/>
    </row>
    <row r="4714" spans="8:13" ht="11.45" customHeight="1" x14ac:dyDescent="0.2">
      <c r="H4714" s="58"/>
      <c r="I4714" s="156"/>
      <c r="K4714" s="58"/>
      <c r="M4714" s="163"/>
    </row>
    <row r="4715" spans="8:13" ht="11.45" customHeight="1" x14ac:dyDescent="0.2">
      <c r="H4715" s="58"/>
      <c r="I4715" s="156"/>
      <c r="K4715" s="58"/>
      <c r="M4715" s="163"/>
    </row>
    <row r="4716" spans="8:13" ht="11.45" customHeight="1" x14ac:dyDescent="0.2">
      <c r="H4716" s="58"/>
      <c r="I4716" s="156"/>
      <c r="K4716" s="58"/>
      <c r="M4716" s="163"/>
    </row>
    <row r="4717" spans="8:13" ht="11.45" customHeight="1" x14ac:dyDescent="0.2">
      <c r="H4717" s="58"/>
      <c r="I4717" s="156"/>
      <c r="K4717" s="58"/>
      <c r="M4717" s="163"/>
    </row>
    <row r="4718" spans="8:13" ht="11.45" customHeight="1" x14ac:dyDescent="0.2">
      <c r="H4718" s="58"/>
      <c r="I4718" s="156"/>
      <c r="K4718" s="58"/>
      <c r="M4718" s="163"/>
    </row>
    <row r="4719" spans="8:13" ht="11.45" customHeight="1" x14ac:dyDescent="0.2">
      <c r="H4719" s="58"/>
      <c r="I4719" s="156"/>
      <c r="K4719" s="58"/>
      <c r="M4719" s="163"/>
    </row>
    <row r="4720" spans="8:13" ht="11.45" customHeight="1" x14ac:dyDescent="0.2">
      <c r="H4720" s="58"/>
      <c r="I4720" s="156"/>
      <c r="K4720" s="58"/>
      <c r="M4720" s="163"/>
    </row>
    <row r="4721" spans="8:13" ht="11.45" customHeight="1" x14ac:dyDescent="0.2">
      <c r="H4721" s="58"/>
      <c r="I4721" s="156"/>
      <c r="K4721" s="58"/>
      <c r="M4721" s="163"/>
    </row>
    <row r="4722" spans="8:13" ht="11.45" customHeight="1" x14ac:dyDescent="0.2">
      <c r="H4722" s="58"/>
      <c r="I4722" s="156"/>
      <c r="K4722" s="58"/>
      <c r="M4722" s="163"/>
    </row>
    <row r="4723" spans="8:13" ht="11.45" customHeight="1" x14ac:dyDescent="0.2">
      <c r="H4723" s="58"/>
      <c r="I4723" s="156"/>
      <c r="K4723" s="58"/>
      <c r="M4723" s="163"/>
    </row>
    <row r="4724" spans="8:13" ht="11.45" customHeight="1" x14ac:dyDescent="0.2">
      <c r="H4724" s="58"/>
      <c r="I4724" s="156"/>
      <c r="K4724" s="58"/>
      <c r="M4724" s="163"/>
    </row>
    <row r="4725" spans="8:13" ht="11.45" customHeight="1" x14ac:dyDescent="0.2">
      <c r="H4725" s="58"/>
      <c r="I4725" s="156"/>
      <c r="K4725" s="58"/>
      <c r="M4725" s="163"/>
    </row>
    <row r="4726" spans="8:13" ht="11.45" customHeight="1" x14ac:dyDescent="0.2">
      <c r="H4726" s="58"/>
      <c r="I4726" s="156"/>
      <c r="K4726" s="58"/>
      <c r="M4726" s="163"/>
    </row>
    <row r="4727" spans="8:13" ht="11.45" customHeight="1" x14ac:dyDescent="0.2">
      <c r="H4727" s="58"/>
      <c r="I4727" s="156"/>
      <c r="K4727" s="58"/>
      <c r="M4727" s="163"/>
    </row>
    <row r="4728" spans="8:13" ht="11.45" customHeight="1" x14ac:dyDescent="0.2">
      <c r="H4728" s="58"/>
      <c r="I4728" s="156"/>
      <c r="K4728" s="58"/>
      <c r="M4728" s="163"/>
    </row>
    <row r="4729" spans="8:13" ht="11.45" customHeight="1" x14ac:dyDescent="0.2">
      <c r="H4729" s="58"/>
      <c r="I4729" s="156"/>
      <c r="K4729" s="58"/>
      <c r="M4729" s="163"/>
    </row>
    <row r="4730" spans="8:13" ht="11.45" customHeight="1" x14ac:dyDescent="0.2">
      <c r="H4730" s="58"/>
      <c r="I4730" s="156"/>
      <c r="K4730" s="58"/>
      <c r="M4730" s="163"/>
    </row>
    <row r="4731" spans="8:13" ht="11.45" customHeight="1" x14ac:dyDescent="0.2">
      <c r="H4731" s="58"/>
      <c r="I4731" s="156"/>
      <c r="K4731" s="58"/>
      <c r="M4731" s="163"/>
    </row>
    <row r="4732" spans="8:13" ht="11.45" customHeight="1" x14ac:dyDescent="0.2">
      <c r="H4732" s="58"/>
      <c r="I4732" s="156"/>
      <c r="K4732" s="58"/>
      <c r="M4732" s="163"/>
    </row>
    <row r="4733" spans="8:13" ht="11.45" customHeight="1" x14ac:dyDescent="0.2">
      <c r="H4733" s="58"/>
      <c r="I4733" s="156"/>
      <c r="K4733" s="58"/>
      <c r="M4733" s="163"/>
    </row>
    <row r="4734" spans="8:13" ht="11.45" customHeight="1" x14ac:dyDescent="0.2">
      <c r="H4734" s="58"/>
      <c r="I4734" s="156"/>
      <c r="K4734" s="58"/>
      <c r="M4734" s="163"/>
    </row>
    <row r="4735" spans="8:13" ht="11.45" customHeight="1" x14ac:dyDescent="0.2">
      <c r="H4735" s="58"/>
      <c r="I4735" s="156"/>
      <c r="K4735" s="58"/>
      <c r="M4735" s="163"/>
    </row>
    <row r="4736" spans="8:13" ht="11.45" customHeight="1" x14ac:dyDescent="0.2">
      <c r="H4736" s="58"/>
      <c r="I4736" s="156"/>
      <c r="K4736" s="58"/>
      <c r="M4736" s="163"/>
    </row>
    <row r="4737" spans="8:13" ht="11.45" customHeight="1" x14ac:dyDescent="0.2">
      <c r="H4737" s="58"/>
      <c r="I4737" s="156"/>
      <c r="K4737" s="58"/>
      <c r="M4737" s="163"/>
    </row>
    <row r="4738" spans="8:13" ht="11.45" customHeight="1" x14ac:dyDescent="0.2">
      <c r="H4738" s="58"/>
      <c r="I4738" s="156"/>
      <c r="K4738" s="58"/>
      <c r="M4738" s="163"/>
    </row>
    <row r="4739" spans="8:13" ht="11.45" customHeight="1" x14ac:dyDescent="0.2">
      <c r="H4739" s="58"/>
      <c r="I4739" s="156"/>
      <c r="K4739" s="58"/>
      <c r="M4739" s="163"/>
    </row>
    <row r="4740" spans="8:13" ht="11.45" customHeight="1" x14ac:dyDescent="0.2">
      <c r="H4740" s="58"/>
      <c r="I4740" s="156"/>
      <c r="K4740" s="58"/>
      <c r="M4740" s="163"/>
    </row>
    <row r="4741" spans="8:13" ht="11.45" customHeight="1" x14ac:dyDescent="0.2">
      <c r="H4741" s="58"/>
      <c r="I4741" s="156"/>
      <c r="K4741" s="58"/>
      <c r="M4741" s="163"/>
    </row>
    <row r="4742" spans="8:13" ht="11.45" customHeight="1" x14ac:dyDescent="0.2">
      <c r="H4742" s="58"/>
      <c r="I4742" s="156"/>
      <c r="K4742" s="58"/>
      <c r="M4742" s="163"/>
    </row>
    <row r="4743" spans="8:13" ht="11.45" customHeight="1" x14ac:dyDescent="0.2">
      <c r="H4743" s="58"/>
      <c r="I4743" s="156"/>
      <c r="K4743" s="58"/>
      <c r="M4743" s="163"/>
    </row>
    <row r="4744" spans="8:13" ht="11.45" customHeight="1" x14ac:dyDescent="0.2">
      <c r="H4744" s="58"/>
      <c r="I4744" s="156"/>
      <c r="K4744" s="58"/>
      <c r="M4744" s="163"/>
    </row>
    <row r="4745" spans="8:13" ht="11.45" customHeight="1" x14ac:dyDescent="0.2">
      <c r="H4745" s="58"/>
      <c r="I4745" s="156"/>
      <c r="K4745" s="58"/>
      <c r="M4745" s="163"/>
    </row>
    <row r="4746" spans="8:13" ht="11.45" customHeight="1" x14ac:dyDescent="0.2">
      <c r="H4746" s="58"/>
      <c r="I4746" s="156"/>
      <c r="K4746" s="58"/>
      <c r="M4746" s="163"/>
    </row>
    <row r="4747" spans="8:13" ht="11.45" customHeight="1" x14ac:dyDescent="0.2">
      <c r="H4747" s="58"/>
      <c r="I4747" s="156"/>
      <c r="K4747" s="58"/>
      <c r="M4747" s="163"/>
    </row>
    <row r="4748" spans="8:13" ht="11.45" customHeight="1" x14ac:dyDescent="0.2">
      <c r="H4748" s="58"/>
      <c r="I4748" s="156"/>
      <c r="K4748" s="58"/>
      <c r="M4748" s="163"/>
    </row>
    <row r="4749" spans="8:13" ht="11.45" customHeight="1" x14ac:dyDescent="0.2">
      <c r="H4749" s="58"/>
      <c r="I4749" s="156"/>
      <c r="K4749" s="58"/>
      <c r="M4749" s="163"/>
    </row>
    <row r="4750" spans="8:13" ht="11.45" customHeight="1" x14ac:dyDescent="0.2">
      <c r="H4750" s="58"/>
      <c r="I4750" s="156"/>
      <c r="K4750" s="58"/>
      <c r="M4750" s="163"/>
    </row>
    <row r="4751" spans="8:13" ht="11.45" customHeight="1" x14ac:dyDescent="0.2">
      <c r="H4751" s="58"/>
      <c r="I4751" s="156"/>
      <c r="K4751" s="58"/>
      <c r="M4751" s="163"/>
    </row>
    <row r="4752" spans="8:13" ht="11.45" customHeight="1" x14ac:dyDescent="0.2">
      <c r="H4752" s="58"/>
      <c r="I4752" s="156"/>
      <c r="K4752" s="58"/>
      <c r="M4752" s="163"/>
    </row>
    <row r="4753" spans="8:13" ht="11.45" customHeight="1" x14ac:dyDescent="0.2">
      <c r="H4753" s="58"/>
      <c r="I4753" s="156"/>
      <c r="K4753" s="58"/>
      <c r="M4753" s="163"/>
    </row>
    <row r="4754" spans="8:13" ht="11.45" customHeight="1" x14ac:dyDescent="0.2">
      <c r="H4754" s="58"/>
      <c r="I4754" s="156"/>
      <c r="K4754" s="58"/>
      <c r="M4754" s="163"/>
    </row>
    <row r="4755" spans="8:13" ht="11.45" customHeight="1" x14ac:dyDescent="0.2">
      <c r="H4755" s="58"/>
      <c r="I4755" s="156"/>
      <c r="K4755" s="58"/>
      <c r="M4755" s="163"/>
    </row>
    <row r="4756" spans="8:13" ht="11.45" customHeight="1" x14ac:dyDescent="0.2">
      <c r="H4756" s="58"/>
      <c r="I4756" s="156"/>
      <c r="K4756" s="58"/>
      <c r="M4756" s="163"/>
    </row>
    <row r="4757" spans="8:13" ht="11.45" customHeight="1" x14ac:dyDescent="0.2">
      <c r="H4757" s="58"/>
      <c r="I4757" s="156"/>
      <c r="K4757" s="58"/>
      <c r="M4757" s="163"/>
    </row>
    <row r="4758" spans="8:13" ht="11.45" customHeight="1" x14ac:dyDescent="0.2">
      <c r="H4758" s="58"/>
      <c r="I4758" s="156"/>
      <c r="K4758" s="58"/>
      <c r="M4758" s="163"/>
    </row>
    <row r="4759" spans="8:13" ht="11.45" customHeight="1" x14ac:dyDescent="0.2">
      <c r="H4759" s="58"/>
      <c r="I4759" s="156"/>
      <c r="K4759" s="58"/>
      <c r="M4759" s="163"/>
    </row>
    <row r="4760" spans="8:13" ht="11.45" customHeight="1" x14ac:dyDescent="0.2">
      <c r="H4760" s="58"/>
      <c r="I4760" s="156"/>
      <c r="K4760" s="58"/>
      <c r="M4760" s="163"/>
    </row>
    <row r="4761" spans="8:13" ht="11.45" customHeight="1" x14ac:dyDescent="0.2">
      <c r="H4761" s="58"/>
      <c r="I4761" s="156"/>
      <c r="K4761" s="58"/>
      <c r="M4761" s="163"/>
    </row>
    <row r="4762" spans="8:13" ht="11.45" customHeight="1" x14ac:dyDescent="0.2">
      <c r="H4762" s="58"/>
      <c r="I4762" s="156"/>
      <c r="K4762" s="58"/>
      <c r="M4762" s="163"/>
    </row>
    <row r="4763" spans="8:13" ht="11.45" customHeight="1" x14ac:dyDescent="0.2">
      <c r="H4763" s="58"/>
      <c r="I4763" s="156"/>
      <c r="K4763" s="58"/>
      <c r="M4763" s="163"/>
    </row>
    <row r="4764" spans="8:13" ht="11.45" customHeight="1" x14ac:dyDescent="0.2">
      <c r="H4764" s="58"/>
      <c r="I4764" s="156"/>
      <c r="K4764" s="58"/>
      <c r="M4764" s="163"/>
    </row>
    <row r="4765" spans="8:13" ht="11.45" customHeight="1" x14ac:dyDescent="0.2">
      <c r="H4765" s="58"/>
      <c r="I4765" s="156"/>
      <c r="K4765" s="58"/>
      <c r="M4765" s="163"/>
    </row>
    <row r="4766" spans="8:13" ht="11.45" customHeight="1" x14ac:dyDescent="0.2">
      <c r="H4766" s="58"/>
      <c r="I4766" s="156"/>
      <c r="K4766" s="58"/>
      <c r="M4766" s="163"/>
    </row>
    <row r="4767" spans="8:13" ht="11.45" customHeight="1" x14ac:dyDescent="0.2">
      <c r="H4767" s="58"/>
      <c r="I4767" s="156"/>
      <c r="K4767" s="58"/>
      <c r="M4767" s="163"/>
    </row>
    <row r="4768" spans="8:13" ht="11.45" customHeight="1" x14ac:dyDescent="0.2">
      <c r="H4768" s="58"/>
      <c r="I4768" s="156"/>
      <c r="K4768" s="58"/>
      <c r="M4768" s="163"/>
    </row>
    <row r="4769" spans="8:13" ht="11.45" customHeight="1" x14ac:dyDescent="0.2">
      <c r="H4769" s="58"/>
      <c r="I4769" s="156"/>
      <c r="K4769" s="58"/>
      <c r="M4769" s="163"/>
    </row>
    <row r="4770" spans="8:13" ht="11.45" customHeight="1" x14ac:dyDescent="0.2">
      <c r="H4770" s="58"/>
      <c r="I4770" s="156"/>
      <c r="K4770" s="58"/>
      <c r="M4770" s="163"/>
    </row>
    <row r="4771" spans="8:13" ht="11.45" customHeight="1" x14ac:dyDescent="0.2">
      <c r="H4771" s="58"/>
      <c r="I4771" s="156"/>
      <c r="K4771" s="58"/>
      <c r="M4771" s="163"/>
    </row>
    <row r="4772" spans="8:13" ht="11.45" customHeight="1" x14ac:dyDescent="0.2">
      <c r="H4772" s="58"/>
      <c r="I4772" s="156"/>
      <c r="K4772" s="58"/>
      <c r="M4772" s="163"/>
    </row>
    <row r="4773" spans="8:13" ht="11.45" customHeight="1" x14ac:dyDescent="0.2">
      <c r="H4773" s="58"/>
      <c r="I4773" s="156"/>
      <c r="K4773" s="58"/>
      <c r="M4773" s="163"/>
    </row>
    <row r="4774" spans="8:13" ht="11.45" customHeight="1" x14ac:dyDescent="0.2">
      <c r="H4774" s="58"/>
      <c r="I4774" s="156"/>
      <c r="K4774" s="58"/>
      <c r="M4774" s="163"/>
    </row>
    <row r="4775" spans="8:13" ht="11.45" customHeight="1" x14ac:dyDescent="0.2">
      <c r="H4775" s="58"/>
      <c r="I4775" s="156"/>
      <c r="K4775" s="58"/>
      <c r="M4775" s="163"/>
    </row>
    <row r="4776" spans="8:13" ht="11.45" customHeight="1" x14ac:dyDescent="0.2">
      <c r="H4776" s="58"/>
      <c r="I4776" s="156"/>
      <c r="K4776" s="58"/>
      <c r="M4776" s="163"/>
    </row>
    <row r="4777" spans="8:13" ht="11.45" customHeight="1" x14ac:dyDescent="0.2">
      <c r="H4777" s="58"/>
      <c r="I4777" s="156"/>
      <c r="K4777" s="58"/>
      <c r="M4777" s="163"/>
    </row>
    <row r="4778" spans="8:13" ht="11.45" customHeight="1" x14ac:dyDescent="0.2">
      <c r="H4778" s="58"/>
      <c r="I4778" s="156"/>
      <c r="K4778" s="58"/>
      <c r="M4778" s="163"/>
    </row>
    <row r="4779" spans="8:13" ht="11.45" customHeight="1" x14ac:dyDescent="0.2">
      <c r="H4779" s="58"/>
      <c r="I4779" s="156"/>
      <c r="K4779" s="58"/>
      <c r="M4779" s="163"/>
    </row>
    <row r="4780" spans="8:13" ht="11.45" customHeight="1" x14ac:dyDescent="0.2">
      <c r="H4780" s="58"/>
      <c r="I4780" s="156"/>
      <c r="K4780" s="58"/>
      <c r="M4780" s="163"/>
    </row>
    <row r="4781" spans="8:13" ht="11.45" customHeight="1" x14ac:dyDescent="0.2">
      <c r="H4781" s="58"/>
      <c r="I4781" s="156"/>
      <c r="K4781" s="58"/>
      <c r="M4781" s="163"/>
    </row>
    <row r="4782" spans="8:13" ht="11.45" customHeight="1" x14ac:dyDescent="0.2">
      <c r="H4782" s="58"/>
      <c r="I4782" s="156"/>
      <c r="K4782" s="58"/>
      <c r="M4782" s="163"/>
    </row>
    <row r="4783" spans="8:13" ht="11.45" customHeight="1" x14ac:dyDescent="0.2">
      <c r="H4783" s="58"/>
      <c r="I4783" s="156"/>
      <c r="K4783" s="58"/>
      <c r="M4783" s="163"/>
    </row>
    <row r="4784" spans="8:13" ht="11.45" customHeight="1" x14ac:dyDescent="0.2">
      <c r="H4784" s="58"/>
      <c r="I4784" s="156"/>
      <c r="K4784" s="58"/>
      <c r="M4784" s="163"/>
    </row>
    <row r="4785" spans="8:13" ht="11.45" customHeight="1" x14ac:dyDescent="0.2">
      <c r="H4785" s="58"/>
      <c r="I4785" s="156"/>
      <c r="K4785" s="58"/>
      <c r="M4785" s="163"/>
    </row>
    <row r="4786" spans="8:13" ht="11.45" customHeight="1" x14ac:dyDescent="0.2">
      <c r="H4786" s="58"/>
      <c r="I4786" s="156"/>
      <c r="K4786" s="58"/>
      <c r="M4786" s="163"/>
    </row>
    <row r="4787" spans="8:13" ht="11.45" customHeight="1" x14ac:dyDescent="0.2">
      <c r="H4787" s="58"/>
      <c r="I4787" s="156"/>
      <c r="K4787" s="58"/>
      <c r="M4787" s="163"/>
    </row>
    <row r="4788" spans="8:13" ht="11.45" customHeight="1" x14ac:dyDescent="0.2">
      <c r="H4788" s="58"/>
      <c r="I4788" s="156"/>
      <c r="K4788" s="58"/>
      <c r="M4788" s="163"/>
    </row>
    <row r="4789" spans="8:13" ht="11.45" customHeight="1" x14ac:dyDescent="0.2">
      <c r="H4789" s="58"/>
      <c r="I4789" s="156"/>
      <c r="K4789" s="58"/>
      <c r="M4789" s="163"/>
    </row>
    <row r="4790" spans="8:13" ht="11.45" customHeight="1" x14ac:dyDescent="0.2">
      <c r="H4790" s="58"/>
      <c r="I4790" s="156"/>
      <c r="K4790" s="58"/>
      <c r="M4790" s="163"/>
    </row>
    <row r="4791" spans="8:13" ht="11.45" customHeight="1" x14ac:dyDescent="0.2">
      <c r="H4791" s="58"/>
      <c r="I4791" s="156"/>
      <c r="K4791" s="58"/>
      <c r="M4791" s="163"/>
    </row>
    <row r="4792" spans="8:13" ht="11.45" customHeight="1" x14ac:dyDescent="0.2">
      <c r="H4792" s="58"/>
      <c r="I4792" s="156"/>
      <c r="K4792" s="58"/>
      <c r="M4792" s="163"/>
    </row>
    <row r="4793" spans="8:13" ht="11.45" customHeight="1" x14ac:dyDescent="0.2">
      <c r="H4793" s="58"/>
      <c r="I4793" s="156"/>
      <c r="K4793" s="58"/>
      <c r="M4793" s="163"/>
    </row>
    <row r="4794" spans="8:13" ht="11.45" customHeight="1" x14ac:dyDescent="0.2">
      <c r="H4794" s="58"/>
      <c r="I4794" s="156"/>
      <c r="K4794" s="58"/>
      <c r="M4794" s="163"/>
    </row>
    <row r="4795" spans="8:13" ht="11.45" customHeight="1" x14ac:dyDescent="0.2">
      <c r="H4795" s="58"/>
      <c r="I4795" s="156"/>
      <c r="K4795" s="58"/>
      <c r="M4795" s="163"/>
    </row>
    <row r="4796" spans="8:13" ht="11.45" customHeight="1" x14ac:dyDescent="0.2">
      <c r="H4796" s="58"/>
      <c r="I4796" s="156"/>
      <c r="K4796" s="58"/>
      <c r="M4796" s="163"/>
    </row>
    <row r="4797" spans="8:13" ht="11.45" customHeight="1" x14ac:dyDescent="0.2">
      <c r="H4797" s="58"/>
      <c r="I4797" s="156"/>
      <c r="K4797" s="58"/>
      <c r="M4797" s="163"/>
    </row>
    <row r="4798" spans="8:13" ht="11.45" customHeight="1" x14ac:dyDescent="0.2">
      <c r="H4798" s="58"/>
      <c r="I4798" s="156"/>
      <c r="K4798" s="58"/>
      <c r="M4798" s="163"/>
    </row>
    <row r="4799" spans="8:13" ht="11.45" customHeight="1" x14ac:dyDescent="0.2">
      <c r="H4799" s="58"/>
      <c r="I4799" s="156"/>
      <c r="K4799" s="58"/>
      <c r="M4799" s="163"/>
    </row>
    <row r="4800" spans="8:13" ht="11.45" customHeight="1" x14ac:dyDescent="0.2">
      <c r="H4800" s="58"/>
      <c r="I4800" s="156"/>
      <c r="K4800" s="58"/>
      <c r="M4800" s="163"/>
    </row>
    <row r="4801" spans="8:13" ht="11.45" customHeight="1" x14ac:dyDescent="0.2">
      <c r="H4801" s="58"/>
      <c r="I4801" s="156"/>
      <c r="K4801" s="58"/>
      <c r="M4801" s="163"/>
    </row>
    <row r="4802" spans="8:13" ht="11.45" customHeight="1" x14ac:dyDescent="0.2">
      <c r="H4802" s="58"/>
      <c r="I4802" s="156"/>
      <c r="K4802" s="58"/>
      <c r="M4802" s="163"/>
    </row>
    <row r="4803" spans="8:13" ht="11.45" customHeight="1" x14ac:dyDescent="0.2">
      <c r="H4803" s="58"/>
      <c r="I4803" s="156"/>
      <c r="K4803" s="58"/>
      <c r="M4803" s="163"/>
    </row>
    <row r="4804" spans="8:13" ht="11.45" customHeight="1" x14ac:dyDescent="0.2">
      <c r="H4804" s="58"/>
      <c r="I4804" s="156"/>
      <c r="K4804" s="58"/>
      <c r="M4804" s="163"/>
    </row>
    <row r="4805" spans="8:13" ht="11.45" customHeight="1" x14ac:dyDescent="0.2">
      <c r="H4805" s="58"/>
      <c r="I4805" s="156"/>
      <c r="K4805" s="58"/>
      <c r="M4805" s="163"/>
    </row>
    <row r="4806" spans="8:13" ht="11.45" customHeight="1" x14ac:dyDescent="0.2">
      <c r="H4806" s="58"/>
      <c r="I4806" s="156"/>
      <c r="K4806" s="58"/>
      <c r="M4806" s="163"/>
    </row>
    <row r="4807" spans="8:13" ht="11.45" customHeight="1" x14ac:dyDescent="0.2">
      <c r="H4807" s="58"/>
      <c r="I4807" s="156"/>
      <c r="K4807" s="58"/>
      <c r="M4807" s="163"/>
    </row>
    <row r="4808" spans="8:13" ht="11.45" customHeight="1" x14ac:dyDescent="0.2">
      <c r="H4808" s="58"/>
      <c r="I4808" s="156"/>
      <c r="K4808" s="58"/>
      <c r="M4808" s="163"/>
    </row>
    <row r="4809" spans="8:13" ht="11.45" customHeight="1" x14ac:dyDescent="0.2">
      <c r="H4809" s="58"/>
      <c r="I4809" s="156"/>
      <c r="K4809" s="58"/>
      <c r="M4809" s="163"/>
    </row>
    <row r="4810" spans="8:13" ht="11.45" customHeight="1" x14ac:dyDescent="0.2">
      <c r="H4810" s="58"/>
      <c r="I4810" s="156"/>
      <c r="K4810" s="58"/>
      <c r="M4810" s="163"/>
    </row>
    <row r="4811" spans="8:13" ht="11.45" customHeight="1" x14ac:dyDescent="0.2">
      <c r="H4811" s="58"/>
      <c r="I4811" s="156"/>
      <c r="K4811" s="58"/>
      <c r="M4811" s="163"/>
    </row>
    <row r="4812" spans="8:13" ht="11.45" customHeight="1" x14ac:dyDescent="0.2">
      <c r="H4812" s="58"/>
      <c r="I4812" s="156"/>
      <c r="K4812" s="58"/>
      <c r="M4812" s="163"/>
    </row>
    <row r="4813" spans="8:13" ht="11.45" customHeight="1" x14ac:dyDescent="0.2">
      <c r="H4813" s="58"/>
      <c r="I4813" s="156"/>
      <c r="K4813" s="58"/>
      <c r="M4813" s="163"/>
    </row>
    <row r="4814" spans="8:13" ht="11.45" customHeight="1" x14ac:dyDescent="0.2">
      <c r="H4814" s="58"/>
      <c r="I4814" s="156"/>
      <c r="K4814" s="58"/>
      <c r="M4814" s="163"/>
    </row>
    <row r="4815" spans="8:13" ht="11.45" customHeight="1" x14ac:dyDescent="0.2">
      <c r="H4815" s="58"/>
      <c r="I4815" s="156"/>
      <c r="K4815" s="58"/>
      <c r="M4815" s="163"/>
    </row>
    <row r="4816" spans="8:13" ht="11.45" customHeight="1" x14ac:dyDescent="0.2">
      <c r="H4816" s="58"/>
      <c r="I4816" s="156"/>
      <c r="K4816" s="58"/>
      <c r="M4816" s="163"/>
    </row>
    <row r="4817" spans="8:13" ht="11.45" customHeight="1" x14ac:dyDescent="0.2">
      <c r="H4817" s="58"/>
      <c r="I4817" s="156"/>
      <c r="K4817" s="58"/>
      <c r="M4817" s="163"/>
    </row>
    <row r="4818" spans="8:13" ht="11.45" customHeight="1" x14ac:dyDescent="0.2">
      <c r="H4818" s="58"/>
      <c r="I4818" s="156"/>
      <c r="K4818" s="58"/>
      <c r="M4818" s="163"/>
    </row>
    <row r="4819" spans="8:13" ht="11.45" customHeight="1" x14ac:dyDescent="0.2">
      <c r="H4819" s="58"/>
      <c r="I4819" s="156"/>
      <c r="K4819" s="58"/>
      <c r="M4819" s="163"/>
    </row>
    <row r="4820" spans="8:13" ht="11.45" customHeight="1" x14ac:dyDescent="0.2">
      <c r="H4820" s="58"/>
      <c r="I4820" s="156"/>
      <c r="K4820" s="58"/>
      <c r="M4820" s="163"/>
    </row>
    <row r="4821" spans="8:13" ht="11.45" customHeight="1" x14ac:dyDescent="0.2">
      <c r="H4821" s="58"/>
      <c r="I4821" s="156"/>
      <c r="K4821" s="58"/>
      <c r="M4821" s="163"/>
    </row>
    <row r="4822" spans="8:13" ht="11.45" customHeight="1" x14ac:dyDescent="0.2">
      <c r="H4822" s="58"/>
      <c r="I4822" s="156"/>
      <c r="K4822" s="58"/>
      <c r="M4822" s="163"/>
    </row>
    <row r="4823" spans="8:13" ht="11.45" customHeight="1" x14ac:dyDescent="0.2">
      <c r="H4823" s="58"/>
      <c r="I4823" s="156"/>
      <c r="K4823" s="58"/>
      <c r="M4823" s="163"/>
    </row>
    <row r="4824" spans="8:13" ht="11.45" customHeight="1" x14ac:dyDescent="0.2">
      <c r="H4824" s="58"/>
      <c r="I4824" s="156"/>
      <c r="K4824" s="58"/>
      <c r="M4824" s="163"/>
    </row>
    <row r="4825" spans="8:13" ht="11.45" customHeight="1" x14ac:dyDescent="0.2">
      <c r="H4825" s="58"/>
      <c r="I4825" s="156"/>
      <c r="K4825" s="58"/>
      <c r="M4825" s="163"/>
    </row>
    <row r="4826" spans="8:13" ht="11.45" customHeight="1" x14ac:dyDescent="0.2">
      <c r="H4826" s="58"/>
      <c r="I4826" s="156"/>
      <c r="K4826" s="58"/>
      <c r="M4826" s="163"/>
    </row>
    <row r="4827" spans="8:13" ht="11.45" customHeight="1" x14ac:dyDescent="0.2">
      <c r="H4827" s="58"/>
      <c r="I4827" s="156"/>
      <c r="K4827" s="58"/>
      <c r="M4827" s="163"/>
    </row>
    <row r="4828" spans="8:13" ht="11.45" customHeight="1" x14ac:dyDescent="0.2">
      <c r="H4828" s="58"/>
      <c r="I4828" s="156"/>
      <c r="K4828" s="58"/>
      <c r="M4828" s="163"/>
    </row>
    <row r="4829" spans="8:13" ht="11.45" customHeight="1" x14ac:dyDescent="0.2">
      <c r="H4829" s="58"/>
      <c r="I4829" s="156"/>
      <c r="K4829" s="58"/>
      <c r="M4829" s="163"/>
    </row>
    <row r="4830" spans="8:13" ht="11.45" customHeight="1" x14ac:dyDescent="0.2">
      <c r="H4830" s="58"/>
      <c r="I4830" s="156"/>
      <c r="K4830" s="58"/>
      <c r="M4830" s="163"/>
    </row>
    <row r="4831" spans="8:13" ht="11.45" customHeight="1" x14ac:dyDescent="0.2">
      <c r="H4831" s="58"/>
      <c r="I4831" s="156"/>
      <c r="K4831" s="58"/>
      <c r="M4831" s="163"/>
    </row>
    <row r="4832" spans="8:13" ht="11.45" customHeight="1" x14ac:dyDescent="0.2">
      <c r="H4832" s="58"/>
      <c r="I4832" s="156"/>
      <c r="K4832" s="58"/>
      <c r="M4832" s="163"/>
    </row>
    <row r="4833" spans="8:13" ht="11.45" customHeight="1" x14ac:dyDescent="0.2">
      <c r="H4833" s="58"/>
      <c r="I4833" s="156"/>
      <c r="K4833" s="58"/>
      <c r="M4833" s="163"/>
    </row>
    <row r="4834" spans="8:13" ht="11.45" customHeight="1" x14ac:dyDescent="0.2">
      <c r="H4834" s="58"/>
      <c r="I4834" s="156"/>
      <c r="K4834" s="58"/>
      <c r="M4834" s="163"/>
    </row>
    <row r="4835" spans="8:13" ht="11.45" customHeight="1" x14ac:dyDescent="0.2">
      <c r="H4835" s="58"/>
      <c r="I4835" s="156"/>
      <c r="K4835" s="58"/>
      <c r="M4835" s="163"/>
    </row>
    <row r="4836" spans="8:13" ht="11.45" customHeight="1" x14ac:dyDescent="0.2">
      <c r="H4836" s="58"/>
      <c r="I4836" s="156"/>
      <c r="K4836" s="58"/>
      <c r="M4836" s="163"/>
    </row>
    <row r="4837" spans="8:13" ht="11.45" customHeight="1" x14ac:dyDescent="0.2">
      <c r="H4837" s="58"/>
      <c r="I4837" s="156"/>
      <c r="K4837" s="58"/>
      <c r="M4837" s="163"/>
    </row>
    <row r="4838" spans="8:13" ht="11.45" customHeight="1" x14ac:dyDescent="0.2">
      <c r="H4838" s="58"/>
      <c r="I4838" s="156"/>
      <c r="K4838" s="58"/>
      <c r="M4838" s="163"/>
    </row>
    <row r="4839" spans="8:13" ht="11.45" customHeight="1" x14ac:dyDescent="0.2">
      <c r="H4839" s="58"/>
      <c r="I4839" s="156"/>
      <c r="K4839" s="58"/>
      <c r="M4839" s="163"/>
    </row>
    <row r="4840" spans="8:13" ht="11.45" customHeight="1" x14ac:dyDescent="0.2">
      <c r="H4840" s="58"/>
      <c r="I4840" s="156"/>
      <c r="K4840" s="58"/>
      <c r="M4840" s="163"/>
    </row>
    <row r="4841" spans="8:13" ht="11.45" customHeight="1" x14ac:dyDescent="0.2">
      <c r="H4841" s="58"/>
      <c r="I4841" s="156"/>
      <c r="K4841" s="58"/>
      <c r="M4841" s="163"/>
    </row>
    <row r="4842" spans="8:13" ht="11.45" customHeight="1" x14ac:dyDescent="0.2">
      <c r="H4842" s="58"/>
      <c r="I4842" s="156"/>
      <c r="K4842" s="58"/>
      <c r="M4842" s="163"/>
    </row>
    <row r="4843" spans="8:13" ht="11.45" customHeight="1" x14ac:dyDescent="0.2">
      <c r="H4843" s="58"/>
      <c r="I4843" s="156"/>
      <c r="K4843" s="58"/>
      <c r="M4843" s="163"/>
    </row>
    <row r="4844" spans="8:13" ht="11.45" customHeight="1" x14ac:dyDescent="0.2">
      <c r="H4844" s="58"/>
      <c r="I4844" s="156"/>
      <c r="K4844" s="58"/>
      <c r="M4844" s="163"/>
    </row>
    <row r="4845" spans="8:13" ht="11.45" customHeight="1" x14ac:dyDescent="0.2">
      <c r="H4845" s="58"/>
      <c r="I4845" s="156"/>
      <c r="K4845" s="58"/>
      <c r="M4845" s="163"/>
    </row>
    <row r="4846" spans="8:13" ht="11.45" customHeight="1" x14ac:dyDescent="0.2">
      <c r="H4846" s="58"/>
      <c r="I4846" s="156"/>
      <c r="K4846" s="58"/>
      <c r="M4846" s="163"/>
    </row>
    <row r="4847" spans="8:13" ht="11.45" customHeight="1" x14ac:dyDescent="0.2">
      <c r="H4847" s="58"/>
      <c r="I4847" s="156"/>
      <c r="K4847" s="58"/>
      <c r="M4847" s="163"/>
    </row>
    <row r="4848" spans="8:13" ht="11.45" customHeight="1" x14ac:dyDescent="0.2">
      <c r="H4848" s="58"/>
      <c r="I4848" s="156"/>
      <c r="K4848" s="58"/>
      <c r="M4848" s="163"/>
    </row>
    <row r="4849" spans="8:13" ht="11.45" customHeight="1" x14ac:dyDescent="0.2">
      <c r="H4849" s="58"/>
      <c r="I4849" s="156"/>
      <c r="K4849" s="58"/>
      <c r="M4849" s="163"/>
    </row>
    <row r="4850" spans="8:13" ht="11.45" customHeight="1" x14ac:dyDescent="0.2">
      <c r="H4850" s="58"/>
      <c r="I4850" s="156"/>
      <c r="K4850" s="58"/>
      <c r="M4850" s="163"/>
    </row>
    <row r="4851" spans="8:13" ht="11.45" customHeight="1" x14ac:dyDescent="0.2">
      <c r="H4851" s="58"/>
      <c r="I4851" s="156"/>
      <c r="K4851" s="58"/>
      <c r="M4851" s="163"/>
    </row>
    <row r="4852" spans="8:13" ht="11.45" customHeight="1" x14ac:dyDescent="0.2">
      <c r="H4852" s="58"/>
      <c r="I4852" s="156"/>
      <c r="K4852" s="58"/>
      <c r="M4852" s="163"/>
    </row>
    <row r="4853" spans="8:13" ht="11.45" customHeight="1" x14ac:dyDescent="0.2">
      <c r="H4853" s="58"/>
      <c r="I4853" s="156"/>
      <c r="K4853" s="58"/>
      <c r="M4853" s="163"/>
    </row>
    <row r="4854" spans="8:13" ht="11.45" customHeight="1" x14ac:dyDescent="0.2">
      <c r="H4854" s="58"/>
      <c r="I4854" s="156"/>
      <c r="K4854" s="58"/>
      <c r="M4854" s="163"/>
    </row>
    <row r="4855" spans="8:13" ht="11.45" customHeight="1" x14ac:dyDescent="0.2">
      <c r="H4855" s="58"/>
      <c r="I4855" s="156"/>
      <c r="K4855" s="58"/>
      <c r="M4855" s="163"/>
    </row>
    <row r="4856" spans="8:13" ht="11.45" customHeight="1" x14ac:dyDescent="0.2">
      <c r="H4856" s="58"/>
      <c r="I4856" s="156"/>
      <c r="K4856" s="58"/>
      <c r="M4856" s="163"/>
    </row>
    <row r="4857" spans="8:13" ht="11.45" customHeight="1" x14ac:dyDescent="0.2">
      <c r="H4857" s="58"/>
      <c r="I4857" s="156"/>
      <c r="K4857" s="58"/>
      <c r="M4857" s="163"/>
    </row>
    <row r="4858" spans="8:13" ht="11.45" customHeight="1" x14ac:dyDescent="0.2">
      <c r="H4858" s="58"/>
      <c r="I4858" s="156"/>
      <c r="K4858" s="58"/>
      <c r="M4858" s="163"/>
    </row>
    <row r="4859" spans="8:13" ht="11.45" customHeight="1" x14ac:dyDescent="0.2">
      <c r="H4859" s="58"/>
      <c r="I4859" s="156"/>
      <c r="K4859" s="58"/>
      <c r="M4859" s="163"/>
    </row>
    <row r="4860" spans="8:13" ht="11.45" customHeight="1" x14ac:dyDescent="0.2">
      <c r="H4860" s="58"/>
      <c r="I4860" s="156"/>
      <c r="K4860" s="58"/>
      <c r="M4860" s="163"/>
    </row>
    <row r="4861" spans="8:13" ht="11.45" customHeight="1" x14ac:dyDescent="0.2">
      <c r="H4861" s="58"/>
      <c r="I4861" s="156"/>
      <c r="K4861" s="58"/>
      <c r="M4861" s="163"/>
    </row>
    <row r="4862" spans="8:13" ht="11.45" customHeight="1" x14ac:dyDescent="0.2">
      <c r="H4862" s="58"/>
      <c r="I4862" s="156"/>
      <c r="K4862" s="58"/>
      <c r="M4862" s="163"/>
    </row>
    <row r="4863" spans="8:13" ht="11.45" customHeight="1" x14ac:dyDescent="0.2">
      <c r="H4863" s="58"/>
      <c r="I4863" s="156"/>
      <c r="K4863" s="58"/>
      <c r="M4863" s="163"/>
    </row>
    <row r="4864" spans="8:13" ht="11.45" customHeight="1" x14ac:dyDescent="0.2">
      <c r="H4864" s="58"/>
      <c r="I4864" s="156"/>
      <c r="K4864" s="58"/>
      <c r="M4864" s="163"/>
    </row>
    <row r="4865" spans="8:13" ht="11.45" customHeight="1" x14ac:dyDescent="0.2">
      <c r="H4865" s="58"/>
      <c r="I4865" s="156"/>
      <c r="K4865" s="58"/>
      <c r="M4865" s="163"/>
    </row>
    <row r="4866" spans="8:13" ht="11.45" customHeight="1" x14ac:dyDescent="0.2">
      <c r="H4866" s="58"/>
      <c r="I4866" s="156"/>
      <c r="K4866" s="58"/>
      <c r="M4866" s="163"/>
    </row>
    <row r="4867" spans="8:13" ht="11.45" customHeight="1" x14ac:dyDescent="0.2">
      <c r="H4867" s="58"/>
      <c r="I4867" s="156"/>
      <c r="K4867" s="58"/>
      <c r="M4867" s="163"/>
    </row>
    <row r="4868" spans="8:13" ht="11.45" customHeight="1" x14ac:dyDescent="0.2">
      <c r="H4868" s="58"/>
      <c r="I4868" s="156"/>
      <c r="K4868" s="58"/>
      <c r="M4868" s="163"/>
    </row>
    <row r="4869" spans="8:13" ht="11.45" customHeight="1" x14ac:dyDescent="0.2">
      <c r="H4869" s="58"/>
      <c r="I4869" s="156"/>
      <c r="K4869" s="58"/>
      <c r="M4869" s="163"/>
    </row>
    <row r="4870" spans="8:13" ht="11.45" customHeight="1" x14ac:dyDescent="0.2">
      <c r="H4870" s="58"/>
      <c r="I4870" s="156"/>
      <c r="K4870" s="58"/>
      <c r="M4870" s="163"/>
    </row>
    <row r="4871" spans="8:13" ht="11.45" customHeight="1" x14ac:dyDescent="0.2">
      <c r="H4871" s="58"/>
      <c r="I4871" s="156"/>
      <c r="K4871" s="58"/>
      <c r="M4871" s="163"/>
    </row>
    <row r="4872" spans="8:13" ht="11.45" customHeight="1" x14ac:dyDescent="0.2">
      <c r="H4872" s="58"/>
      <c r="I4872" s="156"/>
      <c r="K4872" s="58"/>
      <c r="M4872" s="163"/>
    </row>
    <row r="4873" spans="8:13" ht="11.45" customHeight="1" x14ac:dyDescent="0.2">
      <c r="H4873" s="58"/>
      <c r="I4873" s="156"/>
      <c r="K4873" s="58"/>
      <c r="M4873" s="163"/>
    </row>
    <row r="4874" spans="8:13" ht="11.45" customHeight="1" x14ac:dyDescent="0.2">
      <c r="H4874" s="58"/>
      <c r="I4874" s="156"/>
      <c r="K4874" s="58"/>
      <c r="M4874" s="163"/>
    </row>
    <row r="4875" spans="8:13" ht="11.45" customHeight="1" x14ac:dyDescent="0.2">
      <c r="H4875" s="58"/>
      <c r="I4875" s="156"/>
      <c r="K4875" s="58"/>
      <c r="M4875" s="163"/>
    </row>
    <row r="4876" spans="8:13" ht="11.45" customHeight="1" x14ac:dyDescent="0.2">
      <c r="H4876" s="58"/>
      <c r="I4876" s="156"/>
      <c r="K4876" s="58"/>
      <c r="M4876" s="163"/>
    </row>
    <row r="4877" spans="8:13" ht="11.45" customHeight="1" x14ac:dyDescent="0.2">
      <c r="H4877" s="58"/>
      <c r="I4877" s="156"/>
      <c r="K4877" s="58"/>
      <c r="M4877" s="163"/>
    </row>
    <row r="4878" spans="8:13" ht="11.45" customHeight="1" x14ac:dyDescent="0.2">
      <c r="H4878" s="58"/>
      <c r="I4878" s="156"/>
      <c r="K4878" s="58"/>
      <c r="M4878" s="163"/>
    </row>
    <row r="4879" spans="8:13" ht="11.45" customHeight="1" x14ac:dyDescent="0.2">
      <c r="H4879" s="58"/>
      <c r="I4879" s="156"/>
      <c r="K4879" s="58"/>
      <c r="M4879" s="163"/>
    </row>
    <row r="4880" spans="8:13" ht="11.45" customHeight="1" x14ac:dyDescent="0.2">
      <c r="H4880" s="58"/>
      <c r="I4880" s="156"/>
      <c r="K4880" s="58"/>
      <c r="M4880" s="163"/>
    </row>
    <row r="4881" spans="8:13" ht="11.45" customHeight="1" x14ac:dyDescent="0.2">
      <c r="H4881" s="58"/>
      <c r="I4881" s="156"/>
      <c r="K4881" s="58"/>
      <c r="M4881" s="163"/>
    </row>
    <row r="4882" spans="8:13" ht="11.45" customHeight="1" x14ac:dyDescent="0.2">
      <c r="H4882" s="58"/>
      <c r="I4882" s="156"/>
      <c r="K4882" s="58"/>
      <c r="M4882" s="163"/>
    </row>
    <row r="4883" spans="8:13" ht="11.45" customHeight="1" x14ac:dyDescent="0.2">
      <c r="H4883" s="58"/>
      <c r="I4883" s="156"/>
      <c r="K4883" s="58"/>
      <c r="M4883" s="163"/>
    </row>
    <row r="4884" spans="8:13" ht="11.45" customHeight="1" x14ac:dyDescent="0.2">
      <c r="H4884" s="58"/>
      <c r="I4884" s="156"/>
      <c r="K4884" s="58"/>
      <c r="M4884" s="163"/>
    </row>
    <row r="4885" spans="8:13" ht="11.45" customHeight="1" x14ac:dyDescent="0.2">
      <c r="H4885" s="58"/>
      <c r="I4885" s="156"/>
      <c r="K4885" s="58"/>
      <c r="M4885" s="163"/>
    </row>
    <row r="4886" spans="8:13" ht="11.45" customHeight="1" x14ac:dyDescent="0.2">
      <c r="H4886" s="58"/>
      <c r="I4886" s="156"/>
      <c r="K4886" s="58"/>
      <c r="M4886" s="163"/>
    </row>
    <row r="4887" spans="8:13" ht="11.45" customHeight="1" x14ac:dyDescent="0.2">
      <c r="H4887" s="58"/>
      <c r="I4887" s="156"/>
      <c r="K4887" s="58"/>
      <c r="M4887" s="163"/>
    </row>
    <row r="4888" spans="8:13" ht="11.45" customHeight="1" x14ac:dyDescent="0.2">
      <c r="H4888" s="58"/>
      <c r="I4888" s="156"/>
      <c r="K4888" s="58"/>
      <c r="M4888" s="163"/>
    </row>
    <row r="4889" spans="8:13" ht="11.45" customHeight="1" x14ac:dyDescent="0.2">
      <c r="H4889" s="58"/>
      <c r="I4889" s="156"/>
      <c r="K4889" s="58"/>
      <c r="M4889" s="163"/>
    </row>
    <row r="4890" spans="8:13" ht="11.45" customHeight="1" x14ac:dyDescent="0.2">
      <c r="H4890" s="58"/>
      <c r="I4890" s="156"/>
      <c r="K4890" s="58"/>
      <c r="M4890" s="163"/>
    </row>
    <row r="4891" spans="8:13" ht="11.45" customHeight="1" x14ac:dyDescent="0.2">
      <c r="H4891" s="58"/>
      <c r="I4891" s="156"/>
      <c r="K4891" s="58"/>
      <c r="M4891" s="163"/>
    </row>
    <row r="4892" spans="8:13" ht="11.45" customHeight="1" x14ac:dyDescent="0.2">
      <c r="H4892" s="58"/>
      <c r="I4892" s="156"/>
      <c r="K4892" s="58"/>
      <c r="M4892" s="163"/>
    </row>
    <row r="4893" spans="8:13" ht="11.45" customHeight="1" x14ac:dyDescent="0.2">
      <c r="H4893" s="58"/>
      <c r="I4893" s="156"/>
      <c r="K4893" s="58"/>
      <c r="M4893" s="163"/>
    </row>
    <row r="4894" spans="8:13" ht="11.45" customHeight="1" x14ac:dyDescent="0.2">
      <c r="H4894" s="58"/>
      <c r="I4894" s="156"/>
      <c r="K4894" s="58"/>
      <c r="M4894" s="163"/>
    </row>
    <row r="4895" spans="8:13" ht="11.45" customHeight="1" x14ac:dyDescent="0.2">
      <c r="H4895" s="58"/>
      <c r="I4895" s="156"/>
      <c r="K4895" s="58"/>
      <c r="M4895" s="163"/>
    </row>
    <row r="4896" spans="8:13" ht="11.45" customHeight="1" x14ac:dyDescent="0.2">
      <c r="H4896" s="58"/>
      <c r="I4896" s="156"/>
      <c r="K4896" s="58"/>
      <c r="M4896" s="163"/>
    </row>
    <row r="4897" spans="8:13" ht="11.45" customHeight="1" x14ac:dyDescent="0.2">
      <c r="H4897" s="58"/>
      <c r="I4897" s="156"/>
      <c r="K4897" s="58"/>
      <c r="M4897" s="163"/>
    </row>
    <row r="4898" spans="8:13" ht="11.45" customHeight="1" x14ac:dyDescent="0.2">
      <c r="H4898" s="58"/>
      <c r="I4898" s="156"/>
      <c r="K4898" s="58"/>
      <c r="M4898" s="163"/>
    </row>
    <row r="4899" spans="8:13" ht="11.45" customHeight="1" x14ac:dyDescent="0.2">
      <c r="H4899" s="58"/>
      <c r="I4899" s="156"/>
      <c r="K4899" s="58"/>
      <c r="M4899" s="163"/>
    </row>
    <row r="4900" spans="8:13" ht="11.45" customHeight="1" x14ac:dyDescent="0.2">
      <c r="H4900" s="58"/>
      <c r="I4900" s="156"/>
      <c r="K4900" s="58"/>
      <c r="M4900" s="163"/>
    </row>
    <row r="4901" spans="8:13" ht="11.45" customHeight="1" x14ac:dyDescent="0.2">
      <c r="H4901" s="58"/>
      <c r="I4901" s="156"/>
      <c r="K4901" s="58"/>
      <c r="M4901" s="163"/>
    </row>
    <row r="4902" spans="8:13" ht="11.45" customHeight="1" x14ac:dyDescent="0.2">
      <c r="H4902" s="58"/>
      <c r="I4902" s="156"/>
      <c r="K4902" s="58"/>
      <c r="M4902" s="163"/>
    </row>
    <row r="4903" spans="8:13" ht="11.45" customHeight="1" x14ac:dyDescent="0.2">
      <c r="H4903" s="58"/>
      <c r="I4903" s="156"/>
      <c r="K4903" s="58"/>
      <c r="M4903" s="163"/>
    </row>
    <row r="4904" spans="8:13" ht="11.45" customHeight="1" x14ac:dyDescent="0.2">
      <c r="H4904" s="58"/>
      <c r="I4904" s="156"/>
      <c r="K4904" s="58"/>
      <c r="M4904" s="163"/>
    </row>
    <row r="4905" spans="8:13" ht="11.45" customHeight="1" x14ac:dyDescent="0.2">
      <c r="H4905" s="58"/>
      <c r="I4905" s="156"/>
      <c r="K4905" s="58"/>
      <c r="M4905" s="163"/>
    </row>
    <row r="4906" spans="8:13" ht="11.45" customHeight="1" x14ac:dyDescent="0.2">
      <c r="H4906" s="58"/>
      <c r="I4906" s="156"/>
      <c r="K4906" s="58"/>
      <c r="M4906" s="163"/>
    </row>
    <row r="4907" spans="8:13" ht="11.45" customHeight="1" x14ac:dyDescent="0.2">
      <c r="H4907" s="58"/>
      <c r="I4907" s="156"/>
      <c r="K4907" s="58"/>
      <c r="M4907" s="163"/>
    </row>
    <row r="4908" spans="8:13" ht="11.45" customHeight="1" x14ac:dyDescent="0.2">
      <c r="H4908" s="58"/>
      <c r="I4908" s="156"/>
      <c r="K4908" s="58"/>
      <c r="M4908" s="163"/>
    </row>
    <row r="4909" spans="8:13" ht="11.45" customHeight="1" x14ac:dyDescent="0.2">
      <c r="H4909" s="58"/>
      <c r="I4909" s="156"/>
      <c r="K4909" s="58"/>
      <c r="M4909" s="163"/>
    </row>
    <row r="4910" spans="8:13" ht="11.45" customHeight="1" x14ac:dyDescent="0.2">
      <c r="H4910" s="58"/>
      <c r="I4910" s="156"/>
      <c r="K4910" s="58"/>
      <c r="M4910" s="163"/>
    </row>
    <row r="4911" spans="8:13" ht="11.45" customHeight="1" x14ac:dyDescent="0.2">
      <c r="H4911" s="58"/>
      <c r="I4911" s="156"/>
      <c r="K4911" s="58"/>
      <c r="M4911" s="163"/>
    </row>
    <row r="4912" spans="8:13" ht="11.45" customHeight="1" x14ac:dyDescent="0.2">
      <c r="H4912" s="58"/>
      <c r="I4912" s="156"/>
      <c r="K4912" s="58"/>
      <c r="M4912" s="163"/>
    </row>
    <row r="4913" spans="8:13" ht="11.45" customHeight="1" x14ac:dyDescent="0.2">
      <c r="H4913" s="58"/>
      <c r="I4913" s="156"/>
      <c r="K4913" s="58"/>
      <c r="M4913" s="163"/>
    </row>
    <row r="4914" spans="8:13" ht="11.45" customHeight="1" x14ac:dyDescent="0.2">
      <c r="H4914" s="58"/>
      <c r="I4914" s="156"/>
      <c r="K4914" s="58"/>
      <c r="M4914" s="163"/>
    </row>
    <row r="4915" spans="8:13" ht="11.45" customHeight="1" x14ac:dyDescent="0.2">
      <c r="H4915" s="58"/>
      <c r="I4915" s="156"/>
      <c r="K4915" s="58"/>
      <c r="M4915" s="163"/>
    </row>
    <row r="4916" spans="8:13" ht="11.45" customHeight="1" x14ac:dyDescent="0.2">
      <c r="H4916" s="58"/>
      <c r="I4916" s="156"/>
      <c r="K4916" s="58"/>
      <c r="M4916" s="163"/>
    </row>
    <row r="4917" spans="8:13" ht="11.45" customHeight="1" x14ac:dyDescent="0.2">
      <c r="H4917" s="58"/>
      <c r="I4917" s="156"/>
      <c r="K4917" s="58"/>
      <c r="M4917" s="163"/>
    </row>
    <row r="4918" spans="8:13" ht="11.45" customHeight="1" x14ac:dyDescent="0.2">
      <c r="H4918" s="58"/>
      <c r="I4918" s="156"/>
      <c r="K4918" s="58"/>
      <c r="M4918" s="163"/>
    </row>
    <row r="4919" spans="8:13" ht="11.45" customHeight="1" x14ac:dyDescent="0.2">
      <c r="H4919" s="58"/>
      <c r="I4919" s="156"/>
      <c r="K4919" s="58"/>
      <c r="M4919" s="163"/>
    </row>
    <row r="4920" spans="8:13" ht="11.45" customHeight="1" x14ac:dyDescent="0.2">
      <c r="H4920" s="58"/>
      <c r="I4920" s="156"/>
      <c r="K4920" s="58"/>
      <c r="M4920" s="163"/>
    </row>
    <row r="4921" spans="8:13" ht="11.45" customHeight="1" x14ac:dyDescent="0.2">
      <c r="H4921" s="58"/>
      <c r="I4921" s="156"/>
      <c r="K4921" s="58"/>
      <c r="M4921" s="163"/>
    </row>
    <row r="4922" spans="8:13" ht="11.45" customHeight="1" x14ac:dyDescent="0.2">
      <c r="H4922" s="58"/>
      <c r="I4922" s="156"/>
      <c r="K4922" s="58"/>
      <c r="M4922" s="163"/>
    </row>
    <row r="4923" spans="8:13" ht="11.45" customHeight="1" x14ac:dyDescent="0.2">
      <c r="H4923" s="58"/>
      <c r="I4923" s="156"/>
      <c r="K4923" s="58"/>
      <c r="M4923" s="163"/>
    </row>
    <row r="4924" spans="8:13" ht="11.45" customHeight="1" x14ac:dyDescent="0.2">
      <c r="H4924" s="58"/>
      <c r="I4924" s="156"/>
      <c r="K4924" s="58"/>
      <c r="M4924" s="163"/>
    </row>
    <row r="4925" spans="8:13" ht="11.45" customHeight="1" x14ac:dyDescent="0.2">
      <c r="H4925" s="58"/>
      <c r="I4925" s="156"/>
      <c r="K4925" s="58"/>
      <c r="M4925" s="163"/>
    </row>
    <row r="4926" spans="8:13" ht="11.45" customHeight="1" x14ac:dyDescent="0.2">
      <c r="H4926" s="58"/>
      <c r="I4926" s="156"/>
      <c r="K4926" s="58"/>
      <c r="M4926" s="163"/>
    </row>
    <row r="4927" spans="8:13" ht="11.45" customHeight="1" x14ac:dyDescent="0.2">
      <c r="H4927" s="58"/>
      <c r="I4927" s="156"/>
      <c r="K4927" s="58"/>
      <c r="M4927" s="163"/>
    </row>
    <row r="4928" spans="8:13" ht="11.45" customHeight="1" x14ac:dyDescent="0.2">
      <c r="H4928" s="58"/>
      <c r="I4928" s="156"/>
      <c r="K4928" s="58"/>
      <c r="M4928" s="163"/>
    </row>
    <row r="4929" spans="8:13" ht="11.45" customHeight="1" x14ac:dyDescent="0.2">
      <c r="H4929" s="58"/>
      <c r="I4929" s="156"/>
      <c r="K4929" s="58"/>
      <c r="M4929" s="163"/>
    </row>
    <row r="4930" spans="8:13" ht="11.45" customHeight="1" x14ac:dyDescent="0.2">
      <c r="H4930" s="58"/>
      <c r="I4930" s="156"/>
      <c r="K4930" s="58"/>
      <c r="M4930" s="163"/>
    </row>
    <row r="4931" spans="8:13" ht="11.45" customHeight="1" x14ac:dyDescent="0.2">
      <c r="H4931" s="58"/>
      <c r="I4931" s="156"/>
      <c r="K4931" s="58"/>
      <c r="M4931" s="163"/>
    </row>
    <row r="4932" spans="8:13" ht="11.45" customHeight="1" x14ac:dyDescent="0.2">
      <c r="H4932" s="58"/>
      <c r="I4932" s="156"/>
      <c r="K4932" s="58"/>
      <c r="M4932" s="163"/>
    </row>
    <row r="4933" spans="8:13" ht="11.45" customHeight="1" x14ac:dyDescent="0.2">
      <c r="H4933" s="58"/>
      <c r="I4933" s="156"/>
      <c r="K4933" s="58"/>
      <c r="M4933" s="163"/>
    </row>
    <row r="4934" spans="8:13" ht="11.45" customHeight="1" x14ac:dyDescent="0.2">
      <c r="H4934" s="58"/>
      <c r="I4934" s="156"/>
      <c r="K4934" s="58"/>
      <c r="M4934" s="163"/>
    </row>
    <row r="4935" spans="8:13" ht="11.45" customHeight="1" x14ac:dyDescent="0.2">
      <c r="H4935" s="58"/>
      <c r="I4935" s="156"/>
      <c r="K4935" s="58"/>
      <c r="M4935" s="163"/>
    </row>
    <row r="4936" spans="8:13" ht="11.45" customHeight="1" x14ac:dyDescent="0.2">
      <c r="H4936" s="58"/>
      <c r="I4936" s="156"/>
      <c r="K4936" s="58"/>
      <c r="M4936" s="163"/>
    </row>
    <row r="4937" spans="8:13" ht="11.45" customHeight="1" x14ac:dyDescent="0.2">
      <c r="H4937" s="58"/>
      <c r="I4937" s="156"/>
      <c r="K4937" s="58"/>
      <c r="M4937" s="163"/>
    </row>
    <row r="4938" spans="8:13" ht="11.45" customHeight="1" x14ac:dyDescent="0.2">
      <c r="H4938" s="58"/>
      <c r="I4938" s="156"/>
      <c r="K4938" s="58"/>
      <c r="M4938" s="163"/>
    </row>
    <row r="4939" spans="8:13" ht="11.45" customHeight="1" x14ac:dyDescent="0.2">
      <c r="H4939" s="58"/>
      <c r="I4939" s="156"/>
      <c r="K4939" s="58"/>
      <c r="M4939" s="163"/>
    </row>
    <row r="4940" spans="8:13" ht="11.45" customHeight="1" x14ac:dyDescent="0.2">
      <c r="H4940" s="58"/>
      <c r="I4940" s="156"/>
      <c r="K4940" s="58"/>
      <c r="M4940" s="163"/>
    </row>
    <row r="4941" spans="8:13" ht="11.45" customHeight="1" x14ac:dyDescent="0.2">
      <c r="H4941" s="58"/>
      <c r="I4941" s="156"/>
      <c r="K4941" s="58"/>
      <c r="M4941" s="163"/>
    </row>
    <row r="4942" spans="8:13" ht="11.45" customHeight="1" x14ac:dyDescent="0.2">
      <c r="H4942" s="58"/>
      <c r="I4942" s="156"/>
      <c r="K4942" s="58"/>
      <c r="M4942" s="163"/>
    </row>
    <row r="4943" spans="8:13" ht="11.45" customHeight="1" x14ac:dyDescent="0.2">
      <c r="H4943" s="58"/>
      <c r="I4943" s="156"/>
      <c r="K4943" s="58"/>
      <c r="M4943" s="163"/>
    </row>
    <row r="4944" spans="8:13" ht="11.45" customHeight="1" x14ac:dyDescent="0.2">
      <c r="H4944" s="58"/>
      <c r="I4944" s="156"/>
      <c r="K4944" s="58"/>
      <c r="M4944" s="163"/>
    </row>
    <row r="4945" spans="8:13" ht="11.45" customHeight="1" x14ac:dyDescent="0.2">
      <c r="H4945" s="58"/>
      <c r="I4945" s="156"/>
      <c r="K4945" s="58"/>
      <c r="M4945" s="163"/>
    </row>
    <row r="4946" spans="8:13" ht="11.45" customHeight="1" x14ac:dyDescent="0.2">
      <c r="H4946" s="58"/>
      <c r="I4946" s="156"/>
      <c r="K4946" s="58"/>
      <c r="M4946" s="163"/>
    </row>
    <row r="4947" spans="8:13" ht="11.45" customHeight="1" x14ac:dyDescent="0.2">
      <c r="H4947" s="58"/>
      <c r="I4947" s="156"/>
      <c r="K4947" s="58"/>
      <c r="M4947" s="163"/>
    </row>
    <row r="4948" spans="8:13" ht="11.45" customHeight="1" x14ac:dyDescent="0.2">
      <c r="H4948" s="58"/>
      <c r="I4948" s="156"/>
      <c r="K4948" s="58"/>
      <c r="M4948" s="163"/>
    </row>
    <row r="4949" spans="8:13" ht="11.45" customHeight="1" x14ac:dyDescent="0.2">
      <c r="H4949" s="58"/>
      <c r="I4949" s="156"/>
      <c r="K4949" s="58"/>
      <c r="M4949" s="163"/>
    </row>
    <row r="4950" spans="8:13" ht="11.45" customHeight="1" x14ac:dyDescent="0.2">
      <c r="H4950" s="58"/>
      <c r="I4950" s="156"/>
      <c r="K4950" s="58"/>
      <c r="M4950" s="163"/>
    </row>
    <row r="4951" spans="8:13" ht="11.45" customHeight="1" x14ac:dyDescent="0.2">
      <c r="H4951" s="58"/>
      <c r="I4951" s="156"/>
      <c r="K4951" s="58"/>
      <c r="M4951" s="163"/>
    </row>
    <row r="4952" spans="8:13" ht="11.45" customHeight="1" x14ac:dyDescent="0.2">
      <c r="H4952" s="58"/>
      <c r="I4952" s="156"/>
      <c r="K4952" s="58"/>
      <c r="M4952" s="163"/>
    </row>
    <row r="4953" spans="8:13" ht="11.45" customHeight="1" x14ac:dyDescent="0.2">
      <c r="H4953" s="58"/>
      <c r="I4953" s="156"/>
      <c r="K4953" s="58"/>
      <c r="M4953" s="163"/>
    </row>
    <row r="4954" spans="8:13" ht="11.45" customHeight="1" x14ac:dyDescent="0.2">
      <c r="H4954" s="58"/>
      <c r="I4954" s="156"/>
      <c r="K4954" s="58"/>
      <c r="M4954" s="163"/>
    </row>
    <row r="4955" spans="8:13" ht="11.45" customHeight="1" x14ac:dyDescent="0.2">
      <c r="H4955" s="58"/>
      <c r="I4955" s="156"/>
      <c r="K4955" s="58"/>
      <c r="M4955" s="163"/>
    </row>
    <row r="4956" spans="8:13" ht="11.45" customHeight="1" x14ac:dyDescent="0.2">
      <c r="H4956" s="58"/>
      <c r="I4956" s="156"/>
      <c r="K4956" s="58"/>
      <c r="M4956" s="163"/>
    </row>
    <row r="4957" spans="8:13" ht="11.45" customHeight="1" x14ac:dyDescent="0.2">
      <c r="H4957" s="58"/>
      <c r="I4957" s="156"/>
      <c r="K4957" s="58"/>
      <c r="M4957" s="163"/>
    </row>
    <row r="4958" spans="8:13" ht="11.45" customHeight="1" x14ac:dyDescent="0.2">
      <c r="H4958" s="58"/>
      <c r="I4958" s="156"/>
      <c r="K4958" s="58"/>
      <c r="M4958" s="163"/>
    </row>
    <row r="4959" spans="8:13" ht="11.45" customHeight="1" x14ac:dyDescent="0.2">
      <c r="H4959" s="58"/>
      <c r="I4959" s="156"/>
      <c r="K4959" s="58"/>
      <c r="M4959" s="163"/>
    </row>
    <row r="4960" spans="8:13" ht="11.45" customHeight="1" x14ac:dyDescent="0.2">
      <c r="H4960" s="58"/>
      <c r="I4960" s="156"/>
      <c r="K4960" s="58"/>
      <c r="M4960" s="163"/>
    </row>
    <row r="4961" spans="8:13" ht="11.45" customHeight="1" x14ac:dyDescent="0.2">
      <c r="H4961" s="58"/>
      <c r="I4961" s="156"/>
      <c r="K4961" s="58"/>
      <c r="M4961" s="163"/>
    </row>
    <row r="4962" spans="8:13" ht="11.45" customHeight="1" x14ac:dyDescent="0.2">
      <c r="H4962" s="58"/>
      <c r="I4962" s="156"/>
      <c r="K4962" s="58"/>
      <c r="M4962" s="163"/>
    </row>
    <row r="4963" spans="8:13" ht="11.45" customHeight="1" x14ac:dyDescent="0.2">
      <c r="H4963" s="58"/>
      <c r="I4963" s="156"/>
      <c r="K4963" s="58"/>
      <c r="M4963" s="163"/>
    </row>
    <row r="4964" spans="8:13" ht="11.45" customHeight="1" x14ac:dyDescent="0.2">
      <c r="H4964" s="58"/>
      <c r="I4964" s="156"/>
      <c r="K4964" s="58"/>
      <c r="M4964" s="163"/>
    </row>
    <row r="4965" spans="8:13" ht="11.45" customHeight="1" x14ac:dyDescent="0.2">
      <c r="H4965" s="58"/>
      <c r="I4965" s="156"/>
      <c r="K4965" s="58"/>
      <c r="M4965" s="163"/>
    </row>
    <row r="4966" spans="8:13" ht="11.45" customHeight="1" x14ac:dyDescent="0.2">
      <c r="H4966" s="58"/>
      <c r="I4966" s="156"/>
      <c r="K4966" s="58"/>
      <c r="M4966" s="163"/>
    </row>
    <row r="4967" spans="8:13" ht="11.45" customHeight="1" x14ac:dyDescent="0.2">
      <c r="H4967" s="58"/>
      <c r="I4967" s="156"/>
      <c r="K4967" s="58"/>
      <c r="M4967" s="163"/>
    </row>
    <row r="4968" spans="8:13" ht="11.45" customHeight="1" x14ac:dyDescent="0.2">
      <c r="H4968" s="58"/>
      <c r="I4968" s="156"/>
      <c r="K4968" s="58"/>
      <c r="M4968" s="163"/>
    </row>
    <row r="4969" spans="8:13" ht="11.45" customHeight="1" x14ac:dyDescent="0.2">
      <c r="H4969" s="58"/>
      <c r="I4969" s="156"/>
      <c r="K4969" s="58"/>
      <c r="M4969" s="163"/>
    </row>
    <row r="4970" spans="8:13" ht="11.45" customHeight="1" x14ac:dyDescent="0.2">
      <c r="H4970" s="58"/>
      <c r="I4970" s="156"/>
      <c r="K4970" s="58"/>
      <c r="M4970" s="163"/>
    </row>
    <row r="4971" spans="8:13" ht="11.45" customHeight="1" x14ac:dyDescent="0.2">
      <c r="H4971" s="58"/>
      <c r="I4971" s="156"/>
      <c r="K4971" s="58"/>
      <c r="M4971" s="163"/>
    </row>
    <row r="4972" spans="8:13" ht="11.45" customHeight="1" x14ac:dyDescent="0.2">
      <c r="H4972" s="58"/>
      <c r="I4972" s="156"/>
      <c r="K4972" s="58"/>
      <c r="M4972" s="163"/>
    </row>
    <row r="4973" spans="8:13" ht="11.45" customHeight="1" x14ac:dyDescent="0.2">
      <c r="H4973" s="58"/>
      <c r="I4973" s="156"/>
      <c r="K4973" s="58"/>
      <c r="M4973" s="163"/>
    </row>
    <row r="4974" spans="8:13" ht="11.45" customHeight="1" x14ac:dyDescent="0.2">
      <c r="H4974" s="58"/>
      <c r="I4974" s="156"/>
      <c r="K4974" s="58"/>
      <c r="M4974" s="163"/>
    </row>
    <row r="4975" spans="8:13" ht="11.45" customHeight="1" x14ac:dyDescent="0.2">
      <c r="H4975" s="58"/>
      <c r="I4975" s="156"/>
      <c r="K4975" s="58"/>
      <c r="M4975" s="163"/>
    </row>
    <row r="4976" spans="8:13" ht="11.45" customHeight="1" x14ac:dyDescent="0.2">
      <c r="H4976" s="58"/>
      <c r="I4976" s="156"/>
      <c r="K4976" s="58"/>
      <c r="M4976" s="163"/>
    </row>
    <row r="4977" spans="8:13" ht="11.45" customHeight="1" x14ac:dyDescent="0.2">
      <c r="H4977" s="58"/>
      <c r="I4977" s="156"/>
      <c r="K4977" s="58"/>
      <c r="M4977" s="163"/>
    </row>
    <row r="4978" spans="8:13" ht="11.45" customHeight="1" x14ac:dyDescent="0.2">
      <c r="H4978" s="58"/>
      <c r="I4978" s="156"/>
      <c r="K4978" s="58"/>
      <c r="M4978" s="163"/>
    </row>
    <row r="4979" spans="8:13" ht="11.45" customHeight="1" x14ac:dyDescent="0.2">
      <c r="H4979" s="58"/>
      <c r="I4979" s="156"/>
      <c r="K4979" s="58"/>
      <c r="M4979" s="163"/>
    </row>
    <row r="4980" spans="8:13" ht="11.45" customHeight="1" x14ac:dyDescent="0.2">
      <c r="H4980" s="58"/>
      <c r="I4980" s="156"/>
      <c r="K4980" s="58"/>
      <c r="M4980" s="163"/>
    </row>
    <row r="4981" spans="8:13" ht="11.45" customHeight="1" x14ac:dyDescent="0.2">
      <c r="H4981" s="58"/>
      <c r="I4981" s="156"/>
      <c r="K4981" s="58"/>
      <c r="M4981" s="163"/>
    </row>
    <row r="4982" spans="8:13" ht="11.45" customHeight="1" x14ac:dyDescent="0.2">
      <c r="H4982" s="58"/>
      <c r="I4982" s="156"/>
      <c r="K4982" s="58"/>
      <c r="M4982" s="163"/>
    </row>
    <row r="4983" spans="8:13" ht="11.45" customHeight="1" x14ac:dyDescent="0.2">
      <c r="H4983" s="58"/>
      <c r="I4983" s="156"/>
      <c r="K4983" s="58"/>
      <c r="M4983" s="163"/>
    </row>
    <row r="4984" spans="8:13" ht="11.45" customHeight="1" x14ac:dyDescent="0.2">
      <c r="H4984" s="58"/>
      <c r="I4984" s="156"/>
      <c r="K4984" s="58"/>
      <c r="M4984" s="163"/>
    </row>
    <row r="4985" spans="8:13" ht="11.45" customHeight="1" x14ac:dyDescent="0.2">
      <c r="H4985" s="58"/>
      <c r="I4985" s="156"/>
      <c r="K4985" s="58"/>
      <c r="M4985" s="163"/>
    </row>
    <row r="4986" spans="8:13" ht="11.45" customHeight="1" x14ac:dyDescent="0.2">
      <c r="H4986" s="58"/>
      <c r="I4986" s="156"/>
      <c r="K4986" s="58"/>
      <c r="M4986" s="163"/>
    </row>
    <row r="4987" spans="8:13" ht="11.45" customHeight="1" x14ac:dyDescent="0.2">
      <c r="H4987" s="58"/>
      <c r="I4987" s="156"/>
      <c r="K4987" s="58"/>
      <c r="M4987" s="163"/>
    </row>
    <row r="4988" spans="8:13" ht="11.45" customHeight="1" x14ac:dyDescent="0.2">
      <c r="H4988" s="58"/>
      <c r="I4988" s="156"/>
      <c r="K4988" s="58"/>
      <c r="M4988" s="163"/>
    </row>
    <row r="4989" spans="8:13" ht="11.45" customHeight="1" x14ac:dyDescent="0.2">
      <c r="H4989" s="58"/>
      <c r="I4989" s="156"/>
      <c r="K4989" s="58"/>
      <c r="M4989" s="163"/>
    </row>
    <row r="4990" spans="8:13" ht="11.45" customHeight="1" x14ac:dyDescent="0.2">
      <c r="H4990" s="58"/>
      <c r="I4990" s="156"/>
      <c r="K4990" s="58"/>
      <c r="M4990" s="163"/>
    </row>
    <row r="4991" spans="8:13" ht="11.45" customHeight="1" x14ac:dyDescent="0.2">
      <c r="H4991" s="58"/>
      <c r="I4991" s="156"/>
      <c r="K4991" s="58"/>
      <c r="M4991" s="163"/>
    </row>
    <row r="4992" spans="8:13" ht="11.45" customHeight="1" x14ac:dyDescent="0.2">
      <c r="H4992" s="58"/>
      <c r="I4992" s="156"/>
      <c r="K4992" s="58"/>
      <c r="M4992" s="163"/>
    </row>
    <row r="4993" spans="8:13" ht="11.45" customHeight="1" x14ac:dyDescent="0.2">
      <c r="H4993" s="58"/>
      <c r="I4993" s="156"/>
      <c r="K4993" s="58"/>
      <c r="M4993" s="163"/>
    </row>
    <row r="4994" spans="8:13" ht="11.45" customHeight="1" x14ac:dyDescent="0.2">
      <c r="H4994" s="58"/>
      <c r="I4994" s="156"/>
      <c r="K4994" s="58"/>
      <c r="M4994" s="163"/>
    </row>
    <row r="4995" spans="8:13" ht="11.45" customHeight="1" x14ac:dyDescent="0.2">
      <c r="H4995" s="58"/>
      <c r="I4995" s="156"/>
      <c r="K4995" s="58"/>
      <c r="M4995" s="163"/>
    </row>
    <row r="4996" spans="8:13" ht="11.45" customHeight="1" x14ac:dyDescent="0.2">
      <c r="H4996" s="58"/>
      <c r="I4996" s="156"/>
      <c r="K4996" s="58"/>
      <c r="M4996" s="163"/>
    </row>
    <row r="4997" spans="8:13" ht="11.45" customHeight="1" x14ac:dyDescent="0.2">
      <c r="H4997" s="58"/>
      <c r="I4997" s="156"/>
      <c r="K4997" s="58"/>
      <c r="M4997" s="163"/>
    </row>
    <row r="4998" spans="8:13" ht="11.45" customHeight="1" x14ac:dyDescent="0.2">
      <c r="H4998" s="58"/>
      <c r="I4998" s="156"/>
      <c r="K4998" s="58"/>
      <c r="M4998" s="163"/>
    </row>
    <row r="4999" spans="8:13" ht="11.45" customHeight="1" x14ac:dyDescent="0.2">
      <c r="H4999" s="58"/>
      <c r="I4999" s="156"/>
      <c r="K4999" s="58"/>
      <c r="M4999" s="163"/>
    </row>
    <row r="5000" spans="8:13" ht="11.45" customHeight="1" x14ac:dyDescent="0.2">
      <c r="H5000" s="58"/>
      <c r="I5000" s="156"/>
      <c r="K5000" s="58"/>
      <c r="M5000" s="163"/>
    </row>
  </sheetData>
  <autoFilter ref="A5:X2589"/>
  <mergeCells count="1">
    <mergeCell ref="I1:K1"/>
  </mergeCells>
  <conditionalFormatting sqref="I1:J1">
    <cfRule type="cellIs" dxfId="17" priority="2" operator="equal">
      <formula>"COPY FORMULAS DOWN !!!"</formula>
    </cfRule>
  </conditionalFormatting>
  <conditionalFormatting sqref="I1:K1">
    <cfRule type="cellIs" dxfId="16" priority="1" operator="equal">
      <formula>"OK"</formula>
    </cfRule>
  </conditionalFormatting>
  <pageMargins left="0.75" right="1" top="0.75" bottom="1" header="0.5" footer="0.5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"/>
  <sheetViews>
    <sheetView workbookViewId="0">
      <selection activeCell="K16" sqref="K16"/>
    </sheetView>
  </sheetViews>
  <sheetFormatPr defaultRowHeight="11.25" x14ac:dyDescent="0.2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211"/>
  <sheetViews>
    <sheetView showGridLines="0" topLeftCell="A197" workbookViewId="0">
      <selection activeCell="E217" sqref="E217"/>
    </sheetView>
  </sheetViews>
  <sheetFormatPr defaultColWidth="9.1640625" defaultRowHeight="15" x14ac:dyDescent="0.25"/>
  <cols>
    <col min="1" max="1" width="9.1640625" style="11"/>
    <col min="2" max="2" width="16.5" style="11" bestFit="1" customWidth="1"/>
    <col min="3" max="3" width="44.5" style="11" bestFit="1" customWidth="1"/>
    <col min="4" max="4" width="26" style="12" customWidth="1"/>
    <col min="5" max="5" width="17" style="11" customWidth="1"/>
    <col min="6" max="6" width="19.1640625" style="11" customWidth="1"/>
    <col min="7" max="7" width="17" style="11" customWidth="1"/>
    <col min="8" max="8" width="15.6640625" style="11" customWidth="1"/>
    <col min="9" max="9" width="11.83203125" style="11" customWidth="1"/>
    <col min="10" max="10" width="15.6640625" style="11" customWidth="1"/>
    <col min="11" max="11" width="12.33203125" style="11" customWidth="1"/>
    <col min="12" max="12" width="21.83203125" style="11" customWidth="1"/>
    <col min="13" max="13" width="23" style="11" customWidth="1"/>
    <col min="14" max="14" width="21.83203125" style="11" customWidth="1"/>
    <col min="15" max="15" width="20.5" style="11" customWidth="1"/>
    <col min="16" max="16" width="16.6640625" style="11" customWidth="1"/>
    <col min="17" max="16384" width="9.1640625" style="11"/>
  </cols>
  <sheetData>
    <row r="2" spans="2:16" x14ac:dyDescent="0.25">
      <c r="E2" s="51" t="s">
        <v>345</v>
      </c>
    </row>
    <row r="3" spans="2:16" s="53" customFormat="1" x14ac:dyDescent="0.2">
      <c r="B3" s="218" t="s">
        <v>345</v>
      </c>
      <c r="C3" s="218" t="s">
        <v>346</v>
      </c>
      <c r="D3" s="218" t="s">
        <v>5</v>
      </c>
      <c r="E3" s="219" t="s">
        <v>20</v>
      </c>
      <c r="F3" s="219" t="s">
        <v>102</v>
      </c>
      <c r="G3" s="219" t="s">
        <v>18</v>
      </c>
      <c r="H3" s="219" t="s">
        <v>76</v>
      </c>
      <c r="I3" s="219" t="s">
        <v>56</v>
      </c>
      <c r="J3" s="219" t="s">
        <v>46</v>
      </c>
      <c r="K3" s="219" t="s">
        <v>96</v>
      </c>
      <c r="L3" s="219" t="s">
        <v>52</v>
      </c>
      <c r="M3" s="219" t="s">
        <v>107</v>
      </c>
      <c r="N3" s="219" t="s">
        <v>85</v>
      </c>
      <c r="O3" s="219" t="s">
        <v>35</v>
      </c>
      <c r="P3" s="219" t="s">
        <v>88</v>
      </c>
    </row>
    <row r="4" spans="2:16" x14ac:dyDescent="0.25">
      <c r="B4" s="184">
        <v>95</v>
      </c>
      <c r="C4" s="184" t="s">
        <v>48</v>
      </c>
      <c r="D4" s="185"/>
      <c r="E4" s="183">
        <v>95</v>
      </c>
      <c r="F4" s="184">
        <v>95</v>
      </c>
      <c r="G4" s="184">
        <v>95</v>
      </c>
      <c r="H4" s="184">
        <v>95</v>
      </c>
      <c r="I4" s="184">
        <v>95</v>
      </c>
      <c r="J4" s="184">
        <v>95</v>
      </c>
      <c r="K4" s="184">
        <v>95</v>
      </c>
      <c r="L4" s="184">
        <v>95</v>
      </c>
      <c r="M4" s="184">
        <v>95</v>
      </c>
      <c r="N4" s="184">
        <v>95</v>
      </c>
      <c r="O4" s="184">
        <v>95</v>
      </c>
      <c r="P4" s="184">
        <v>95</v>
      </c>
    </row>
    <row r="5" spans="2:16" ht="21.75" customHeight="1" x14ac:dyDescent="0.25">
      <c r="B5" s="184">
        <v>95</v>
      </c>
      <c r="C5" s="184" t="s">
        <v>69</v>
      </c>
      <c r="D5" s="191" t="s">
        <v>71</v>
      </c>
      <c r="E5" s="183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</row>
    <row r="6" spans="2:16" ht="21.75" customHeight="1" x14ac:dyDescent="0.25">
      <c r="B6" s="184">
        <v>95</v>
      </c>
      <c r="C6" s="184" t="s">
        <v>69</v>
      </c>
      <c r="D6" s="191" t="s">
        <v>75</v>
      </c>
      <c r="E6" s="183"/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184"/>
    </row>
    <row r="7" spans="2:16" ht="21.75" customHeight="1" x14ac:dyDescent="0.25">
      <c r="B7" s="184">
        <v>95</v>
      </c>
      <c r="C7" s="184" t="s">
        <v>69</v>
      </c>
      <c r="D7" s="191" t="s">
        <v>74</v>
      </c>
      <c r="E7" s="183">
        <v>95</v>
      </c>
      <c r="F7" s="184">
        <v>95</v>
      </c>
      <c r="G7" s="184">
        <v>95</v>
      </c>
      <c r="H7" s="184">
        <v>95</v>
      </c>
      <c r="I7" s="184">
        <v>95</v>
      </c>
      <c r="J7" s="184">
        <v>95</v>
      </c>
      <c r="K7" s="184">
        <v>95</v>
      </c>
      <c r="L7" s="184">
        <v>95</v>
      </c>
      <c r="M7" s="184">
        <v>95</v>
      </c>
      <c r="N7" s="184">
        <v>95</v>
      </c>
      <c r="O7" s="184">
        <v>95</v>
      </c>
      <c r="P7" s="184">
        <v>95</v>
      </c>
    </row>
    <row r="8" spans="2:16" x14ac:dyDescent="0.25">
      <c r="B8" s="184">
        <v>65</v>
      </c>
      <c r="C8" s="184" t="s">
        <v>99</v>
      </c>
      <c r="D8" s="185"/>
      <c r="E8" s="183">
        <v>65</v>
      </c>
      <c r="F8" s="184">
        <v>65</v>
      </c>
      <c r="G8" s="184">
        <v>65</v>
      </c>
      <c r="H8" s="184">
        <v>65</v>
      </c>
      <c r="I8" s="184">
        <v>65</v>
      </c>
      <c r="J8" s="184">
        <v>65</v>
      </c>
      <c r="K8" s="184">
        <v>65</v>
      </c>
      <c r="L8" s="184">
        <v>65</v>
      </c>
      <c r="M8" s="184">
        <v>65</v>
      </c>
      <c r="N8" s="184">
        <v>65</v>
      </c>
      <c r="O8" s="184">
        <v>65</v>
      </c>
      <c r="P8" s="184">
        <v>65</v>
      </c>
    </row>
    <row r="9" spans="2:16" x14ac:dyDescent="0.25">
      <c r="B9" s="217">
        <v>35</v>
      </c>
      <c r="C9" s="184" t="s">
        <v>125</v>
      </c>
      <c r="D9" s="185"/>
      <c r="E9" s="183">
        <v>35</v>
      </c>
      <c r="F9" s="184">
        <v>35</v>
      </c>
      <c r="G9" s="184">
        <v>35</v>
      </c>
      <c r="H9" s="184">
        <v>35</v>
      </c>
      <c r="I9" s="184">
        <v>35</v>
      </c>
      <c r="J9" s="184">
        <v>35</v>
      </c>
      <c r="K9" s="184">
        <v>35</v>
      </c>
      <c r="L9" s="184">
        <v>35</v>
      </c>
      <c r="M9" s="184">
        <v>35</v>
      </c>
      <c r="N9" s="184">
        <v>35</v>
      </c>
      <c r="O9" s="184">
        <v>35</v>
      </c>
      <c r="P9" s="184">
        <v>35</v>
      </c>
    </row>
    <row r="10" spans="2:16" x14ac:dyDescent="0.25">
      <c r="B10" s="217">
        <v>35</v>
      </c>
      <c r="C10" s="184" t="s">
        <v>148</v>
      </c>
      <c r="D10" s="185"/>
      <c r="E10" s="183">
        <v>35</v>
      </c>
      <c r="F10" s="184">
        <v>65</v>
      </c>
      <c r="G10" s="184">
        <v>65</v>
      </c>
      <c r="H10" s="184">
        <v>65</v>
      </c>
      <c r="I10" s="184">
        <v>65</v>
      </c>
      <c r="J10" s="184">
        <v>65</v>
      </c>
      <c r="K10" s="184">
        <v>65</v>
      </c>
      <c r="L10" s="184">
        <v>65</v>
      </c>
      <c r="M10" s="184">
        <v>65</v>
      </c>
      <c r="N10" s="184">
        <v>65</v>
      </c>
      <c r="O10" s="184">
        <v>65</v>
      </c>
      <c r="P10" s="184">
        <v>65</v>
      </c>
    </row>
    <row r="11" spans="2:16" x14ac:dyDescent="0.25">
      <c r="B11" s="184">
        <v>103</v>
      </c>
      <c r="C11" s="184" t="s">
        <v>180</v>
      </c>
      <c r="D11" s="185"/>
      <c r="E11" s="183">
        <v>103</v>
      </c>
      <c r="F11" s="184">
        <v>103</v>
      </c>
      <c r="G11" s="184">
        <v>103</v>
      </c>
      <c r="H11" s="184">
        <v>103</v>
      </c>
      <c r="I11" s="184">
        <v>103</v>
      </c>
      <c r="J11" s="184">
        <v>103</v>
      </c>
      <c r="K11" s="184">
        <v>103</v>
      </c>
      <c r="L11" s="184">
        <v>103</v>
      </c>
      <c r="M11" s="184">
        <v>103</v>
      </c>
      <c r="N11" s="184">
        <v>103</v>
      </c>
      <c r="O11" s="184">
        <v>103</v>
      </c>
      <c r="P11" s="184">
        <v>103</v>
      </c>
    </row>
    <row r="12" spans="2:16" x14ac:dyDescent="0.25">
      <c r="B12" s="187" t="s">
        <v>1020</v>
      </c>
      <c r="C12" s="187" t="s">
        <v>185</v>
      </c>
      <c r="D12" s="188"/>
      <c r="E12" s="186">
        <v>95</v>
      </c>
      <c r="F12" s="187">
        <v>95</v>
      </c>
      <c r="G12" s="187">
        <v>95</v>
      </c>
      <c r="H12" s="187">
        <v>95</v>
      </c>
      <c r="I12" s="187">
        <v>95</v>
      </c>
      <c r="J12" s="187">
        <v>95</v>
      </c>
      <c r="K12" s="187">
        <v>95</v>
      </c>
      <c r="L12" s="187">
        <v>95</v>
      </c>
      <c r="M12" s="187">
        <v>95</v>
      </c>
      <c r="N12" s="187">
        <v>95</v>
      </c>
      <c r="O12" s="187">
        <v>95</v>
      </c>
      <c r="P12" s="187">
        <v>95</v>
      </c>
    </row>
    <row r="13" spans="2:16" x14ac:dyDescent="0.25">
      <c r="B13" s="190">
        <v>75</v>
      </c>
      <c r="C13" s="190" t="s">
        <v>240</v>
      </c>
      <c r="D13" s="191" t="s">
        <v>348</v>
      </c>
      <c r="E13" s="189">
        <v>75</v>
      </c>
      <c r="F13" s="190">
        <v>75</v>
      </c>
      <c r="G13" s="190">
        <v>75</v>
      </c>
      <c r="H13" s="190">
        <v>75</v>
      </c>
      <c r="I13" s="190">
        <v>75</v>
      </c>
      <c r="J13" s="190">
        <v>75</v>
      </c>
      <c r="K13" s="190">
        <v>75</v>
      </c>
      <c r="L13" s="190">
        <v>75</v>
      </c>
      <c r="M13" s="190">
        <v>75</v>
      </c>
      <c r="N13" s="190">
        <v>75</v>
      </c>
      <c r="O13" s="190">
        <v>75</v>
      </c>
      <c r="P13" s="190">
        <v>75</v>
      </c>
    </row>
    <row r="14" spans="2:16" x14ac:dyDescent="0.25">
      <c r="B14" s="190">
        <v>65</v>
      </c>
      <c r="C14" s="190" t="s">
        <v>240</v>
      </c>
      <c r="D14" s="191" t="s">
        <v>347</v>
      </c>
      <c r="E14" s="189">
        <v>65</v>
      </c>
      <c r="F14" s="190">
        <v>65</v>
      </c>
      <c r="G14" s="190">
        <v>65</v>
      </c>
      <c r="H14" s="190">
        <v>65</v>
      </c>
      <c r="I14" s="190">
        <v>65</v>
      </c>
      <c r="J14" s="190">
        <v>65</v>
      </c>
      <c r="K14" s="190">
        <v>65</v>
      </c>
      <c r="L14" s="190">
        <v>65</v>
      </c>
      <c r="M14" s="190">
        <v>65</v>
      </c>
      <c r="N14" s="190">
        <v>65</v>
      </c>
      <c r="O14" s="190">
        <v>65</v>
      </c>
      <c r="P14" s="190">
        <v>65</v>
      </c>
    </row>
    <row r="15" spans="2:16" x14ac:dyDescent="0.25">
      <c r="B15" s="190">
        <v>65</v>
      </c>
      <c r="C15" s="190" t="s">
        <v>271</v>
      </c>
      <c r="D15" s="191"/>
      <c r="E15" s="189">
        <v>35</v>
      </c>
      <c r="F15" s="190">
        <v>35</v>
      </c>
      <c r="G15" s="190">
        <v>35</v>
      </c>
      <c r="H15" s="190">
        <v>35</v>
      </c>
      <c r="I15" s="190">
        <v>35</v>
      </c>
      <c r="J15" s="190">
        <v>35</v>
      </c>
      <c r="K15" s="190">
        <v>35</v>
      </c>
      <c r="L15" s="190">
        <v>35</v>
      </c>
      <c r="M15" s="190">
        <v>35</v>
      </c>
      <c r="N15" s="190">
        <v>35</v>
      </c>
      <c r="O15" s="190">
        <v>35</v>
      </c>
      <c r="P15" s="190">
        <v>35</v>
      </c>
    </row>
    <row r="16" spans="2:16" x14ac:dyDescent="0.25">
      <c r="B16" s="187">
        <v>19</v>
      </c>
      <c r="C16" s="187" t="s">
        <v>280</v>
      </c>
      <c r="D16" s="188"/>
      <c r="E16" s="186">
        <v>19</v>
      </c>
      <c r="F16" s="187">
        <v>19</v>
      </c>
      <c r="G16" s="187">
        <v>19</v>
      </c>
      <c r="H16" s="187">
        <v>19</v>
      </c>
      <c r="I16" s="187">
        <v>19</v>
      </c>
      <c r="J16" s="187">
        <v>19</v>
      </c>
      <c r="K16" s="187">
        <v>19</v>
      </c>
      <c r="L16" s="187">
        <v>19</v>
      </c>
      <c r="M16" s="187">
        <v>19</v>
      </c>
      <c r="N16" s="187">
        <v>19</v>
      </c>
      <c r="O16" s="187">
        <v>19</v>
      </c>
      <c r="P16" s="187">
        <v>19</v>
      </c>
    </row>
    <row r="17" spans="2:16" x14ac:dyDescent="0.25">
      <c r="B17" s="187">
        <v>95</v>
      </c>
      <c r="C17" s="187" t="s">
        <v>285</v>
      </c>
      <c r="D17" s="188"/>
      <c r="E17" s="186">
        <v>95</v>
      </c>
      <c r="F17" s="187">
        <v>95</v>
      </c>
      <c r="G17" s="187">
        <v>95</v>
      </c>
      <c r="H17" s="187">
        <v>120</v>
      </c>
      <c r="I17" s="187">
        <v>95</v>
      </c>
      <c r="J17" s="187">
        <v>95</v>
      </c>
      <c r="K17" s="187">
        <v>95</v>
      </c>
      <c r="L17" s="187">
        <v>95</v>
      </c>
      <c r="M17" s="187">
        <v>95</v>
      </c>
      <c r="N17" s="187">
        <v>95</v>
      </c>
      <c r="O17" s="187">
        <v>95</v>
      </c>
      <c r="P17" s="187">
        <v>95</v>
      </c>
    </row>
    <row r="18" spans="2:16" x14ac:dyDescent="0.25">
      <c r="B18" s="187">
        <v>120</v>
      </c>
      <c r="C18" s="187" t="s">
        <v>285</v>
      </c>
      <c r="D18" s="188" t="s">
        <v>31</v>
      </c>
      <c r="E18" s="186">
        <v>120</v>
      </c>
      <c r="F18" s="187">
        <v>120</v>
      </c>
      <c r="G18" s="187">
        <v>120</v>
      </c>
      <c r="H18" s="187">
        <v>120</v>
      </c>
      <c r="I18" s="187">
        <v>120</v>
      </c>
      <c r="J18" s="187">
        <v>120</v>
      </c>
      <c r="K18" s="187">
        <v>120</v>
      </c>
      <c r="L18" s="187">
        <v>120</v>
      </c>
      <c r="M18" s="187">
        <v>120</v>
      </c>
      <c r="N18" s="187">
        <v>120</v>
      </c>
      <c r="O18" s="187">
        <v>120</v>
      </c>
      <c r="P18" s="187">
        <v>120</v>
      </c>
    </row>
    <row r="19" spans="2:16" x14ac:dyDescent="0.25">
      <c r="B19" s="184">
        <v>65</v>
      </c>
      <c r="C19" s="184" t="s">
        <v>292</v>
      </c>
      <c r="D19" s="185"/>
      <c r="E19" s="183">
        <v>65</v>
      </c>
      <c r="F19" s="184">
        <v>65</v>
      </c>
      <c r="G19" s="184">
        <v>65</v>
      </c>
      <c r="H19" s="184">
        <v>65</v>
      </c>
      <c r="I19" s="184">
        <v>65</v>
      </c>
      <c r="J19" s="184">
        <v>65</v>
      </c>
      <c r="K19" s="184">
        <v>65</v>
      </c>
      <c r="L19" s="184">
        <v>65</v>
      </c>
      <c r="M19" s="184">
        <v>65</v>
      </c>
      <c r="N19" s="184">
        <v>65</v>
      </c>
      <c r="O19" s="184">
        <v>65</v>
      </c>
      <c r="P19" s="184">
        <v>65</v>
      </c>
    </row>
    <row r="20" spans="2:16" x14ac:dyDescent="0.25">
      <c r="B20" s="184">
        <v>65</v>
      </c>
      <c r="C20" s="184" t="s">
        <v>310</v>
      </c>
      <c r="D20" s="185"/>
      <c r="E20" s="183">
        <v>65</v>
      </c>
      <c r="F20" s="184">
        <v>65</v>
      </c>
      <c r="G20" s="184">
        <v>65</v>
      </c>
      <c r="H20" s="184">
        <v>65</v>
      </c>
      <c r="I20" s="184">
        <v>65</v>
      </c>
      <c r="J20" s="184">
        <v>65</v>
      </c>
      <c r="K20" s="184">
        <v>65</v>
      </c>
      <c r="L20" s="184">
        <v>65</v>
      </c>
      <c r="M20" s="184">
        <v>65</v>
      </c>
      <c r="N20" s="184">
        <v>65</v>
      </c>
      <c r="O20" s="184">
        <v>65</v>
      </c>
      <c r="P20" s="184">
        <v>65</v>
      </c>
    </row>
    <row r="21" spans="2:16" x14ac:dyDescent="0.25">
      <c r="B21" s="184">
        <v>65</v>
      </c>
      <c r="C21" s="184" t="s">
        <v>324</v>
      </c>
      <c r="D21" s="185"/>
      <c r="E21" s="183">
        <v>65</v>
      </c>
      <c r="F21" s="184">
        <v>65</v>
      </c>
      <c r="G21" s="184">
        <v>65</v>
      </c>
      <c r="H21" s="184">
        <v>65</v>
      </c>
      <c r="I21" s="184">
        <v>65</v>
      </c>
      <c r="J21" s="184">
        <v>65</v>
      </c>
      <c r="K21" s="184">
        <v>65</v>
      </c>
      <c r="L21" s="184">
        <v>65</v>
      </c>
      <c r="M21" s="184">
        <v>65</v>
      </c>
      <c r="N21" s="184">
        <v>65</v>
      </c>
      <c r="O21" s="184">
        <v>65</v>
      </c>
      <c r="P21" s="184">
        <v>65</v>
      </c>
    </row>
    <row r="22" spans="2:16" x14ac:dyDescent="0.25">
      <c r="B22" s="184">
        <v>65</v>
      </c>
      <c r="C22" s="184" t="s">
        <v>349</v>
      </c>
      <c r="D22" s="185"/>
      <c r="E22" s="183">
        <v>65</v>
      </c>
      <c r="F22" s="184">
        <v>65</v>
      </c>
      <c r="G22" s="184">
        <v>65</v>
      </c>
      <c r="H22" s="184">
        <v>65</v>
      </c>
      <c r="I22" s="184">
        <v>65</v>
      </c>
      <c r="J22" s="184">
        <v>65</v>
      </c>
      <c r="K22" s="184">
        <v>65</v>
      </c>
      <c r="L22" s="184">
        <v>65</v>
      </c>
      <c r="M22" s="184">
        <v>65</v>
      </c>
      <c r="N22" s="184">
        <v>65</v>
      </c>
      <c r="O22" s="184">
        <v>65</v>
      </c>
      <c r="P22" s="184">
        <v>65</v>
      </c>
    </row>
    <row r="26" spans="2:16" x14ac:dyDescent="0.25">
      <c r="C26" s="218" t="s">
        <v>346</v>
      </c>
      <c r="D26" s="18" t="s">
        <v>7</v>
      </c>
      <c r="E26" s="15" t="s">
        <v>395</v>
      </c>
      <c r="F26" s="14" t="s">
        <v>342</v>
      </c>
    </row>
    <row r="27" spans="2:16" x14ac:dyDescent="0.25">
      <c r="C27" s="191" t="s">
        <v>69</v>
      </c>
      <c r="D27" s="191" t="s">
        <v>71</v>
      </c>
      <c r="E27" s="219" t="s">
        <v>22</v>
      </c>
      <c r="F27" s="11">
        <v>0</v>
      </c>
    </row>
    <row r="28" spans="2:16" x14ac:dyDescent="0.25">
      <c r="C28" s="191" t="s">
        <v>69</v>
      </c>
      <c r="D28" s="191" t="s">
        <v>71</v>
      </c>
      <c r="E28" s="219" t="s">
        <v>22</v>
      </c>
      <c r="F28" s="11">
        <v>0</v>
      </c>
    </row>
    <row r="29" spans="2:16" x14ac:dyDescent="0.25">
      <c r="C29" s="191" t="s">
        <v>69</v>
      </c>
      <c r="D29" s="191" t="s">
        <v>75</v>
      </c>
      <c r="E29" s="219" t="s">
        <v>21</v>
      </c>
      <c r="F29" s="11">
        <f>30+8</f>
        <v>38</v>
      </c>
    </row>
    <row r="30" spans="2:16" x14ac:dyDescent="0.25">
      <c r="C30" s="191" t="s">
        <v>69</v>
      </c>
      <c r="D30" s="191" t="s">
        <v>75</v>
      </c>
      <c r="E30" s="219" t="s">
        <v>378</v>
      </c>
      <c r="F30" s="11">
        <f t="shared" ref="F30:F34" si="0">30+8</f>
        <v>38</v>
      </c>
    </row>
    <row r="31" spans="2:16" x14ac:dyDescent="0.25">
      <c r="C31" s="191" t="s">
        <v>69</v>
      </c>
      <c r="D31" s="191" t="s">
        <v>75</v>
      </c>
      <c r="E31" s="219" t="s">
        <v>379</v>
      </c>
      <c r="F31" s="11">
        <f t="shared" si="0"/>
        <v>38</v>
      </c>
    </row>
    <row r="32" spans="2:16" x14ac:dyDescent="0.25">
      <c r="C32" s="191" t="s">
        <v>69</v>
      </c>
      <c r="D32" s="191" t="s">
        <v>75</v>
      </c>
      <c r="E32" s="219" t="s">
        <v>382</v>
      </c>
      <c r="F32" s="11">
        <f t="shared" si="0"/>
        <v>38</v>
      </c>
    </row>
    <row r="33" spans="3:6" x14ac:dyDescent="0.25">
      <c r="C33" s="191" t="s">
        <v>69</v>
      </c>
      <c r="D33" s="191" t="s">
        <v>75</v>
      </c>
      <c r="E33" s="219" t="s">
        <v>380</v>
      </c>
      <c r="F33" s="11">
        <f t="shared" si="0"/>
        <v>38</v>
      </c>
    </row>
    <row r="34" spans="3:6" x14ac:dyDescent="0.25">
      <c r="C34" s="191" t="s">
        <v>69</v>
      </c>
      <c r="D34" s="191" t="s">
        <v>75</v>
      </c>
      <c r="E34" s="219" t="s">
        <v>381</v>
      </c>
      <c r="F34" s="11">
        <f t="shared" si="0"/>
        <v>38</v>
      </c>
    </row>
    <row r="35" spans="3:6" x14ac:dyDescent="0.25">
      <c r="C35" s="191" t="s">
        <v>69</v>
      </c>
      <c r="D35" s="191" t="s">
        <v>74</v>
      </c>
      <c r="E35" s="219" t="s">
        <v>22</v>
      </c>
      <c r="F35" s="11">
        <v>95</v>
      </c>
    </row>
    <row r="36" spans="3:6" x14ac:dyDescent="0.25">
      <c r="C36" s="191" t="s">
        <v>69</v>
      </c>
      <c r="D36" s="191" t="s">
        <v>74</v>
      </c>
      <c r="E36" s="219" t="s">
        <v>16</v>
      </c>
      <c r="F36" s="11">
        <v>95</v>
      </c>
    </row>
    <row r="37" spans="3:6" x14ac:dyDescent="0.25">
      <c r="C37" s="191" t="s">
        <v>69</v>
      </c>
      <c r="D37" s="191" t="s">
        <v>74</v>
      </c>
      <c r="E37" s="219" t="s">
        <v>21</v>
      </c>
      <c r="F37" s="11">
        <v>95</v>
      </c>
    </row>
    <row r="38" spans="3:6" x14ac:dyDescent="0.25">
      <c r="C38" s="191" t="s">
        <v>69</v>
      </c>
      <c r="D38" s="191" t="s">
        <v>74</v>
      </c>
      <c r="E38" s="219" t="s">
        <v>31</v>
      </c>
      <c r="F38" s="11">
        <v>95</v>
      </c>
    </row>
    <row r="39" spans="3:6" x14ac:dyDescent="0.25">
      <c r="C39" s="191" t="s">
        <v>69</v>
      </c>
      <c r="D39" s="191" t="s">
        <v>74</v>
      </c>
      <c r="E39" s="219" t="s">
        <v>23</v>
      </c>
      <c r="F39" s="11">
        <v>95</v>
      </c>
    </row>
    <row r="40" spans="3:6" x14ac:dyDescent="0.25">
      <c r="C40" s="191" t="s">
        <v>69</v>
      </c>
      <c r="D40" s="191" t="s">
        <v>75</v>
      </c>
      <c r="E40" s="219" t="s">
        <v>22</v>
      </c>
      <c r="F40" s="11">
        <f t="shared" ref="F40:F42" si="1">30+8</f>
        <v>38</v>
      </c>
    </row>
    <row r="41" spans="3:6" x14ac:dyDescent="0.25">
      <c r="C41" s="191" t="s">
        <v>69</v>
      </c>
      <c r="D41" s="191" t="s">
        <v>75</v>
      </c>
      <c r="E41" s="219" t="s">
        <v>16</v>
      </c>
      <c r="F41" s="11">
        <f t="shared" si="1"/>
        <v>38</v>
      </c>
    </row>
    <row r="42" spans="3:6" x14ac:dyDescent="0.25">
      <c r="C42" s="191" t="s">
        <v>69</v>
      </c>
      <c r="D42" s="191" t="s">
        <v>75</v>
      </c>
      <c r="E42" s="219" t="s">
        <v>31</v>
      </c>
      <c r="F42" s="11">
        <f t="shared" si="1"/>
        <v>38</v>
      </c>
    </row>
    <row r="43" spans="3:6" x14ac:dyDescent="0.25">
      <c r="C43" s="191" t="s">
        <v>69</v>
      </c>
      <c r="D43" s="191" t="s">
        <v>74</v>
      </c>
      <c r="E43" s="219" t="s">
        <v>378</v>
      </c>
      <c r="F43" s="11">
        <v>95</v>
      </c>
    </row>
    <row r="44" spans="3:6" x14ac:dyDescent="0.25">
      <c r="C44" s="191" t="s">
        <v>69</v>
      </c>
      <c r="D44" s="191" t="s">
        <v>74</v>
      </c>
      <c r="E44" s="219" t="s">
        <v>379</v>
      </c>
      <c r="F44" s="11">
        <v>95</v>
      </c>
    </row>
    <row r="45" spans="3:6" x14ac:dyDescent="0.25">
      <c r="C45" s="191" t="s">
        <v>69</v>
      </c>
      <c r="D45" s="191" t="s">
        <v>74</v>
      </c>
      <c r="E45" s="219" t="s">
        <v>382</v>
      </c>
      <c r="F45" s="11">
        <v>95</v>
      </c>
    </row>
    <row r="46" spans="3:6" x14ac:dyDescent="0.25">
      <c r="C46" s="191" t="s">
        <v>69</v>
      </c>
      <c r="D46" s="191" t="s">
        <v>74</v>
      </c>
      <c r="E46" s="219" t="s">
        <v>380</v>
      </c>
      <c r="F46" s="11">
        <v>95</v>
      </c>
    </row>
    <row r="47" spans="3:6" x14ac:dyDescent="0.25">
      <c r="C47" s="191" t="s">
        <v>69</v>
      </c>
      <c r="D47" s="191" t="s">
        <v>74</v>
      </c>
      <c r="E47" s="219" t="s">
        <v>381</v>
      </c>
      <c r="F47" s="11">
        <v>95</v>
      </c>
    </row>
    <row r="48" spans="3:6" x14ac:dyDescent="0.25">
      <c r="C48" s="191" t="s">
        <v>69</v>
      </c>
      <c r="D48" s="191" t="s">
        <v>75</v>
      </c>
      <c r="E48" s="219" t="s">
        <v>1358</v>
      </c>
      <c r="F48" s="11">
        <f t="shared" ref="F48" si="2">30+8</f>
        <v>38</v>
      </c>
    </row>
    <row r="49" spans="3:6" x14ac:dyDescent="0.25">
      <c r="C49" s="223"/>
      <c r="D49" s="236"/>
      <c r="E49" s="219"/>
      <c r="F49" s="223">
        <f>68+5</f>
        <v>73</v>
      </c>
    </row>
    <row r="50" spans="3:6" x14ac:dyDescent="0.25">
      <c r="C50" s="184" t="s">
        <v>99</v>
      </c>
      <c r="D50" s="84" t="s">
        <v>101</v>
      </c>
      <c r="E50" s="219" t="s">
        <v>22</v>
      </c>
      <c r="F50" s="11">
        <v>65</v>
      </c>
    </row>
    <row r="51" spans="3:6" x14ac:dyDescent="0.25">
      <c r="C51" s="184" t="s">
        <v>99</v>
      </c>
      <c r="D51" s="84" t="s">
        <v>101</v>
      </c>
      <c r="E51" s="219" t="s">
        <v>16</v>
      </c>
      <c r="F51" s="11">
        <v>65</v>
      </c>
    </row>
    <row r="52" spans="3:6" x14ac:dyDescent="0.25">
      <c r="C52" s="184" t="s">
        <v>99</v>
      </c>
      <c r="D52" s="84" t="s">
        <v>101</v>
      </c>
      <c r="E52" s="219" t="s">
        <v>21</v>
      </c>
      <c r="F52" s="11">
        <v>65</v>
      </c>
    </row>
    <row r="53" spans="3:6" x14ac:dyDescent="0.25">
      <c r="C53" s="184" t="s">
        <v>99</v>
      </c>
      <c r="D53" s="84" t="s">
        <v>101</v>
      </c>
      <c r="E53" s="219" t="s">
        <v>31</v>
      </c>
      <c r="F53" s="11">
        <v>65</v>
      </c>
    </row>
    <row r="54" spans="3:6" x14ac:dyDescent="0.25">
      <c r="C54" s="184" t="s">
        <v>99</v>
      </c>
      <c r="D54" s="84" t="s">
        <v>101</v>
      </c>
      <c r="E54" s="219" t="s">
        <v>23</v>
      </c>
      <c r="F54" s="11">
        <v>65</v>
      </c>
    </row>
    <row r="55" spans="3:6" x14ac:dyDescent="0.25">
      <c r="C55" s="184" t="s">
        <v>99</v>
      </c>
      <c r="D55" s="84" t="s">
        <v>101</v>
      </c>
      <c r="E55" s="219" t="s">
        <v>378</v>
      </c>
      <c r="F55" s="11">
        <v>65</v>
      </c>
    </row>
    <row r="56" spans="3:6" x14ac:dyDescent="0.25">
      <c r="C56" s="184" t="s">
        <v>99</v>
      </c>
      <c r="D56" s="84" t="s">
        <v>101</v>
      </c>
      <c r="E56" s="219" t="s">
        <v>379</v>
      </c>
      <c r="F56" s="11">
        <v>65</v>
      </c>
    </row>
    <row r="57" spans="3:6" x14ac:dyDescent="0.25">
      <c r="C57" s="184" t="s">
        <v>99</v>
      </c>
      <c r="D57" s="84" t="s">
        <v>101</v>
      </c>
      <c r="E57" s="219" t="s">
        <v>382</v>
      </c>
      <c r="F57" s="11">
        <v>65</v>
      </c>
    </row>
    <row r="58" spans="3:6" x14ac:dyDescent="0.25">
      <c r="C58" s="184" t="s">
        <v>99</v>
      </c>
      <c r="D58" s="84" t="s">
        <v>101</v>
      </c>
      <c r="E58" s="219" t="s">
        <v>380</v>
      </c>
      <c r="F58" s="11">
        <v>65</v>
      </c>
    </row>
    <row r="59" spans="3:6" x14ac:dyDescent="0.25">
      <c r="C59" s="184" t="s">
        <v>99</v>
      </c>
      <c r="D59" s="84" t="s">
        <v>101</v>
      </c>
      <c r="E59" s="219" t="s">
        <v>381</v>
      </c>
      <c r="F59" s="11">
        <v>65</v>
      </c>
    </row>
    <row r="60" spans="3:6" x14ac:dyDescent="0.25">
      <c r="C60" s="220" t="s">
        <v>48</v>
      </c>
      <c r="D60" s="221" t="s">
        <v>49</v>
      </c>
      <c r="E60" s="219" t="s">
        <v>22</v>
      </c>
      <c r="F60" s="11">
        <v>95</v>
      </c>
    </row>
    <row r="61" spans="3:6" x14ac:dyDescent="0.25">
      <c r="C61" s="220" t="s">
        <v>48</v>
      </c>
      <c r="D61" s="221" t="s">
        <v>49</v>
      </c>
      <c r="E61" s="219" t="s">
        <v>16</v>
      </c>
      <c r="F61" s="11">
        <v>95</v>
      </c>
    </row>
    <row r="62" spans="3:6" x14ac:dyDescent="0.25">
      <c r="C62" s="220" t="s">
        <v>48</v>
      </c>
      <c r="D62" s="221" t="s">
        <v>49</v>
      </c>
      <c r="E62" s="219" t="s">
        <v>21</v>
      </c>
      <c r="F62" s="11">
        <v>95</v>
      </c>
    </row>
    <row r="63" spans="3:6" x14ac:dyDescent="0.25">
      <c r="C63" s="220" t="s">
        <v>48</v>
      </c>
      <c r="D63" s="221" t="s">
        <v>49</v>
      </c>
      <c r="E63" s="219" t="s">
        <v>31</v>
      </c>
      <c r="F63" s="11">
        <v>95</v>
      </c>
    </row>
    <row r="64" spans="3:6" x14ac:dyDescent="0.25">
      <c r="C64" s="220" t="s">
        <v>48</v>
      </c>
      <c r="D64" s="221" t="s">
        <v>49</v>
      </c>
      <c r="E64" s="219" t="s">
        <v>23</v>
      </c>
      <c r="F64" s="11">
        <v>95</v>
      </c>
    </row>
    <row r="65" spans="3:6" x14ac:dyDescent="0.25">
      <c r="C65" s="220" t="s">
        <v>48</v>
      </c>
      <c r="D65" s="221" t="s">
        <v>49</v>
      </c>
      <c r="E65" s="219" t="s">
        <v>378</v>
      </c>
      <c r="F65" s="11">
        <v>95</v>
      </c>
    </row>
    <row r="66" spans="3:6" x14ac:dyDescent="0.25">
      <c r="C66" s="220" t="s">
        <v>48</v>
      </c>
      <c r="D66" s="221" t="s">
        <v>49</v>
      </c>
      <c r="E66" s="219" t="s">
        <v>379</v>
      </c>
      <c r="F66" s="11">
        <v>95</v>
      </c>
    </row>
    <row r="67" spans="3:6" x14ac:dyDescent="0.25">
      <c r="C67" s="220" t="s">
        <v>48</v>
      </c>
      <c r="D67" s="221" t="s">
        <v>49</v>
      </c>
      <c r="E67" s="219" t="s">
        <v>382</v>
      </c>
      <c r="F67" s="11">
        <v>95</v>
      </c>
    </row>
    <row r="68" spans="3:6" x14ac:dyDescent="0.25">
      <c r="C68" s="220" t="s">
        <v>48</v>
      </c>
      <c r="D68" s="221" t="s">
        <v>49</v>
      </c>
      <c r="E68" s="219" t="s">
        <v>380</v>
      </c>
      <c r="F68" s="11">
        <v>95</v>
      </c>
    </row>
    <row r="69" spans="3:6" x14ac:dyDescent="0.25">
      <c r="C69" s="220" t="s">
        <v>48</v>
      </c>
      <c r="D69" s="221" t="s">
        <v>49</v>
      </c>
      <c r="E69" s="219" t="s">
        <v>381</v>
      </c>
      <c r="F69" s="11">
        <v>95</v>
      </c>
    </row>
    <row r="70" spans="3:6" x14ac:dyDescent="0.25">
      <c r="C70" s="184" t="s">
        <v>125</v>
      </c>
      <c r="D70" s="84" t="s">
        <v>126</v>
      </c>
      <c r="E70" s="219" t="s">
        <v>22</v>
      </c>
      <c r="F70" s="11">
        <v>35</v>
      </c>
    </row>
    <row r="71" spans="3:6" x14ac:dyDescent="0.25">
      <c r="C71" s="184" t="s">
        <v>125</v>
      </c>
      <c r="D71" s="84" t="s">
        <v>126</v>
      </c>
      <c r="E71" s="219" t="s">
        <v>16</v>
      </c>
      <c r="F71" s="11">
        <v>35</v>
      </c>
    </row>
    <row r="72" spans="3:6" x14ac:dyDescent="0.25">
      <c r="C72" s="184" t="s">
        <v>125</v>
      </c>
      <c r="D72" s="84" t="s">
        <v>126</v>
      </c>
      <c r="E72" s="219" t="s">
        <v>21</v>
      </c>
      <c r="F72" s="11">
        <v>35</v>
      </c>
    </row>
    <row r="73" spans="3:6" x14ac:dyDescent="0.25">
      <c r="C73" s="184" t="s">
        <v>125</v>
      </c>
      <c r="D73" s="84" t="s">
        <v>126</v>
      </c>
      <c r="E73" s="219" t="s">
        <v>31</v>
      </c>
      <c r="F73" s="11">
        <v>35</v>
      </c>
    </row>
    <row r="74" spans="3:6" x14ac:dyDescent="0.25">
      <c r="C74" s="184" t="s">
        <v>125</v>
      </c>
      <c r="D74" s="84" t="s">
        <v>126</v>
      </c>
      <c r="E74" s="219" t="s">
        <v>23</v>
      </c>
      <c r="F74" s="11">
        <v>35</v>
      </c>
    </row>
    <row r="75" spans="3:6" x14ac:dyDescent="0.25">
      <c r="C75" s="184" t="s">
        <v>125</v>
      </c>
      <c r="D75" s="84" t="s">
        <v>126</v>
      </c>
      <c r="E75" s="219" t="s">
        <v>378</v>
      </c>
      <c r="F75" s="11">
        <v>35</v>
      </c>
    </row>
    <row r="76" spans="3:6" x14ac:dyDescent="0.25">
      <c r="C76" s="184" t="s">
        <v>125</v>
      </c>
      <c r="D76" s="84" t="s">
        <v>126</v>
      </c>
      <c r="E76" s="219" t="s">
        <v>379</v>
      </c>
      <c r="F76" s="11">
        <v>35</v>
      </c>
    </row>
    <row r="77" spans="3:6" x14ac:dyDescent="0.25">
      <c r="C77" s="184" t="s">
        <v>125</v>
      </c>
      <c r="D77" s="84" t="s">
        <v>126</v>
      </c>
      <c r="E77" s="219" t="s">
        <v>382</v>
      </c>
      <c r="F77" s="11">
        <v>35</v>
      </c>
    </row>
    <row r="78" spans="3:6" x14ac:dyDescent="0.25">
      <c r="C78" s="184" t="s">
        <v>125</v>
      </c>
      <c r="D78" s="84" t="s">
        <v>126</v>
      </c>
      <c r="E78" s="219" t="s">
        <v>380</v>
      </c>
      <c r="F78" s="11">
        <v>35</v>
      </c>
    </row>
    <row r="79" spans="3:6" x14ac:dyDescent="0.25">
      <c r="C79" s="184" t="s">
        <v>125</v>
      </c>
      <c r="D79" s="84" t="s">
        <v>126</v>
      </c>
      <c r="E79" s="219" t="s">
        <v>381</v>
      </c>
      <c r="F79" s="11">
        <v>35</v>
      </c>
    </row>
    <row r="80" spans="3:6" x14ac:dyDescent="0.25">
      <c r="C80" s="184" t="s">
        <v>148</v>
      </c>
      <c r="D80" s="12" t="s">
        <v>17</v>
      </c>
      <c r="E80" s="219" t="s">
        <v>22</v>
      </c>
      <c r="F80" s="11">
        <v>35</v>
      </c>
    </row>
    <row r="81" spans="3:6" x14ac:dyDescent="0.25">
      <c r="C81" s="184" t="s">
        <v>148</v>
      </c>
      <c r="D81" s="12" t="s">
        <v>17</v>
      </c>
      <c r="E81" s="219" t="s">
        <v>16</v>
      </c>
      <c r="F81" s="11">
        <v>35</v>
      </c>
    </row>
    <row r="82" spans="3:6" x14ac:dyDescent="0.25">
      <c r="C82" s="184" t="s">
        <v>148</v>
      </c>
      <c r="D82" s="12" t="s">
        <v>17</v>
      </c>
      <c r="E82" s="219" t="s">
        <v>21</v>
      </c>
      <c r="F82" s="11">
        <v>35</v>
      </c>
    </row>
    <row r="83" spans="3:6" x14ac:dyDescent="0.25">
      <c r="C83" s="184" t="s">
        <v>148</v>
      </c>
      <c r="D83" s="12" t="s">
        <v>17</v>
      </c>
      <c r="E83" s="219" t="s">
        <v>31</v>
      </c>
      <c r="F83" s="11">
        <v>35</v>
      </c>
    </row>
    <row r="84" spans="3:6" x14ac:dyDescent="0.25">
      <c r="C84" s="184" t="s">
        <v>148</v>
      </c>
      <c r="D84" s="12" t="s">
        <v>17</v>
      </c>
      <c r="E84" s="219" t="s">
        <v>23</v>
      </c>
      <c r="F84" s="11">
        <v>35</v>
      </c>
    </row>
    <row r="85" spans="3:6" x14ac:dyDescent="0.25">
      <c r="C85" s="184" t="s">
        <v>148</v>
      </c>
      <c r="D85" s="12" t="s">
        <v>17</v>
      </c>
      <c r="E85" s="219" t="s">
        <v>378</v>
      </c>
      <c r="F85" s="11">
        <v>35</v>
      </c>
    </row>
    <row r="86" spans="3:6" x14ac:dyDescent="0.25">
      <c r="C86" s="184" t="s">
        <v>148</v>
      </c>
      <c r="D86" s="12" t="s">
        <v>17</v>
      </c>
      <c r="E86" s="219" t="s">
        <v>379</v>
      </c>
      <c r="F86" s="11">
        <v>35</v>
      </c>
    </row>
    <row r="87" spans="3:6" x14ac:dyDescent="0.25">
      <c r="C87" s="184" t="s">
        <v>148</v>
      </c>
      <c r="D87" s="12" t="s">
        <v>17</v>
      </c>
      <c r="E87" s="219" t="s">
        <v>382</v>
      </c>
      <c r="F87" s="11">
        <v>35</v>
      </c>
    </row>
    <row r="88" spans="3:6" x14ac:dyDescent="0.25">
      <c r="C88" s="184" t="s">
        <v>148</v>
      </c>
      <c r="D88" s="12" t="s">
        <v>17</v>
      </c>
      <c r="E88" s="219" t="s">
        <v>380</v>
      </c>
      <c r="F88" s="11">
        <v>35</v>
      </c>
    </row>
    <row r="89" spans="3:6" x14ac:dyDescent="0.25">
      <c r="C89" s="184" t="s">
        <v>148</v>
      </c>
      <c r="D89" s="12" t="s">
        <v>17</v>
      </c>
      <c r="E89" s="219" t="s">
        <v>381</v>
      </c>
      <c r="F89" s="11">
        <v>35</v>
      </c>
    </row>
    <row r="90" spans="3:6" x14ac:dyDescent="0.25">
      <c r="C90" s="184" t="s">
        <v>180</v>
      </c>
      <c r="D90" s="84" t="s">
        <v>182</v>
      </c>
      <c r="E90" s="27" t="s">
        <v>378</v>
      </c>
      <c r="F90" s="11">
        <v>103</v>
      </c>
    </row>
    <row r="91" spans="3:6" x14ac:dyDescent="0.25">
      <c r="C91" s="187" t="s">
        <v>185</v>
      </c>
      <c r="D91" s="84" t="s">
        <v>186</v>
      </c>
      <c r="E91" s="219" t="s">
        <v>22</v>
      </c>
      <c r="F91" s="11">
        <v>95</v>
      </c>
    </row>
    <row r="92" spans="3:6" x14ac:dyDescent="0.25">
      <c r="C92" s="187" t="s">
        <v>185</v>
      </c>
      <c r="D92" s="84" t="s">
        <v>186</v>
      </c>
      <c r="E92" s="219" t="s">
        <v>16</v>
      </c>
      <c r="F92" s="11">
        <v>95</v>
      </c>
    </row>
    <row r="93" spans="3:6" x14ac:dyDescent="0.25">
      <c r="C93" s="187" t="s">
        <v>185</v>
      </c>
      <c r="D93" s="84" t="s">
        <v>186</v>
      </c>
      <c r="E93" s="219" t="s">
        <v>21</v>
      </c>
      <c r="F93" s="11">
        <v>95</v>
      </c>
    </row>
    <row r="94" spans="3:6" x14ac:dyDescent="0.25">
      <c r="C94" s="187" t="s">
        <v>185</v>
      </c>
      <c r="D94" s="84" t="s">
        <v>186</v>
      </c>
      <c r="E94" s="219" t="s">
        <v>31</v>
      </c>
      <c r="F94" s="11">
        <v>95</v>
      </c>
    </row>
    <row r="95" spans="3:6" x14ac:dyDescent="0.25">
      <c r="C95" s="187" t="s">
        <v>185</v>
      </c>
      <c r="D95" s="84" t="s">
        <v>186</v>
      </c>
      <c r="E95" s="219" t="s">
        <v>23</v>
      </c>
      <c r="F95" s="11">
        <v>95</v>
      </c>
    </row>
    <row r="96" spans="3:6" x14ac:dyDescent="0.25">
      <c r="C96" s="187" t="s">
        <v>185</v>
      </c>
      <c r="D96" s="84" t="s">
        <v>186</v>
      </c>
      <c r="E96" s="219" t="s">
        <v>378</v>
      </c>
      <c r="F96" s="11">
        <v>95</v>
      </c>
    </row>
    <row r="97" spans="3:6" x14ac:dyDescent="0.25">
      <c r="C97" s="187" t="s">
        <v>185</v>
      </c>
      <c r="D97" s="84" t="s">
        <v>186</v>
      </c>
      <c r="E97" s="219" t="s">
        <v>379</v>
      </c>
      <c r="F97" s="11">
        <v>95</v>
      </c>
    </row>
    <row r="98" spans="3:6" x14ac:dyDescent="0.25">
      <c r="C98" s="187" t="s">
        <v>185</v>
      </c>
      <c r="D98" s="84" t="s">
        <v>186</v>
      </c>
      <c r="E98" s="219" t="s">
        <v>382</v>
      </c>
      <c r="F98" s="11">
        <v>95</v>
      </c>
    </row>
    <row r="99" spans="3:6" x14ac:dyDescent="0.25">
      <c r="C99" s="187" t="s">
        <v>185</v>
      </c>
      <c r="D99" s="84" t="s">
        <v>186</v>
      </c>
      <c r="E99" s="219" t="s">
        <v>380</v>
      </c>
      <c r="F99" s="11">
        <v>95</v>
      </c>
    </row>
    <row r="100" spans="3:6" x14ac:dyDescent="0.25">
      <c r="C100" s="187" t="s">
        <v>185</v>
      </c>
      <c r="D100" s="84" t="s">
        <v>186</v>
      </c>
      <c r="E100" s="219" t="s">
        <v>381</v>
      </c>
      <c r="F100" s="11">
        <v>95</v>
      </c>
    </row>
    <row r="101" spans="3:6" x14ac:dyDescent="0.25">
      <c r="C101" s="190" t="s">
        <v>240</v>
      </c>
      <c r="D101" s="84" t="s">
        <v>243</v>
      </c>
      <c r="E101" s="219" t="s">
        <v>22</v>
      </c>
      <c r="F101" s="11">
        <v>65</v>
      </c>
    </row>
    <row r="102" spans="3:6" x14ac:dyDescent="0.25">
      <c r="C102" s="190" t="s">
        <v>240</v>
      </c>
      <c r="D102" s="84" t="s">
        <v>243</v>
      </c>
      <c r="E102" s="219" t="s">
        <v>16</v>
      </c>
      <c r="F102" s="11">
        <v>65</v>
      </c>
    </row>
    <row r="103" spans="3:6" x14ac:dyDescent="0.25">
      <c r="C103" s="190" t="s">
        <v>240</v>
      </c>
      <c r="D103" s="84" t="s">
        <v>243</v>
      </c>
      <c r="E103" s="219" t="s">
        <v>21</v>
      </c>
      <c r="F103" s="11">
        <v>65</v>
      </c>
    </row>
    <row r="104" spans="3:6" x14ac:dyDescent="0.25">
      <c r="C104" s="190" t="s">
        <v>240</v>
      </c>
      <c r="D104" s="84" t="s">
        <v>243</v>
      </c>
      <c r="E104" s="219" t="s">
        <v>31</v>
      </c>
      <c r="F104" s="11">
        <v>65</v>
      </c>
    </row>
    <row r="105" spans="3:6" x14ac:dyDescent="0.25">
      <c r="C105" s="190" t="s">
        <v>240</v>
      </c>
      <c r="D105" s="84" t="s">
        <v>243</v>
      </c>
      <c r="E105" s="219" t="s">
        <v>23</v>
      </c>
      <c r="F105" s="11">
        <v>65</v>
      </c>
    </row>
    <row r="106" spans="3:6" x14ac:dyDescent="0.25">
      <c r="C106" s="190" t="s">
        <v>240</v>
      </c>
      <c r="D106" s="84" t="s">
        <v>243</v>
      </c>
      <c r="E106" s="219" t="s">
        <v>378</v>
      </c>
      <c r="F106" s="11">
        <v>65</v>
      </c>
    </row>
    <row r="107" spans="3:6" x14ac:dyDescent="0.25">
      <c r="C107" s="190" t="s">
        <v>240</v>
      </c>
      <c r="D107" s="84" t="s">
        <v>243</v>
      </c>
      <c r="E107" s="219" t="s">
        <v>379</v>
      </c>
      <c r="F107" s="11">
        <v>65</v>
      </c>
    </row>
    <row r="108" spans="3:6" x14ac:dyDescent="0.25">
      <c r="C108" s="190" t="s">
        <v>240</v>
      </c>
      <c r="D108" s="84" t="s">
        <v>243</v>
      </c>
      <c r="E108" s="219" t="s">
        <v>382</v>
      </c>
      <c r="F108" s="11">
        <v>65</v>
      </c>
    </row>
    <row r="109" spans="3:6" x14ac:dyDescent="0.25">
      <c r="C109" s="190" t="s">
        <v>240</v>
      </c>
      <c r="D109" s="84" t="s">
        <v>243</v>
      </c>
      <c r="E109" s="219" t="s">
        <v>380</v>
      </c>
      <c r="F109" s="11">
        <v>65</v>
      </c>
    </row>
    <row r="110" spans="3:6" x14ac:dyDescent="0.25">
      <c r="C110" s="190" t="s">
        <v>240</v>
      </c>
      <c r="D110" s="84" t="s">
        <v>243</v>
      </c>
      <c r="E110" s="219" t="s">
        <v>381</v>
      </c>
      <c r="F110" s="11">
        <v>65</v>
      </c>
    </row>
    <row r="111" spans="3:6" x14ac:dyDescent="0.25">
      <c r="C111" s="190" t="s">
        <v>271</v>
      </c>
      <c r="D111" s="84" t="s">
        <v>1024</v>
      </c>
      <c r="E111" s="219" t="s">
        <v>22</v>
      </c>
      <c r="F111" s="11">
        <v>35</v>
      </c>
    </row>
    <row r="112" spans="3:6" x14ac:dyDescent="0.25">
      <c r="C112" s="190" t="s">
        <v>271</v>
      </c>
      <c r="D112" s="84" t="s">
        <v>1024</v>
      </c>
      <c r="E112" s="219" t="s">
        <v>16</v>
      </c>
      <c r="F112" s="11">
        <v>35</v>
      </c>
    </row>
    <row r="113" spans="3:6" x14ac:dyDescent="0.25">
      <c r="C113" s="190" t="s">
        <v>271</v>
      </c>
      <c r="D113" s="84" t="s">
        <v>1024</v>
      </c>
      <c r="E113" s="219" t="s">
        <v>21</v>
      </c>
      <c r="F113" s="11">
        <v>35</v>
      </c>
    </row>
    <row r="114" spans="3:6" x14ac:dyDescent="0.25">
      <c r="C114" s="190" t="s">
        <v>271</v>
      </c>
      <c r="D114" s="84" t="s">
        <v>1024</v>
      </c>
      <c r="E114" s="219" t="s">
        <v>31</v>
      </c>
      <c r="F114" s="11">
        <v>35</v>
      </c>
    </row>
    <row r="115" spans="3:6" x14ac:dyDescent="0.25">
      <c r="C115" s="190" t="s">
        <v>271</v>
      </c>
      <c r="D115" s="84" t="s">
        <v>1024</v>
      </c>
      <c r="E115" s="219" t="s">
        <v>23</v>
      </c>
      <c r="F115" s="11">
        <v>35</v>
      </c>
    </row>
    <row r="116" spans="3:6" x14ac:dyDescent="0.25">
      <c r="C116" s="190" t="s">
        <v>271</v>
      </c>
      <c r="D116" s="84" t="s">
        <v>1024</v>
      </c>
      <c r="E116" s="219" t="s">
        <v>378</v>
      </c>
      <c r="F116" s="11">
        <v>35</v>
      </c>
    </row>
    <row r="117" spans="3:6" x14ac:dyDescent="0.25">
      <c r="C117" s="190" t="s">
        <v>271</v>
      </c>
      <c r="D117" s="84" t="s">
        <v>1024</v>
      </c>
      <c r="E117" s="219" t="s">
        <v>379</v>
      </c>
      <c r="F117" s="11">
        <v>35</v>
      </c>
    </row>
    <row r="118" spans="3:6" x14ac:dyDescent="0.25">
      <c r="C118" s="190" t="s">
        <v>271</v>
      </c>
      <c r="D118" s="84" t="s">
        <v>1024</v>
      </c>
      <c r="E118" s="219" t="s">
        <v>382</v>
      </c>
      <c r="F118" s="11">
        <v>35</v>
      </c>
    </row>
    <row r="119" spans="3:6" x14ac:dyDescent="0.25">
      <c r="C119" s="190" t="s">
        <v>271</v>
      </c>
      <c r="D119" s="84" t="s">
        <v>1024</v>
      </c>
      <c r="E119" s="219" t="s">
        <v>380</v>
      </c>
      <c r="F119" s="11">
        <v>35</v>
      </c>
    </row>
    <row r="120" spans="3:6" x14ac:dyDescent="0.25">
      <c r="C120" s="190" t="s">
        <v>271</v>
      </c>
      <c r="D120" s="84" t="s">
        <v>1024</v>
      </c>
      <c r="E120" s="219" t="s">
        <v>381</v>
      </c>
      <c r="F120" s="11">
        <v>35</v>
      </c>
    </row>
    <row r="121" spans="3:6" x14ac:dyDescent="0.25">
      <c r="C121" s="187" t="s">
        <v>280</v>
      </c>
      <c r="D121" s="84" t="s">
        <v>284</v>
      </c>
      <c r="E121" s="219" t="s">
        <v>22</v>
      </c>
      <c r="F121" s="11">
        <v>19</v>
      </c>
    </row>
    <row r="122" spans="3:6" x14ac:dyDescent="0.25">
      <c r="C122" s="187" t="s">
        <v>280</v>
      </c>
      <c r="D122" s="84" t="s">
        <v>284</v>
      </c>
      <c r="E122" s="219" t="s">
        <v>16</v>
      </c>
      <c r="F122" s="11">
        <v>19</v>
      </c>
    </row>
    <row r="123" spans="3:6" x14ac:dyDescent="0.25">
      <c r="C123" s="187" t="s">
        <v>280</v>
      </c>
      <c r="D123" s="84" t="s">
        <v>284</v>
      </c>
      <c r="E123" s="219" t="s">
        <v>21</v>
      </c>
      <c r="F123" s="11">
        <v>19</v>
      </c>
    </row>
    <row r="124" spans="3:6" x14ac:dyDescent="0.25">
      <c r="C124" s="187" t="s">
        <v>280</v>
      </c>
      <c r="D124" s="84" t="s">
        <v>284</v>
      </c>
      <c r="E124" s="219" t="s">
        <v>31</v>
      </c>
      <c r="F124" s="11">
        <v>19</v>
      </c>
    </row>
    <row r="125" spans="3:6" x14ac:dyDescent="0.25">
      <c r="C125" s="187" t="s">
        <v>280</v>
      </c>
      <c r="D125" s="84" t="s">
        <v>284</v>
      </c>
      <c r="E125" s="219" t="s">
        <v>23</v>
      </c>
      <c r="F125" s="11">
        <v>19</v>
      </c>
    </row>
    <row r="126" spans="3:6" x14ac:dyDescent="0.25">
      <c r="C126" s="187" t="s">
        <v>280</v>
      </c>
      <c r="D126" s="84" t="s">
        <v>284</v>
      </c>
      <c r="E126" s="219" t="s">
        <v>378</v>
      </c>
      <c r="F126" s="11">
        <v>19</v>
      </c>
    </row>
    <row r="127" spans="3:6" x14ac:dyDescent="0.25">
      <c r="C127" s="187" t="s">
        <v>280</v>
      </c>
      <c r="D127" s="84" t="s">
        <v>284</v>
      </c>
      <c r="E127" s="219" t="s">
        <v>379</v>
      </c>
      <c r="F127" s="11">
        <v>19</v>
      </c>
    </row>
    <row r="128" spans="3:6" x14ac:dyDescent="0.25">
      <c r="C128" s="187" t="s">
        <v>280</v>
      </c>
      <c r="D128" s="84" t="s">
        <v>284</v>
      </c>
      <c r="E128" s="219" t="s">
        <v>382</v>
      </c>
      <c r="F128" s="11">
        <v>19</v>
      </c>
    </row>
    <row r="129" spans="3:6" x14ac:dyDescent="0.25">
      <c r="C129" s="187" t="s">
        <v>280</v>
      </c>
      <c r="D129" s="84" t="s">
        <v>284</v>
      </c>
      <c r="E129" s="219" t="s">
        <v>380</v>
      </c>
      <c r="F129" s="11">
        <v>19</v>
      </c>
    </row>
    <row r="130" spans="3:6" x14ac:dyDescent="0.25">
      <c r="C130" s="187" t="s">
        <v>280</v>
      </c>
      <c r="D130" s="84" t="s">
        <v>284</v>
      </c>
      <c r="E130" s="219" t="s">
        <v>381</v>
      </c>
      <c r="F130" s="11">
        <v>19</v>
      </c>
    </row>
    <row r="131" spans="3:6" x14ac:dyDescent="0.25">
      <c r="C131" s="187" t="s">
        <v>285</v>
      </c>
      <c r="D131" s="84" t="s">
        <v>288</v>
      </c>
      <c r="E131" s="219" t="s">
        <v>22</v>
      </c>
      <c r="F131" s="11">
        <v>95</v>
      </c>
    </row>
    <row r="132" spans="3:6" x14ac:dyDescent="0.25">
      <c r="C132" s="187" t="s">
        <v>285</v>
      </c>
      <c r="D132" s="84" t="s">
        <v>288</v>
      </c>
      <c r="E132" s="219" t="s">
        <v>16</v>
      </c>
      <c r="F132" s="11">
        <v>95</v>
      </c>
    </row>
    <row r="133" spans="3:6" x14ac:dyDescent="0.25">
      <c r="C133" s="187" t="s">
        <v>285</v>
      </c>
      <c r="D133" s="84" t="s">
        <v>288</v>
      </c>
      <c r="E133" s="219" t="s">
        <v>21</v>
      </c>
      <c r="F133" s="11">
        <v>95</v>
      </c>
    </row>
    <row r="134" spans="3:6" x14ac:dyDescent="0.25">
      <c r="C134" s="187" t="s">
        <v>285</v>
      </c>
      <c r="D134" s="84" t="s">
        <v>288</v>
      </c>
      <c r="E134" s="219" t="s">
        <v>31</v>
      </c>
      <c r="F134" s="11">
        <v>125</v>
      </c>
    </row>
    <row r="135" spans="3:6" x14ac:dyDescent="0.25">
      <c r="C135" s="187" t="s">
        <v>285</v>
      </c>
      <c r="D135" s="84" t="s">
        <v>288</v>
      </c>
      <c r="E135" s="219" t="s">
        <v>23</v>
      </c>
      <c r="F135" s="11">
        <v>95</v>
      </c>
    </row>
    <row r="136" spans="3:6" x14ac:dyDescent="0.25">
      <c r="C136" s="187" t="s">
        <v>285</v>
      </c>
      <c r="D136" s="84" t="s">
        <v>288</v>
      </c>
      <c r="E136" s="219" t="s">
        <v>378</v>
      </c>
      <c r="F136" s="11">
        <v>95</v>
      </c>
    </row>
    <row r="137" spans="3:6" x14ac:dyDescent="0.25">
      <c r="C137" s="187" t="s">
        <v>285</v>
      </c>
      <c r="D137" s="84" t="s">
        <v>288</v>
      </c>
      <c r="E137" s="219" t="s">
        <v>379</v>
      </c>
      <c r="F137" s="11">
        <v>95</v>
      </c>
    </row>
    <row r="138" spans="3:6" x14ac:dyDescent="0.25">
      <c r="C138" s="187" t="s">
        <v>285</v>
      </c>
      <c r="D138" s="84" t="s">
        <v>288</v>
      </c>
      <c r="E138" s="219" t="s">
        <v>382</v>
      </c>
      <c r="F138" s="11">
        <v>95</v>
      </c>
    </row>
    <row r="139" spans="3:6" x14ac:dyDescent="0.25">
      <c r="C139" s="187" t="s">
        <v>285</v>
      </c>
      <c r="D139" s="84" t="s">
        <v>288</v>
      </c>
      <c r="E139" s="219" t="s">
        <v>380</v>
      </c>
      <c r="F139" s="11">
        <v>125</v>
      </c>
    </row>
    <row r="140" spans="3:6" x14ac:dyDescent="0.25">
      <c r="C140" s="187" t="s">
        <v>285</v>
      </c>
      <c r="D140" s="84" t="s">
        <v>288</v>
      </c>
      <c r="E140" s="219" t="s">
        <v>381</v>
      </c>
      <c r="F140" s="11">
        <v>95</v>
      </c>
    </row>
    <row r="141" spans="3:6" x14ac:dyDescent="0.25">
      <c r="C141" s="184" t="s">
        <v>292</v>
      </c>
      <c r="D141" s="84" t="s">
        <v>293</v>
      </c>
      <c r="E141" s="219" t="s">
        <v>22</v>
      </c>
      <c r="F141" s="11">
        <v>65</v>
      </c>
    </row>
    <row r="142" spans="3:6" x14ac:dyDescent="0.25">
      <c r="C142" s="184" t="s">
        <v>292</v>
      </c>
      <c r="D142" s="84" t="s">
        <v>293</v>
      </c>
      <c r="E142" s="219" t="s">
        <v>16</v>
      </c>
      <c r="F142" s="11">
        <v>65</v>
      </c>
    </row>
    <row r="143" spans="3:6" x14ac:dyDescent="0.25">
      <c r="C143" s="184" t="s">
        <v>292</v>
      </c>
      <c r="D143" s="84" t="s">
        <v>293</v>
      </c>
      <c r="E143" s="219" t="s">
        <v>21</v>
      </c>
      <c r="F143" s="11">
        <v>65</v>
      </c>
    </row>
    <row r="144" spans="3:6" x14ac:dyDescent="0.25">
      <c r="C144" s="184" t="s">
        <v>292</v>
      </c>
      <c r="D144" s="84" t="s">
        <v>293</v>
      </c>
      <c r="E144" s="219" t="s">
        <v>31</v>
      </c>
      <c r="F144" s="11">
        <v>65</v>
      </c>
    </row>
    <row r="145" spans="3:6" x14ac:dyDescent="0.25">
      <c r="C145" s="184" t="s">
        <v>292</v>
      </c>
      <c r="D145" s="84" t="s">
        <v>293</v>
      </c>
      <c r="E145" s="219" t="s">
        <v>23</v>
      </c>
      <c r="F145" s="11">
        <v>65</v>
      </c>
    </row>
    <row r="146" spans="3:6" x14ac:dyDescent="0.25">
      <c r="C146" s="184" t="s">
        <v>292</v>
      </c>
      <c r="D146" s="84" t="s">
        <v>293</v>
      </c>
      <c r="E146" s="219" t="s">
        <v>378</v>
      </c>
      <c r="F146" s="11">
        <v>65</v>
      </c>
    </row>
    <row r="147" spans="3:6" x14ac:dyDescent="0.25">
      <c r="C147" s="184" t="s">
        <v>292</v>
      </c>
      <c r="D147" s="84" t="s">
        <v>293</v>
      </c>
      <c r="E147" s="219" t="s">
        <v>379</v>
      </c>
      <c r="F147" s="11">
        <v>65</v>
      </c>
    </row>
    <row r="148" spans="3:6" x14ac:dyDescent="0.25">
      <c r="C148" s="184" t="s">
        <v>292</v>
      </c>
      <c r="D148" s="84" t="s">
        <v>293</v>
      </c>
      <c r="E148" s="219" t="s">
        <v>382</v>
      </c>
      <c r="F148" s="11">
        <v>65</v>
      </c>
    </row>
    <row r="149" spans="3:6" x14ac:dyDescent="0.25">
      <c r="C149" s="184" t="s">
        <v>292</v>
      </c>
      <c r="D149" s="84" t="s">
        <v>293</v>
      </c>
      <c r="E149" s="219" t="s">
        <v>380</v>
      </c>
      <c r="F149" s="11">
        <v>65</v>
      </c>
    </row>
    <row r="150" spans="3:6" x14ac:dyDescent="0.25">
      <c r="C150" s="184" t="s">
        <v>292</v>
      </c>
      <c r="D150" s="84" t="s">
        <v>293</v>
      </c>
      <c r="E150" s="219" t="s">
        <v>381</v>
      </c>
      <c r="F150" s="11">
        <v>65</v>
      </c>
    </row>
    <row r="151" spans="3:6" x14ac:dyDescent="0.25">
      <c r="C151" s="184" t="s">
        <v>310</v>
      </c>
      <c r="D151" s="84" t="s">
        <v>312</v>
      </c>
      <c r="E151" s="219" t="s">
        <v>22</v>
      </c>
      <c r="F151" s="11">
        <v>65</v>
      </c>
    </row>
    <row r="152" spans="3:6" x14ac:dyDescent="0.25">
      <c r="C152" s="184" t="s">
        <v>310</v>
      </c>
      <c r="D152" s="84" t="s">
        <v>312</v>
      </c>
      <c r="E152" s="219" t="s">
        <v>16</v>
      </c>
      <c r="F152" s="11">
        <v>65</v>
      </c>
    </row>
    <row r="153" spans="3:6" x14ac:dyDescent="0.25">
      <c r="C153" s="184" t="s">
        <v>310</v>
      </c>
      <c r="D153" s="84" t="s">
        <v>312</v>
      </c>
      <c r="E153" s="219" t="s">
        <v>21</v>
      </c>
      <c r="F153" s="11">
        <v>65</v>
      </c>
    </row>
    <row r="154" spans="3:6" x14ac:dyDescent="0.25">
      <c r="C154" s="184" t="s">
        <v>310</v>
      </c>
      <c r="D154" s="84" t="s">
        <v>312</v>
      </c>
      <c r="E154" s="219" t="s">
        <v>31</v>
      </c>
      <c r="F154" s="11">
        <v>65</v>
      </c>
    </row>
    <row r="155" spans="3:6" x14ac:dyDescent="0.25">
      <c r="C155" s="184" t="s">
        <v>310</v>
      </c>
      <c r="D155" s="84" t="s">
        <v>312</v>
      </c>
      <c r="E155" s="219" t="s">
        <v>23</v>
      </c>
      <c r="F155" s="11">
        <v>65</v>
      </c>
    </row>
    <row r="156" spans="3:6" x14ac:dyDescent="0.25">
      <c r="C156" s="184" t="s">
        <v>310</v>
      </c>
      <c r="D156" s="84" t="s">
        <v>312</v>
      </c>
      <c r="E156" s="219" t="s">
        <v>378</v>
      </c>
      <c r="F156" s="11">
        <v>65</v>
      </c>
    </row>
    <row r="157" spans="3:6" x14ac:dyDescent="0.25">
      <c r="C157" s="184" t="s">
        <v>310</v>
      </c>
      <c r="D157" s="84" t="s">
        <v>312</v>
      </c>
      <c r="E157" s="219" t="s">
        <v>379</v>
      </c>
      <c r="F157" s="11">
        <v>65</v>
      </c>
    </row>
    <row r="158" spans="3:6" x14ac:dyDescent="0.25">
      <c r="C158" s="184" t="s">
        <v>310</v>
      </c>
      <c r="D158" s="84" t="s">
        <v>312</v>
      </c>
      <c r="E158" s="219" t="s">
        <v>382</v>
      </c>
      <c r="F158" s="11">
        <v>65</v>
      </c>
    </row>
    <row r="159" spans="3:6" x14ac:dyDescent="0.25">
      <c r="C159" s="184" t="s">
        <v>310</v>
      </c>
      <c r="D159" s="84" t="s">
        <v>312</v>
      </c>
      <c r="E159" s="219" t="s">
        <v>380</v>
      </c>
      <c r="F159" s="11">
        <v>65</v>
      </c>
    </row>
    <row r="160" spans="3:6" x14ac:dyDescent="0.25">
      <c r="C160" s="184" t="s">
        <v>310</v>
      </c>
      <c r="D160" s="84" t="s">
        <v>312</v>
      </c>
      <c r="E160" s="219" t="s">
        <v>381</v>
      </c>
      <c r="F160" s="11">
        <v>65</v>
      </c>
    </row>
    <row r="161" spans="3:6" x14ac:dyDescent="0.25">
      <c r="C161" s="184" t="s">
        <v>324</v>
      </c>
      <c r="D161" s="84" t="s">
        <v>492</v>
      </c>
      <c r="E161" s="219" t="s">
        <v>22</v>
      </c>
      <c r="F161" s="11">
        <f>68+5</f>
        <v>73</v>
      </c>
    </row>
    <row r="162" spans="3:6" x14ac:dyDescent="0.25">
      <c r="C162" s="184" t="s">
        <v>324</v>
      </c>
      <c r="D162" s="84" t="s">
        <v>492</v>
      </c>
      <c r="E162" s="219" t="s">
        <v>16</v>
      </c>
      <c r="F162" s="11">
        <f t="shared" ref="F162:F170" si="3">68+5</f>
        <v>73</v>
      </c>
    </row>
    <row r="163" spans="3:6" x14ac:dyDescent="0.25">
      <c r="C163" s="184" t="s">
        <v>324</v>
      </c>
      <c r="D163" s="84" t="s">
        <v>492</v>
      </c>
      <c r="E163" s="219" t="s">
        <v>21</v>
      </c>
      <c r="F163" s="11">
        <f t="shared" si="3"/>
        <v>73</v>
      </c>
    </row>
    <row r="164" spans="3:6" x14ac:dyDescent="0.25">
      <c r="C164" s="184" t="s">
        <v>324</v>
      </c>
      <c r="D164" s="84" t="s">
        <v>492</v>
      </c>
      <c r="E164" s="219" t="s">
        <v>31</v>
      </c>
      <c r="F164" s="11">
        <f t="shared" si="3"/>
        <v>73</v>
      </c>
    </row>
    <row r="165" spans="3:6" x14ac:dyDescent="0.25">
      <c r="C165" s="184" t="s">
        <v>324</v>
      </c>
      <c r="D165" s="84" t="s">
        <v>492</v>
      </c>
      <c r="E165" s="219" t="s">
        <v>23</v>
      </c>
      <c r="F165" s="11">
        <f t="shared" si="3"/>
        <v>73</v>
      </c>
    </row>
    <row r="166" spans="3:6" x14ac:dyDescent="0.25">
      <c r="C166" s="184" t="s">
        <v>324</v>
      </c>
      <c r="D166" s="84" t="s">
        <v>492</v>
      </c>
      <c r="E166" s="219" t="s">
        <v>378</v>
      </c>
      <c r="F166" s="11">
        <f t="shared" si="3"/>
        <v>73</v>
      </c>
    </row>
    <row r="167" spans="3:6" x14ac:dyDescent="0.25">
      <c r="C167" s="184" t="s">
        <v>324</v>
      </c>
      <c r="D167" s="84" t="s">
        <v>492</v>
      </c>
      <c r="E167" s="219" t="s">
        <v>379</v>
      </c>
      <c r="F167" s="11">
        <f t="shared" si="3"/>
        <v>73</v>
      </c>
    </row>
    <row r="168" spans="3:6" x14ac:dyDescent="0.25">
      <c r="C168" s="184" t="s">
        <v>324</v>
      </c>
      <c r="D168" s="84" t="s">
        <v>492</v>
      </c>
      <c r="E168" s="219" t="s">
        <v>382</v>
      </c>
      <c r="F168" s="11">
        <f t="shared" si="3"/>
        <v>73</v>
      </c>
    </row>
    <row r="169" spans="3:6" x14ac:dyDescent="0.25">
      <c r="C169" s="184" t="s">
        <v>324</v>
      </c>
      <c r="D169" s="84" t="s">
        <v>492</v>
      </c>
      <c r="E169" s="219" t="s">
        <v>380</v>
      </c>
      <c r="F169" s="11">
        <f t="shared" si="3"/>
        <v>73</v>
      </c>
    </row>
    <row r="170" spans="3:6" x14ac:dyDescent="0.25">
      <c r="C170" s="184" t="s">
        <v>324</v>
      </c>
      <c r="D170" s="84" t="s">
        <v>492</v>
      </c>
      <c r="E170" s="219" t="s">
        <v>381</v>
      </c>
      <c r="F170" s="11">
        <f t="shared" si="3"/>
        <v>73</v>
      </c>
    </row>
    <row r="171" spans="3:6" x14ac:dyDescent="0.25">
      <c r="C171" s="224" t="s">
        <v>277</v>
      </c>
      <c r="D171" s="84" t="s">
        <v>278</v>
      </c>
      <c r="E171" s="27" t="s">
        <v>379</v>
      </c>
      <c r="F171" s="225">
        <v>45</v>
      </c>
    </row>
    <row r="172" spans="3:6" x14ac:dyDescent="0.25">
      <c r="C172" s="224" t="s">
        <v>277</v>
      </c>
      <c r="D172" s="84" t="s">
        <v>278</v>
      </c>
      <c r="E172" s="27" t="s">
        <v>380</v>
      </c>
      <c r="F172" s="225">
        <v>45</v>
      </c>
    </row>
    <row r="173" spans="3:6" x14ac:dyDescent="0.25">
      <c r="C173" s="224" t="s">
        <v>277</v>
      </c>
      <c r="D173" s="84" t="s">
        <v>278</v>
      </c>
      <c r="E173" s="27" t="s">
        <v>381</v>
      </c>
      <c r="F173" s="225">
        <v>45</v>
      </c>
    </row>
    <row r="174" spans="3:6" x14ac:dyDescent="0.25">
      <c r="C174" s="224" t="s">
        <v>277</v>
      </c>
      <c r="D174" s="84" t="s">
        <v>278</v>
      </c>
      <c r="E174" s="27" t="s">
        <v>378</v>
      </c>
      <c r="F174" s="225">
        <v>45</v>
      </c>
    </row>
    <row r="175" spans="3:6" x14ac:dyDescent="0.25">
      <c r="C175" s="224" t="s">
        <v>277</v>
      </c>
      <c r="D175" s="84" t="s">
        <v>278</v>
      </c>
      <c r="E175" s="219" t="s">
        <v>22</v>
      </c>
      <c r="F175" s="225">
        <v>45</v>
      </c>
    </row>
    <row r="176" spans="3:6" x14ac:dyDescent="0.25">
      <c r="C176" s="224" t="s">
        <v>277</v>
      </c>
      <c r="D176" s="84" t="s">
        <v>278</v>
      </c>
      <c r="E176" s="219" t="s">
        <v>16</v>
      </c>
      <c r="F176" s="225">
        <v>45</v>
      </c>
    </row>
    <row r="177" spans="3:6" x14ac:dyDescent="0.25">
      <c r="C177" s="224" t="s">
        <v>277</v>
      </c>
      <c r="D177" s="84" t="s">
        <v>278</v>
      </c>
      <c r="E177" s="219" t="s">
        <v>21</v>
      </c>
      <c r="F177" s="225">
        <v>45</v>
      </c>
    </row>
    <row r="178" spans="3:6" x14ac:dyDescent="0.25">
      <c r="C178" s="224" t="s">
        <v>277</v>
      </c>
      <c r="D178" s="84" t="s">
        <v>278</v>
      </c>
      <c r="E178" s="219" t="s">
        <v>31</v>
      </c>
      <c r="F178" s="225">
        <v>45</v>
      </c>
    </row>
    <row r="179" spans="3:6" x14ac:dyDescent="0.25">
      <c r="C179" s="224" t="s">
        <v>277</v>
      </c>
      <c r="D179" s="84" t="s">
        <v>278</v>
      </c>
      <c r="E179" s="226" t="s">
        <v>23</v>
      </c>
      <c r="F179" s="225">
        <v>45</v>
      </c>
    </row>
    <row r="180" spans="3:6" x14ac:dyDescent="0.25">
      <c r="C180" s="224" t="s">
        <v>315</v>
      </c>
      <c r="D180" s="205" t="s">
        <v>939</v>
      </c>
      <c r="E180" s="219" t="s">
        <v>22</v>
      </c>
      <c r="F180" s="224">
        <v>35</v>
      </c>
    </row>
    <row r="181" spans="3:6" x14ac:dyDescent="0.25">
      <c r="C181" s="224" t="s">
        <v>315</v>
      </c>
      <c r="D181" s="205" t="s">
        <v>939</v>
      </c>
      <c r="E181" s="219" t="s">
        <v>16</v>
      </c>
      <c r="F181" s="223">
        <v>35</v>
      </c>
    </row>
    <row r="182" spans="3:6" x14ac:dyDescent="0.25">
      <c r="C182" s="224" t="s">
        <v>315</v>
      </c>
      <c r="D182" s="205" t="s">
        <v>939</v>
      </c>
      <c r="E182" s="219" t="s">
        <v>21</v>
      </c>
      <c r="F182" s="223">
        <v>35</v>
      </c>
    </row>
    <row r="183" spans="3:6" x14ac:dyDescent="0.25">
      <c r="C183" s="224" t="s">
        <v>315</v>
      </c>
      <c r="D183" s="205" t="s">
        <v>939</v>
      </c>
      <c r="E183" s="219" t="s">
        <v>31</v>
      </c>
      <c r="F183" s="223">
        <v>35</v>
      </c>
    </row>
    <row r="184" spans="3:6" x14ac:dyDescent="0.25">
      <c r="C184" s="224" t="s">
        <v>315</v>
      </c>
      <c r="D184" s="205" t="s">
        <v>939</v>
      </c>
      <c r="E184" s="219" t="s">
        <v>23</v>
      </c>
      <c r="F184" s="223">
        <v>35</v>
      </c>
    </row>
    <row r="185" spans="3:6" x14ac:dyDescent="0.25">
      <c r="C185" s="224" t="s">
        <v>315</v>
      </c>
      <c r="D185" s="205" t="s">
        <v>939</v>
      </c>
      <c r="E185" s="219" t="s">
        <v>378</v>
      </c>
      <c r="F185" s="223">
        <v>35</v>
      </c>
    </row>
    <row r="186" spans="3:6" x14ac:dyDescent="0.25">
      <c r="C186" s="224" t="s">
        <v>315</v>
      </c>
      <c r="D186" s="205" t="s">
        <v>939</v>
      </c>
      <c r="E186" s="219" t="s">
        <v>379</v>
      </c>
      <c r="F186" s="223">
        <v>35</v>
      </c>
    </row>
    <row r="187" spans="3:6" x14ac:dyDescent="0.25">
      <c r="C187" s="224" t="s">
        <v>315</v>
      </c>
      <c r="D187" s="205" t="s">
        <v>939</v>
      </c>
      <c r="E187" s="219" t="s">
        <v>382</v>
      </c>
      <c r="F187" s="223">
        <v>35</v>
      </c>
    </row>
    <row r="188" spans="3:6" x14ac:dyDescent="0.25">
      <c r="C188" s="224" t="s">
        <v>315</v>
      </c>
      <c r="D188" s="205" t="s">
        <v>939</v>
      </c>
      <c r="E188" s="219" t="s">
        <v>380</v>
      </c>
      <c r="F188" s="223">
        <v>35</v>
      </c>
    </row>
    <row r="189" spans="3:6" x14ac:dyDescent="0.25">
      <c r="C189" s="224" t="s">
        <v>315</v>
      </c>
      <c r="D189" s="205" t="s">
        <v>939</v>
      </c>
      <c r="E189" s="219" t="s">
        <v>381</v>
      </c>
      <c r="F189" s="223">
        <v>35</v>
      </c>
    </row>
    <row r="190" spans="3:6" x14ac:dyDescent="0.25">
      <c r="C190" s="224" t="s">
        <v>145</v>
      </c>
      <c r="D190" s="205" t="s">
        <v>147</v>
      </c>
      <c r="E190" s="219" t="s">
        <v>22</v>
      </c>
      <c r="F190" s="224">
        <v>45</v>
      </c>
    </row>
    <row r="191" spans="3:6" x14ac:dyDescent="0.25">
      <c r="C191" s="224" t="s">
        <v>145</v>
      </c>
      <c r="D191" s="205" t="s">
        <v>147</v>
      </c>
      <c r="E191" s="219" t="s">
        <v>16</v>
      </c>
      <c r="F191" s="224">
        <v>45</v>
      </c>
    </row>
    <row r="192" spans="3:6" x14ac:dyDescent="0.25">
      <c r="C192" s="224" t="s">
        <v>145</v>
      </c>
      <c r="D192" s="205" t="s">
        <v>147</v>
      </c>
      <c r="E192" s="219" t="s">
        <v>21</v>
      </c>
      <c r="F192" s="224">
        <v>45</v>
      </c>
    </row>
    <row r="193" spans="3:6" x14ac:dyDescent="0.25">
      <c r="C193" s="224" t="s">
        <v>145</v>
      </c>
      <c r="D193" s="205" t="s">
        <v>147</v>
      </c>
      <c r="E193" s="219" t="s">
        <v>31</v>
      </c>
      <c r="F193" s="224">
        <v>45</v>
      </c>
    </row>
    <row r="194" spans="3:6" x14ac:dyDescent="0.25">
      <c r="C194" s="224" t="s">
        <v>145</v>
      </c>
      <c r="D194" s="205" t="s">
        <v>147</v>
      </c>
      <c r="E194" s="219" t="s">
        <v>23</v>
      </c>
      <c r="F194" s="224">
        <v>45</v>
      </c>
    </row>
    <row r="195" spans="3:6" x14ac:dyDescent="0.25">
      <c r="C195" s="224" t="s">
        <v>145</v>
      </c>
      <c r="D195" s="205" t="s">
        <v>147</v>
      </c>
      <c r="E195" s="219" t="s">
        <v>378</v>
      </c>
      <c r="F195" s="224">
        <v>45</v>
      </c>
    </row>
    <row r="196" spans="3:6" x14ac:dyDescent="0.25">
      <c r="C196" s="224" t="s">
        <v>145</v>
      </c>
      <c r="D196" s="205" t="s">
        <v>147</v>
      </c>
      <c r="E196" s="219" t="s">
        <v>379</v>
      </c>
      <c r="F196" s="224">
        <v>45</v>
      </c>
    </row>
    <row r="197" spans="3:6" x14ac:dyDescent="0.25">
      <c r="C197" s="224" t="s">
        <v>145</v>
      </c>
      <c r="D197" s="205" t="s">
        <v>147</v>
      </c>
      <c r="E197" s="219" t="s">
        <v>382</v>
      </c>
      <c r="F197" s="224">
        <v>45</v>
      </c>
    </row>
    <row r="198" spans="3:6" x14ac:dyDescent="0.25">
      <c r="C198" s="224" t="s">
        <v>145</v>
      </c>
      <c r="D198" s="205" t="s">
        <v>147</v>
      </c>
      <c r="E198" s="219" t="s">
        <v>380</v>
      </c>
      <c r="F198" s="224">
        <v>45</v>
      </c>
    </row>
    <row r="199" spans="3:6" x14ac:dyDescent="0.25">
      <c r="C199" s="224" t="s">
        <v>145</v>
      </c>
      <c r="D199" s="205" t="s">
        <v>147</v>
      </c>
      <c r="E199" s="219" t="s">
        <v>381</v>
      </c>
      <c r="F199" s="224">
        <v>45</v>
      </c>
    </row>
    <row r="200" spans="3:6" x14ac:dyDescent="0.25">
      <c r="C200" s="383" t="s">
        <v>298</v>
      </c>
      <c r="D200" s="205" t="s">
        <v>1576</v>
      </c>
      <c r="E200" s="219" t="s">
        <v>378</v>
      </c>
      <c r="F200" s="184">
        <v>45</v>
      </c>
    </row>
    <row r="201" spans="3:6" x14ac:dyDescent="0.25">
      <c r="C201" s="11" t="s">
        <v>298</v>
      </c>
      <c r="D201" s="382" t="s">
        <v>1576</v>
      </c>
      <c r="E201" s="219" t="s">
        <v>379</v>
      </c>
      <c r="F201" s="184">
        <v>45</v>
      </c>
    </row>
    <row r="202" spans="3:6" x14ac:dyDescent="0.25">
      <c r="C202" s="11" t="s">
        <v>298</v>
      </c>
      <c r="D202" s="382" t="s">
        <v>1576</v>
      </c>
      <c r="E202" s="219" t="s">
        <v>382</v>
      </c>
      <c r="F202" s="184">
        <v>45</v>
      </c>
    </row>
    <row r="203" spans="3:6" x14ac:dyDescent="0.25">
      <c r="C203" s="11" t="s">
        <v>298</v>
      </c>
      <c r="D203" s="382" t="s">
        <v>1576</v>
      </c>
      <c r="E203" s="219" t="s">
        <v>380</v>
      </c>
      <c r="F203" s="184">
        <v>45</v>
      </c>
    </row>
    <row r="204" spans="3:6" x14ac:dyDescent="0.25">
      <c r="C204" s="11" t="s">
        <v>298</v>
      </c>
      <c r="D204" s="382" t="s">
        <v>1576</v>
      </c>
      <c r="E204" s="219" t="s">
        <v>381</v>
      </c>
      <c r="F204" s="184">
        <v>45</v>
      </c>
    </row>
    <row r="205" spans="3:6" x14ac:dyDescent="0.25">
      <c r="C205" s="11" t="s">
        <v>298</v>
      </c>
      <c r="D205" s="382" t="s">
        <v>1576</v>
      </c>
      <c r="E205" s="219" t="s">
        <v>22</v>
      </c>
      <c r="F205" s="184">
        <v>45</v>
      </c>
    </row>
    <row r="206" spans="3:6" x14ac:dyDescent="0.25">
      <c r="C206" s="11" t="s">
        <v>298</v>
      </c>
      <c r="D206" s="382" t="s">
        <v>1576</v>
      </c>
      <c r="E206" s="219" t="s">
        <v>16</v>
      </c>
      <c r="F206" s="184">
        <v>45</v>
      </c>
    </row>
    <row r="207" spans="3:6" x14ac:dyDescent="0.25">
      <c r="C207" s="11" t="s">
        <v>298</v>
      </c>
      <c r="D207" s="382" t="s">
        <v>1576</v>
      </c>
      <c r="E207" s="219" t="s">
        <v>21</v>
      </c>
      <c r="F207" s="184">
        <v>45</v>
      </c>
    </row>
    <row r="208" spans="3:6" x14ac:dyDescent="0.25">
      <c r="C208" s="11" t="s">
        <v>298</v>
      </c>
      <c r="D208" s="382" t="s">
        <v>1576</v>
      </c>
      <c r="E208" s="219" t="s">
        <v>31</v>
      </c>
      <c r="F208" s="184">
        <v>45</v>
      </c>
    </row>
    <row r="209" spans="3:6" x14ac:dyDescent="0.25">
      <c r="C209" s="11" t="s">
        <v>298</v>
      </c>
      <c r="D209" s="382" t="s">
        <v>1576</v>
      </c>
      <c r="E209" s="219" t="s">
        <v>23</v>
      </c>
      <c r="F209" s="184">
        <v>45</v>
      </c>
    </row>
    <row r="210" spans="3:6" ht="33.75" x14ac:dyDescent="0.25">
      <c r="C210" s="190" t="s">
        <v>240</v>
      </c>
      <c r="D210" s="385" t="s">
        <v>1628</v>
      </c>
      <c r="E210" s="384" t="s">
        <v>22</v>
      </c>
      <c r="F210" s="184">
        <v>65</v>
      </c>
    </row>
    <row r="211" spans="3:6" x14ac:dyDescent="0.25">
      <c r="C211" s="190" t="s">
        <v>240</v>
      </c>
      <c r="D211" s="386" t="s">
        <v>1628</v>
      </c>
      <c r="E211" s="219" t="s">
        <v>378</v>
      </c>
      <c r="F211" s="184">
        <v>65</v>
      </c>
    </row>
  </sheetData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12"/>
  <sheetViews>
    <sheetView showGridLines="0" workbookViewId="0">
      <selection activeCell="D12" sqref="D12"/>
    </sheetView>
  </sheetViews>
  <sheetFormatPr defaultRowHeight="11.25" x14ac:dyDescent="0.2"/>
  <cols>
    <col min="1" max="1" width="14.1640625" customWidth="1"/>
    <col min="2" max="2" width="9.83203125" bestFit="1" customWidth="1"/>
    <col min="3" max="3" width="17.83203125" bestFit="1" customWidth="1"/>
    <col min="4" max="4" width="18.1640625" customWidth="1"/>
  </cols>
  <sheetData>
    <row r="3" spans="1:4" ht="22.5" x14ac:dyDescent="0.2">
      <c r="A3" s="24" t="s">
        <v>357</v>
      </c>
      <c r="B3" s="25" t="s">
        <v>358</v>
      </c>
      <c r="C3" s="25" t="s">
        <v>359</v>
      </c>
      <c r="D3" s="26" t="s">
        <v>360</v>
      </c>
    </row>
    <row r="4" spans="1:4" ht="12.75" x14ac:dyDescent="0.2">
      <c r="A4" s="167">
        <v>-100000</v>
      </c>
      <c r="B4" s="169">
        <v>0</v>
      </c>
      <c r="C4" s="20" t="s">
        <v>365</v>
      </c>
      <c r="D4" s="28" t="s">
        <v>365</v>
      </c>
    </row>
    <row r="5" spans="1:4" ht="12.75" x14ac:dyDescent="0.2">
      <c r="A5" s="167">
        <v>0</v>
      </c>
      <c r="B5" s="169">
        <v>15</v>
      </c>
      <c r="C5" s="20" t="s">
        <v>351</v>
      </c>
      <c r="D5" s="28" t="s">
        <v>365</v>
      </c>
    </row>
    <row r="6" spans="1:4" ht="12.75" x14ac:dyDescent="0.2">
      <c r="A6" s="167">
        <v>15</v>
      </c>
      <c r="B6" s="169">
        <v>30</v>
      </c>
      <c r="C6" s="20" t="s">
        <v>352</v>
      </c>
      <c r="D6" s="28" t="s">
        <v>365</v>
      </c>
    </row>
    <row r="7" spans="1:4" ht="12.75" x14ac:dyDescent="0.2">
      <c r="A7" s="167">
        <v>30</v>
      </c>
      <c r="B7" s="169">
        <v>45</v>
      </c>
      <c r="C7" s="20" t="s">
        <v>353</v>
      </c>
      <c r="D7" s="28" t="s">
        <v>365</v>
      </c>
    </row>
    <row r="8" spans="1:4" ht="12.75" x14ac:dyDescent="0.2">
      <c r="A8" s="167">
        <v>45</v>
      </c>
      <c r="B8" s="169">
        <v>90</v>
      </c>
      <c r="C8" s="20" t="s">
        <v>354</v>
      </c>
      <c r="D8" s="28" t="s">
        <v>365</v>
      </c>
    </row>
    <row r="9" spans="1:4" ht="12.75" x14ac:dyDescent="0.2">
      <c r="A9" s="167">
        <v>90</v>
      </c>
      <c r="B9" s="169">
        <v>180</v>
      </c>
      <c r="C9" s="20" t="s">
        <v>355</v>
      </c>
      <c r="D9" s="28" t="s">
        <v>361</v>
      </c>
    </row>
    <row r="10" spans="1:4" ht="12.75" x14ac:dyDescent="0.2">
      <c r="A10" s="167">
        <v>180</v>
      </c>
      <c r="B10" s="169">
        <f>30*9</f>
        <v>270</v>
      </c>
      <c r="C10" s="20" t="s">
        <v>356</v>
      </c>
      <c r="D10" s="28" t="s">
        <v>362</v>
      </c>
    </row>
    <row r="11" spans="1:4" ht="12.75" x14ac:dyDescent="0.2">
      <c r="A11" s="167">
        <v>270</v>
      </c>
      <c r="B11" s="170">
        <f>30*12</f>
        <v>360</v>
      </c>
      <c r="C11" s="20" t="s">
        <v>356</v>
      </c>
      <c r="D11" s="28" t="s">
        <v>363</v>
      </c>
    </row>
    <row r="12" spans="1:4" ht="12.75" x14ac:dyDescent="0.2">
      <c r="A12" s="168">
        <v>360</v>
      </c>
      <c r="B12" s="171">
        <v>100001</v>
      </c>
      <c r="C12" s="21" t="s">
        <v>356</v>
      </c>
      <c r="D12" s="29" t="s">
        <v>364</v>
      </c>
    </row>
  </sheetData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4"/>
  <sheetViews>
    <sheetView showGridLines="0" zoomScale="136" workbookViewId="0">
      <selection activeCell="I3" sqref="I3:J3"/>
    </sheetView>
  </sheetViews>
  <sheetFormatPr defaultRowHeight="11.25" x14ac:dyDescent="0.2"/>
  <cols>
    <col min="1" max="1" width="4.83203125" customWidth="1"/>
    <col min="2" max="2" width="22.33203125" bestFit="1" customWidth="1"/>
    <col min="3" max="3" width="12.5" bestFit="1" customWidth="1"/>
    <col min="4" max="4" width="5.5" customWidth="1"/>
    <col min="5" max="5" width="20.5" bestFit="1" customWidth="1"/>
    <col min="6" max="6" width="14.1640625" bestFit="1" customWidth="1"/>
    <col min="7" max="7" width="2.6640625" customWidth="1"/>
    <col min="8" max="8" width="4.5" customWidth="1"/>
    <col min="9" max="9" width="4.1640625" customWidth="1"/>
    <col min="10" max="10" width="11.5" bestFit="1" customWidth="1"/>
    <col min="11" max="11" width="17.5" customWidth="1"/>
  </cols>
  <sheetData>
    <row r="1" spans="2:11" s="50" customFormat="1" ht="31.9" customHeight="1" x14ac:dyDescent="0.2">
      <c r="B1" s="60" t="s">
        <v>399</v>
      </c>
      <c r="C1" s="61" t="s">
        <v>400</v>
      </c>
      <c r="E1" s="60" t="s">
        <v>401</v>
      </c>
      <c r="F1" s="61" t="s">
        <v>402</v>
      </c>
      <c r="J1" s="60" t="s">
        <v>413</v>
      </c>
      <c r="K1" s="61" t="s">
        <v>402</v>
      </c>
    </row>
    <row r="2" spans="2:11" x14ac:dyDescent="0.2">
      <c r="B2" s="67" t="s">
        <v>20</v>
      </c>
      <c r="C2" s="66" t="s">
        <v>22</v>
      </c>
      <c r="D2" s="8"/>
      <c r="E2" s="62" t="s">
        <v>383</v>
      </c>
      <c r="F2" s="63" t="s">
        <v>398</v>
      </c>
      <c r="J2" s="67" t="s">
        <v>370</v>
      </c>
      <c r="K2" s="66" t="s">
        <v>22</v>
      </c>
    </row>
    <row r="3" spans="2:11" x14ac:dyDescent="0.2">
      <c r="B3" s="67" t="s">
        <v>102</v>
      </c>
      <c r="C3" s="66" t="s">
        <v>16</v>
      </c>
      <c r="D3" s="8"/>
      <c r="E3" s="62" t="s">
        <v>22</v>
      </c>
      <c r="F3" s="63" t="s">
        <v>22</v>
      </c>
      <c r="J3" s="67" t="s">
        <v>371</v>
      </c>
      <c r="K3" s="66" t="s">
        <v>16</v>
      </c>
    </row>
    <row r="4" spans="2:11" x14ac:dyDescent="0.2">
      <c r="B4" s="67" t="s">
        <v>18</v>
      </c>
      <c r="C4" s="66" t="s">
        <v>374</v>
      </c>
      <c r="D4" s="8"/>
      <c r="E4" s="62" t="s">
        <v>16</v>
      </c>
      <c r="F4" s="66" t="s">
        <v>16</v>
      </c>
      <c r="J4" s="67" t="s">
        <v>23</v>
      </c>
      <c r="K4" s="66" t="s">
        <v>23</v>
      </c>
    </row>
    <row r="5" spans="2:11" x14ac:dyDescent="0.2">
      <c r="B5" s="67" t="s">
        <v>76</v>
      </c>
      <c r="C5" s="66" t="s">
        <v>31</v>
      </c>
      <c r="D5" s="8"/>
      <c r="E5" s="62" t="s">
        <v>21</v>
      </c>
      <c r="F5" s="63" t="s">
        <v>21</v>
      </c>
      <c r="J5" s="67" t="s">
        <v>373</v>
      </c>
      <c r="K5" s="66" t="s">
        <v>31</v>
      </c>
    </row>
    <row r="6" spans="2:11" x14ac:dyDescent="0.2">
      <c r="B6" s="67" t="s">
        <v>56</v>
      </c>
      <c r="C6" s="66" t="s">
        <v>23</v>
      </c>
      <c r="D6" s="8"/>
      <c r="E6" s="62" t="s">
        <v>374</v>
      </c>
      <c r="F6" s="63" t="s">
        <v>21</v>
      </c>
      <c r="J6" s="68" t="s">
        <v>372</v>
      </c>
      <c r="K6" s="69" t="s">
        <v>21</v>
      </c>
    </row>
    <row r="7" spans="2:11" x14ac:dyDescent="0.2">
      <c r="B7" s="67" t="s">
        <v>46</v>
      </c>
      <c r="C7" s="66" t="s">
        <v>377</v>
      </c>
      <c r="D7" s="8"/>
      <c r="E7" s="62" t="s">
        <v>332</v>
      </c>
      <c r="F7" s="63" t="s">
        <v>396</v>
      </c>
      <c r="J7" s="27" t="s">
        <v>1384</v>
      </c>
      <c r="K7" s="27" t="s">
        <v>1358</v>
      </c>
    </row>
    <row r="8" spans="2:11" x14ac:dyDescent="0.2">
      <c r="B8" s="67" t="s">
        <v>96</v>
      </c>
      <c r="C8" s="66" t="s">
        <v>377</v>
      </c>
      <c r="D8" s="8"/>
      <c r="E8" s="62" t="s">
        <v>31</v>
      </c>
      <c r="F8" s="63" t="s">
        <v>31</v>
      </c>
      <c r="J8" s="47"/>
      <c r="K8" s="47"/>
    </row>
    <row r="9" spans="2:11" x14ac:dyDescent="0.2">
      <c r="B9" s="67" t="s">
        <v>52</v>
      </c>
      <c r="C9" s="66" t="s">
        <v>22</v>
      </c>
      <c r="D9" s="8"/>
      <c r="E9" s="62" t="s">
        <v>23</v>
      </c>
      <c r="F9" s="63" t="s">
        <v>23</v>
      </c>
      <c r="J9" s="47"/>
      <c r="K9" s="47"/>
    </row>
    <row r="10" spans="2:11" x14ac:dyDescent="0.2">
      <c r="B10" s="67" t="s">
        <v>107</v>
      </c>
      <c r="C10" s="66" t="s">
        <v>16</v>
      </c>
      <c r="D10" s="8"/>
      <c r="E10" s="62" t="s">
        <v>375</v>
      </c>
      <c r="F10" s="63" t="s">
        <v>396</v>
      </c>
      <c r="J10" s="47"/>
      <c r="K10" s="47"/>
    </row>
    <row r="11" spans="2:11" x14ac:dyDescent="0.2">
      <c r="B11" s="67" t="s">
        <v>85</v>
      </c>
      <c r="C11" s="66" t="s">
        <v>374</v>
      </c>
      <c r="D11" s="8"/>
      <c r="E11" s="62" t="s">
        <v>376</v>
      </c>
      <c r="F11" s="63" t="s">
        <v>396</v>
      </c>
      <c r="J11" s="47"/>
      <c r="K11" s="47"/>
    </row>
    <row r="12" spans="2:11" x14ac:dyDescent="0.2">
      <c r="B12" s="67" t="s">
        <v>35</v>
      </c>
      <c r="C12" s="66" t="s">
        <v>31</v>
      </c>
      <c r="D12" s="8"/>
      <c r="E12" s="62" t="s">
        <v>378</v>
      </c>
      <c r="F12" s="63" t="s">
        <v>22</v>
      </c>
      <c r="J12" s="47"/>
      <c r="K12" s="47"/>
    </row>
    <row r="13" spans="2:11" x14ac:dyDescent="0.2">
      <c r="B13" s="68" t="s">
        <v>88</v>
      </c>
      <c r="C13" s="69" t="s">
        <v>23</v>
      </c>
      <c r="D13" s="8"/>
      <c r="E13" s="62" t="s">
        <v>379</v>
      </c>
      <c r="F13" s="63" t="s">
        <v>16</v>
      </c>
      <c r="J13" s="47"/>
      <c r="K13" s="47"/>
    </row>
    <row r="14" spans="2:11" x14ac:dyDescent="0.2">
      <c r="B14" s="27" t="s">
        <v>1358</v>
      </c>
      <c r="C14" s="27" t="s">
        <v>1358</v>
      </c>
      <c r="D14" s="8"/>
      <c r="E14" s="62" t="s">
        <v>382</v>
      </c>
      <c r="F14" s="63" t="s">
        <v>21</v>
      </c>
      <c r="J14" s="47"/>
      <c r="K14" s="47"/>
    </row>
    <row r="15" spans="2:11" x14ac:dyDescent="0.2">
      <c r="B15" s="67" t="s">
        <v>370</v>
      </c>
      <c r="C15" s="66" t="s">
        <v>22</v>
      </c>
      <c r="D15" s="8"/>
      <c r="E15" s="62" t="s">
        <v>380</v>
      </c>
      <c r="F15" s="63" t="s">
        <v>31</v>
      </c>
      <c r="J15" s="47"/>
      <c r="K15" s="47"/>
    </row>
    <row r="16" spans="2:11" x14ac:dyDescent="0.2">
      <c r="B16" s="67" t="s">
        <v>371</v>
      </c>
      <c r="C16" s="66" t="s">
        <v>16</v>
      </c>
      <c r="D16" s="8"/>
      <c r="E16" s="62" t="s">
        <v>381</v>
      </c>
      <c r="F16" s="63" t="s">
        <v>23</v>
      </c>
      <c r="J16" s="47"/>
      <c r="K16" s="47"/>
    </row>
    <row r="17" spans="2:11" x14ac:dyDescent="0.2">
      <c r="B17" s="67" t="s">
        <v>23</v>
      </c>
      <c r="C17" s="66" t="s">
        <v>23</v>
      </c>
      <c r="D17" s="8"/>
      <c r="E17" s="62" t="s">
        <v>27</v>
      </c>
      <c r="F17" s="63" t="s">
        <v>396</v>
      </c>
      <c r="J17" s="47"/>
      <c r="K17" s="47"/>
    </row>
    <row r="18" spans="2:11" x14ac:dyDescent="0.2">
      <c r="B18" s="67" t="s">
        <v>373</v>
      </c>
      <c r="C18" s="66" t="s">
        <v>31</v>
      </c>
      <c r="D18" s="8"/>
      <c r="E18" s="64" t="s">
        <v>340</v>
      </c>
      <c r="F18" s="65" t="s">
        <v>396</v>
      </c>
      <c r="J18" s="47"/>
      <c r="K18" s="47"/>
    </row>
    <row r="19" spans="2:11" x14ac:dyDescent="0.2">
      <c r="B19" s="68" t="s">
        <v>372</v>
      </c>
      <c r="C19" s="69" t="s">
        <v>21</v>
      </c>
      <c r="E19" s="27" t="s">
        <v>1358</v>
      </c>
      <c r="F19" s="27" t="s">
        <v>1358</v>
      </c>
    </row>
    <row r="20" spans="2:11" x14ac:dyDescent="0.2">
      <c r="B20" s="27" t="s">
        <v>1384</v>
      </c>
      <c r="C20" s="27" t="s">
        <v>1358</v>
      </c>
    </row>
    <row r="21" spans="2:11" x14ac:dyDescent="0.2">
      <c r="B21" s="47"/>
      <c r="C21" s="47"/>
    </row>
    <row r="22" spans="2:11" x14ac:dyDescent="0.2">
      <c r="B22" s="47"/>
      <c r="C22" s="47"/>
    </row>
    <row r="23" spans="2:11" x14ac:dyDescent="0.2">
      <c r="B23" s="47"/>
      <c r="C23" s="47"/>
    </row>
    <row r="24" spans="2:11" x14ac:dyDescent="0.2">
      <c r="B24" s="47"/>
      <c r="C24" s="47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AB892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I136" sqref="I9:I136"/>
    </sheetView>
  </sheetViews>
  <sheetFormatPr defaultColWidth="9.1640625" defaultRowHeight="11.25" x14ac:dyDescent="0.2"/>
  <cols>
    <col min="1" max="1" width="42.83203125" style="104" customWidth="1"/>
    <col min="2" max="2" width="31.1640625" style="103" bestFit="1" customWidth="1"/>
    <col min="3" max="3" width="14.33203125" style="103" bestFit="1" customWidth="1"/>
    <col min="4" max="6" width="17.83203125" style="103" bestFit="1" customWidth="1"/>
    <col min="7" max="7" width="14.33203125" style="103" bestFit="1" customWidth="1"/>
    <col min="8" max="8" width="11.6640625" style="104" customWidth="1"/>
    <col min="9" max="9" width="12.1640625" style="145" bestFit="1" customWidth="1"/>
    <col min="10" max="10" width="11.5" style="145" bestFit="1" customWidth="1"/>
    <col min="11" max="11" width="16" style="145" customWidth="1"/>
    <col min="12" max="12" width="9.1640625" style="104"/>
    <col min="13" max="13" width="36.83203125" style="104" customWidth="1"/>
    <col min="14" max="14" width="17.83203125" style="320" customWidth="1"/>
    <col min="15" max="15" width="17.83203125" style="104" customWidth="1"/>
    <col min="16" max="16" width="16.5" style="104" bestFit="1" customWidth="1"/>
    <col min="17" max="24" width="9.1640625" style="104"/>
    <col min="25" max="25" width="17.83203125" style="103" bestFit="1" customWidth="1"/>
    <col min="26" max="26" width="9.1640625" style="103"/>
    <col min="27" max="27" width="19.1640625" style="103" customWidth="1"/>
    <col min="28" max="16384" width="9.1640625" style="104"/>
  </cols>
  <sheetData>
    <row r="1" spans="1:28" ht="13.15" customHeight="1" x14ac:dyDescent="0.2">
      <c r="A1" s="124" t="s">
        <v>771</v>
      </c>
      <c r="B1" s="130"/>
      <c r="C1" s="130"/>
      <c r="D1" s="130"/>
      <c r="E1" s="130"/>
      <c r="F1" s="130"/>
      <c r="G1" s="130"/>
      <c r="H1" s="99"/>
      <c r="I1" s="105"/>
      <c r="J1" s="105"/>
      <c r="K1" s="105"/>
      <c r="L1" s="99"/>
      <c r="M1" s="129" t="s">
        <v>770</v>
      </c>
      <c r="N1" s="314">
        <f>SUMIF(A:A,M1,I:I)</f>
        <v>5844921</v>
      </c>
      <c r="O1" s="322" t="s">
        <v>370</v>
      </c>
      <c r="P1" s="324">
        <f>$N$1/3</f>
        <v>1948307</v>
      </c>
      <c r="Q1" s="99"/>
      <c r="R1" s="99"/>
      <c r="S1" s="99"/>
      <c r="T1" s="99"/>
      <c r="U1" s="99"/>
      <c r="V1" s="99"/>
      <c r="W1" s="100"/>
      <c r="X1" s="101"/>
      <c r="Y1" s="102"/>
    </row>
    <row r="2" spans="1:28" ht="15.75" x14ac:dyDescent="0.25">
      <c r="A2" s="275" t="s">
        <v>1201</v>
      </c>
      <c r="B2" s="130"/>
      <c r="C2" s="130"/>
      <c r="D2" s="130"/>
      <c r="E2" s="130"/>
      <c r="F2" s="130"/>
      <c r="G2" s="130"/>
      <c r="H2" s="99"/>
      <c r="I2" s="105"/>
      <c r="J2" s="105"/>
      <c r="K2" s="105"/>
      <c r="L2" s="99"/>
      <c r="M2" s="99"/>
      <c r="N2" s="314"/>
      <c r="O2" s="323" t="s">
        <v>1351</v>
      </c>
      <c r="P2" s="324">
        <f t="shared" ref="P2:P3" si="0">$N$1/3</f>
        <v>1948307</v>
      </c>
      <c r="Q2" s="99"/>
      <c r="R2" s="99"/>
      <c r="S2" s="99"/>
      <c r="T2" s="99"/>
      <c r="U2" s="99"/>
      <c r="V2" s="99"/>
      <c r="W2" s="99"/>
      <c r="X2" s="99"/>
      <c r="Y2" s="105"/>
    </row>
    <row r="3" spans="1:28" ht="13.15" customHeight="1" x14ac:dyDescent="0.2">
      <c r="A3" s="125"/>
      <c r="B3" s="130"/>
      <c r="C3" s="130"/>
      <c r="D3" s="130"/>
      <c r="E3" s="130"/>
      <c r="F3" s="130"/>
      <c r="G3" s="130"/>
      <c r="H3" s="99"/>
      <c r="I3" s="105"/>
      <c r="J3" s="105"/>
      <c r="K3" s="105"/>
      <c r="L3" s="99"/>
      <c r="O3" s="322" t="s">
        <v>23</v>
      </c>
      <c r="P3" s="324">
        <f t="shared" si="0"/>
        <v>1948307</v>
      </c>
      <c r="Q3" s="99"/>
      <c r="R3" s="99"/>
      <c r="S3" s="99"/>
      <c r="T3" s="99"/>
      <c r="U3" s="99"/>
      <c r="V3" s="99"/>
      <c r="W3" s="99"/>
      <c r="X3" s="99"/>
      <c r="Y3" s="105"/>
    </row>
    <row r="4" spans="1:28" ht="12.75" x14ac:dyDescent="0.2">
      <c r="A4" s="126" t="s">
        <v>772</v>
      </c>
      <c r="B4" s="131" t="s">
        <v>773</v>
      </c>
      <c r="C4" s="130"/>
      <c r="D4" s="130"/>
      <c r="E4" s="130"/>
      <c r="F4" s="130"/>
      <c r="G4" s="130"/>
      <c r="H4" s="100"/>
      <c r="I4" s="105"/>
      <c r="J4" s="105"/>
      <c r="K4" s="105"/>
      <c r="L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105"/>
    </row>
    <row r="5" spans="1:28" ht="12.75" x14ac:dyDescent="0.2">
      <c r="A5" s="125"/>
      <c r="B5" s="130"/>
      <c r="C5" s="130"/>
      <c r="D5" s="130"/>
      <c r="E5" s="130"/>
      <c r="F5" s="130"/>
      <c r="G5" s="130"/>
      <c r="H5" s="121"/>
      <c r="I5" s="143"/>
      <c r="J5" s="143"/>
      <c r="K5" s="143"/>
      <c r="L5" s="106"/>
      <c r="M5" s="99" t="s">
        <v>1273</v>
      </c>
      <c r="N5" s="314">
        <f>SUMIF(A:A,M5,I:I)</f>
        <v>651010.76</v>
      </c>
      <c r="O5" s="322" t="s">
        <v>370</v>
      </c>
      <c r="P5" s="324">
        <f>$N$5*0.2</f>
        <v>130202.152</v>
      </c>
      <c r="Q5" s="106"/>
      <c r="R5" s="106"/>
      <c r="S5" s="107"/>
      <c r="T5" s="108"/>
      <c r="U5" s="106"/>
      <c r="V5" s="106"/>
      <c r="W5" s="107"/>
      <c r="X5" s="107"/>
      <c r="Y5" s="109"/>
      <c r="AB5" s="103"/>
    </row>
    <row r="6" spans="1:28" ht="15" x14ac:dyDescent="0.25">
      <c r="A6" s="127" t="s">
        <v>774</v>
      </c>
      <c r="B6" s="400" t="s">
        <v>775</v>
      </c>
      <c r="C6" s="400"/>
      <c r="D6" s="400" t="s">
        <v>776</v>
      </c>
      <c r="E6" s="400"/>
      <c r="F6" s="400" t="s">
        <v>777</v>
      </c>
      <c r="G6" s="400"/>
      <c r="H6" s="121"/>
      <c r="I6" s="143"/>
      <c r="J6" s="143"/>
      <c r="K6" s="143"/>
      <c r="L6" s="106"/>
      <c r="M6" s="106"/>
      <c r="N6" s="315"/>
      <c r="O6" s="323" t="s">
        <v>1351</v>
      </c>
      <c r="P6" s="324">
        <f>$N$5*0.8</f>
        <v>520808.60800000001</v>
      </c>
      <c r="Q6" s="106"/>
      <c r="R6" s="106"/>
      <c r="S6" s="107"/>
      <c r="T6" s="108"/>
      <c r="U6" s="106"/>
      <c r="V6" s="106"/>
      <c r="W6" s="107"/>
      <c r="X6" s="107"/>
      <c r="Y6" s="107"/>
      <c r="Z6" s="104"/>
      <c r="AA6" s="104"/>
    </row>
    <row r="7" spans="1:28" x14ac:dyDescent="0.2">
      <c r="A7" s="401" t="s">
        <v>778</v>
      </c>
      <c r="B7" s="398" t="s">
        <v>779</v>
      </c>
      <c r="C7" s="398" t="s">
        <v>780</v>
      </c>
      <c r="D7" s="398" t="s">
        <v>779</v>
      </c>
      <c r="E7" s="398" t="s">
        <v>780</v>
      </c>
      <c r="F7" s="398" t="s">
        <v>779</v>
      </c>
      <c r="G7" s="398" t="s">
        <v>780</v>
      </c>
      <c r="H7" s="119"/>
      <c r="I7" s="144"/>
      <c r="J7" s="144"/>
      <c r="K7" s="144"/>
      <c r="L7" s="86"/>
      <c r="M7" s="86"/>
      <c r="N7" s="316"/>
      <c r="O7" s="86"/>
      <c r="P7" s="86"/>
      <c r="Q7" s="86"/>
      <c r="R7" s="86"/>
      <c r="S7" s="110"/>
      <c r="T7" s="111"/>
      <c r="U7" s="86"/>
      <c r="V7" s="86"/>
      <c r="W7" s="110"/>
      <c r="X7" s="110"/>
      <c r="Y7" s="110"/>
      <c r="Z7" s="104"/>
      <c r="AA7" s="104"/>
    </row>
    <row r="8" spans="1:28" x14ac:dyDescent="0.2">
      <c r="A8" s="402"/>
      <c r="B8" s="399"/>
      <c r="C8" s="399"/>
      <c r="D8" s="399"/>
      <c r="E8" s="399"/>
      <c r="F8" s="399"/>
      <c r="G8" s="399"/>
      <c r="H8" s="112"/>
      <c r="I8" s="146" t="s">
        <v>813</v>
      </c>
      <c r="J8" s="146" t="s">
        <v>814</v>
      </c>
      <c r="K8" s="146" t="s">
        <v>815</v>
      </c>
      <c r="L8" s="86"/>
      <c r="M8" s="86"/>
      <c r="N8" s="316"/>
      <c r="O8" s="86"/>
      <c r="P8" s="86"/>
      <c r="Q8" s="86"/>
      <c r="R8" s="86"/>
      <c r="S8" s="110"/>
      <c r="T8" s="111"/>
      <c r="U8" s="86"/>
      <c r="V8" s="86"/>
      <c r="W8" s="110"/>
      <c r="X8" s="110"/>
      <c r="Y8" s="110"/>
      <c r="Z8" s="104"/>
      <c r="AA8" s="104"/>
    </row>
    <row r="9" spans="1:28" ht="12.75" x14ac:dyDescent="0.2">
      <c r="A9" s="128" t="s">
        <v>781</v>
      </c>
      <c r="B9" s="132">
        <v>156738988.38999999</v>
      </c>
      <c r="C9" s="132"/>
      <c r="D9" s="132">
        <v>229322771.49000001</v>
      </c>
      <c r="E9" s="132">
        <v>288070594.5</v>
      </c>
      <c r="F9" s="132">
        <v>97991165.379999995</v>
      </c>
      <c r="G9" s="132"/>
      <c r="H9" s="121"/>
      <c r="I9" s="147"/>
      <c r="J9" s="147"/>
      <c r="K9" s="147"/>
      <c r="L9" s="106"/>
      <c r="M9" s="106"/>
      <c r="N9" s="315"/>
      <c r="O9" s="106"/>
      <c r="P9" s="106"/>
      <c r="Q9" s="106"/>
      <c r="R9" s="106"/>
      <c r="S9" s="106"/>
      <c r="T9" s="106"/>
      <c r="U9" s="107"/>
      <c r="V9" s="107"/>
      <c r="W9" s="107"/>
      <c r="X9" s="107"/>
      <c r="Y9" s="109"/>
      <c r="AB9" s="103"/>
    </row>
    <row r="10" spans="1:28" ht="12" x14ac:dyDescent="0.2">
      <c r="A10" s="129" t="s">
        <v>1026</v>
      </c>
      <c r="B10" s="133"/>
      <c r="C10" s="133"/>
      <c r="D10" s="133">
        <v>1035955.2</v>
      </c>
      <c r="E10" s="133">
        <v>1035955.2</v>
      </c>
      <c r="F10" s="133"/>
      <c r="G10" s="133"/>
      <c r="H10" s="121"/>
      <c r="I10" s="147">
        <f>F10-G10</f>
        <v>0</v>
      </c>
      <c r="J10" s="147">
        <f t="array" ref="J10">SUM(('Отчет по покупателям УТ'!$M$6:$M$5000='Check 1S 62 vs UT'!$A10)*('Отчет по покупателям УТ'!$X$6:$X$5000))</f>
        <v>0</v>
      </c>
      <c r="K10" s="147">
        <f>J10-I10</f>
        <v>0</v>
      </c>
      <c r="L10" s="106"/>
      <c r="M10" s="106"/>
      <c r="N10" s="315"/>
      <c r="O10" s="106"/>
      <c r="P10" s="106"/>
      <c r="Q10" s="106"/>
      <c r="R10" s="106"/>
      <c r="S10" s="106"/>
      <c r="T10" s="106"/>
      <c r="U10" s="107"/>
      <c r="V10" s="107"/>
      <c r="W10" s="107"/>
      <c r="X10" s="107"/>
      <c r="Y10" s="107"/>
      <c r="Z10" s="104"/>
      <c r="AA10" s="104"/>
    </row>
    <row r="11" spans="1:28" ht="12" x14ac:dyDescent="0.2">
      <c r="A11" s="129" t="s">
        <v>33</v>
      </c>
      <c r="B11" s="133"/>
      <c r="C11" s="133">
        <v>34032</v>
      </c>
      <c r="D11" s="133"/>
      <c r="E11" s="133"/>
      <c r="F11" s="133"/>
      <c r="G11" s="133">
        <v>34032</v>
      </c>
      <c r="H11" s="119"/>
      <c r="I11" s="147">
        <f t="shared" ref="I11:I74" si="1">F11-G11</f>
        <v>-34032</v>
      </c>
      <c r="J11" s="147">
        <f t="array" ref="J11">SUM(('Отчет по покупателям УТ'!$M$6:$M$5000='Check 1S 62 vs UT'!$A11)*('Отчет по покупателям УТ'!$X$6:$X$5000))</f>
        <v>-34032</v>
      </c>
      <c r="K11" s="147">
        <f t="shared" ref="K11:K74" si="2">J11-I11</f>
        <v>0</v>
      </c>
      <c r="L11" s="86"/>
      <c r="M11" s="86"/>
      <c r="N11" s="316"/>
      <c r="O11" s="86"/>
      <c r="P11" s="86"/>
      <c r="Q11" s="86"/>
      <c r="R11" s="86"/>
      <c r="S11" s="86"/>
      <c r="T11" s="86"/>
      <c r="U11" s="110"/>
      <c r="V11" s="110"/>
      <c r="W11" s="110"/>
      <c r="X11" s="110"/>
      <c r="Y11" s="110"/>
      <c r="Z11" s="104"/>
      <c r="AA11" s="104"/>
    </row>
    <row r="12" spans="1:28" ht="12" x14ac:dyDescent="0.2">
      <c r="A12" s="129" t="s">
        <v>41</v>
      </c>
      <c r="B12" s="133"/>
      <c r="C12" s="133">
        <v>82070</v>
      </c>
      <c r="D12" s="133">
        <v>741200</v>
      </c>
      <c r="E12" s="133">
        <v>741200</v>
      </c>
      <c r="F12" s="133"/>
      <c r="G12" s="133">
        <v>82070</v>
      </c>
      <c r="H12" s="112"/>
      <c r="I12" s="147">
        <f t="shared" si="1"/>
        <v>-82070</v>
      </c>
      <c r="J12" s="147">
        <f t="array" ref="J12">SUM(('Отчет по покупателям УТ'!$M$6:$M$5000='Check 1S 62 vs UT'!$A12)*('Отчет по покупателям УТ'!$X$6:$X$5000))</f>
        <v>-198121</v>
      </c>
      <c r="K12" s="147">
        <f t="shared" si="2"/>
        <v>-116051</v>
      </c>
      <c r="L12" s="86"/>
      <c r="M12" s="86"/>
      <c r="N12" s="316"/>
      <c r="O12" s="86"/>
      <c r="P12" s="86"/>
      <c r="Q12" s="86"/>
      <c r="R12" s="86"/>
      <c r="S12" s="86"/>
      <c r="T12" s="86"/>
      <c r="U12" s="110"/>
      <c r="V12" s="110"/>
      <c r="W12" s="110"/>
      <c r="X12" s="110"/>
      <c r="Y12" s="110"/>
      <c r="Z12" s="104"/>
      <c r="AA12" s="104"/>
    </row>
    <row r="13" spans="1:28" ht="12" x14ac:dyDescent="0.2">
      <c r="A13" s="129" t="s">
        <v>44</v>
      </c>
      <c r="B13" s="133"/>
      <c r="C13" s="133">
        <v>700</v>
      </c>
      <c r="D13" s="133"/>
      <c r="E13" s="133"/>
      <c r="F13" s="133"/>
      <c r="G13" s="133">
        <v>700</v>
      </c>
      <c r="H13" s="121"/>
      <c r="I13" s="147">
        <f t="shared" si="1"/>
        <v>-700</v>
      </c>
      <c r="J13" s="147">
        <f t="array" ref="J13">SUM(('Отчет по покупателям УТ'!$M$6:$M$5000='Check 1S 62 vs UT'!$A13)*('Отчет по покупателям УТ'!$X$6:$X$5000))</f>
        <v>-700</v>
      </c>
      <c r="K13" s="147">
        <f t="shared" si="2"/>
        <v>0</v>
      </c>
      <c r="L13" s="106"/>
      <c r="M13" s="106"/>
      <c r="N13" s="315"/>
      <c r="O13" s="106"/>
      <c r="P13" s="106"/>
      <c r="Q13" s="106"/>
      <c r="R13" s="106"/>
      <c r="S13" s="106"/>
      <c r="T13" s="106"/>
      <c r="U13" s="107"/>
      <c r="V13" s="114"/>
      <c r="W13" s="107"/>
      <c r="X13" s="107"/>
      <c r="Y13" s="107"/>
      <c r="Z13" s="104"/>
      <c r="AA13" s="104"/>
    </row>
    <row r="14" spans="1:28" ht="12" x14ac:dyDescent="0.2">
      <c r="A14" s="129" t="s">
        <v>48</v>
      </c>
      <c r="B14" s="133">
        <v>1173725.18</v>
      </c>
      <c r="C14" s="133"/>
      <c r="D14" s="133">
        <v>560150</v>
      </c>
      <c r="E14" s="133">
        <v>522216.67</v>
      </c>
      <c r="F14" s="133">
        <v>1211658.51</v>
      </c>
      <c r="G14" s="133"/>
      <c r="H14" s="119"/>
      <c r="I14" s="147">
        <f t="shared" si="1"/>
        <v>1211658.51</v>
      </c>
      <c r="J14" s="147">
        <f t="array" ref="J14">SUM(('Отчет по покупателям УТ'!$M$6:$M$5000='Check 1S 62 vs UT'!$A14)*('Отчет по покупателям УТ'!$X$6:$X$5000))</f>
        <v>811658.50999999989</v>
      </c>
      <c r="K14" s="147">
        <f t="shared" si="2"/>
        <v>-400000.00000000012</v>
      </c>
      <c r="L14" s="86"/>
      <c r="M14" s="86"/>
      <c r="N14" s="316"/>
      <c r="O14" s="86"/>
      <c r="P14" s="86"/>
      <c r="Q14" s="86"/>
      <c r="R14" s="86"/>
      <c r="S14" s="86"/>
      <c r="T14" s="86"/>
      <c r="U14" s="110"/>
      <c r="V14" s="115"/>
      <c r="W14" s="110"/>
      <c r="X14" s="110"/>
      <c r="Y14" s="110"/>
      <c r="Z14" s="104"/>
      <c r="AA14" s="104"/>
    </row>
    <row r="15" spans="1:28" ht="12" x14ac:dyDescent="0.2">
      <c r="A15" s="129" t="s">
        <v>549</v>
      </c>
      <c r="B15" s="133"/>
      <c r="C15" s="133">
        <v>44000</v>
      </c>
      <c r="D15" s="133">
        <v>264000</v>
      </c>
      <c r="E15" s="133">
        <v>220000</v>
      </c>
      <c r="F15" s="133"/>
      <c r="G15" s="133"/>
      <c r="H15" s="112"/>
      <c r="I15" s="147">
        <f t="shared" si="1"/>
        <v>0</v>
      </c>
      <c r="J15" s="147">
        <f t="array" ref="J15">SUM(('Отчет по покупателям УТ'!$M$6:$M$5000='Check 1S 62 vs UT'!$A15)*('Отчет по покупателям УТ'!$X$6:$X$5000))</f>
        <v>-95438.37</v>
      </c>
      <c r="K15" s="147">
        <f t="shared" si="2"/>
        <v>-95438.37</v>
      </c>
      <c r="L15" s="86"/>
      <c r="M15" s="86"/>
      <c r="N15" s="316"/>
      <c r="O15" s="86"/>
      <c r="P15" s="86"/>
      <c r="Q15" s="86"/>
      <c r="R15" s="86"/>
      <c r="S15" s="86"/>
      <c r="T15" s="86"/>
      <c r="U15" s="110"/>
      <c r="V15" s="115"/>
      <c r="W15" s="110"/>
      <c r="X15" s="110"/>
      <c r="Y15" s="110"/>
      <c r="Z15" s="104"/>
      <c r="AA15" s="104"/>
    </row>
    <row r="16" spans="1:28" ht="12" x14ac:dyDescent="0.2">
      <c r="A16" s="129" t="s">
        <v>54</v>
      </c>
      <c r="B16" s="133"/>
      <c r="C16" s="133">
        <v>30012.37</v>
      </c>
      <c r="D16" s="133"/>
      <c r="E16" s="133"/>
      <c r="F16" s="133"/>
      <c r="G16" s="133">
        <v>30012.37</v>
      </c>
      <c r="H16" s="121"/>
      <c r="I16" s="147">
        <f t="shared" si="1"/>
        <v>-30012.37</v>
      </c>
      <c r="J16" s="147">
        <f t="array" ref="J16">SUM(('Отчет по покупателям УТ'!$M$6:$M$5000='Check 1S 62 vs UT'!$A16)*('Отчет по покупателям УТ'!$X$6:$X$5000))</f>
        <v>-30012.37</v>
      </c>
      <c r="K16" s="147">
        <f t="shared" si="2"/>
        <v>0</v>
      </c>
      <c r="L16" s="106"/>
      <c r="M16" s="106"/>
      <c r="N16" s="315"/>
      <c r="O16" s="106"/>
      <c r="P16" s="106"/>
      <c r="Q16" s="106"/>
      <c r="R16" s="106"/>
      <c r="S16" s="114"/>
      <c r="T16" s="108"/>
      <c r="U16" s="106"/>
      <c r="V16" s="106"/>
      <c r="W16" s="114"/>
      <c r="X16" s="114"/>
      <c r="Y16" s="109"/>
      <c r="AB16" s="103"/>
    </row>
    <row r="17" spans="1:28" ht="12" x14ac:dyDescent="0.2">
      <c r="A17" s="129" t="s">
        <v>60</v>
      </c>
      <c r="B17" s="133"/>
      <c r="C17" s="133">
        <v>2580423.4900000002</v>
      </c>
      <c r="D17" s="133">
        <v>2900162</v>
      </c>
      <c r="E17" s="133">
        <v>2900162</v>
      </c>
      <c r="F17" s="133"/>
      <c r="G17" s="133">
        <v>2580423.4900000002</v>
      </c>
      <c r="H17" s="121"/>
      <c r="I17" s="147">
        <f t="shared" si="1"/>
        <v>-2580423.4900000002</v>
      </c>
      <c r="J17" s="147">
        <f t="array" ref="J17">SUM(('Отчет по покупателям УТ'!$M$6:$M$5000='Check 1S 62 vs UT'!$A17)*('Отчет по покупателям УТ'!$X$6:$X$5000))</f>
        <v>-3201565.86</v>
      </c>
      <c r="K17" s="147">
        <f t="shared" si="2"/>
        <v>-621142.36999999965</v>
      </c>
      <c r="L17" s="106"/>
      <c r="M17" s="106"/>
      <c r="N17" s="315"/>
      <c r="O17" s="106"/>
      <c r="P17" s="106"/>
      <c r="Q17" s="106"/>
      <c r="R17" s="106"/>
      <c r="S17" s="114"/>
      <c r="T17" s="108"/>
      <c r="U17" s="106"/>
      <c r="V17" s="106"/>
      <c r="W17" s="114"/>
      <c r="X17" s="114"/>
      <c r="Y17" s="114"/>
      <c r="Z17" s="104"/>
      <c r="AA17" s="104"/>
    </row>
    <row r="18" spans="1:28" ht="12" x14ac:dyDescent="0.2">
      <c r="A18" s="129" t="s">
        <v>69</v>
      </c>
      <c r="B18" s="133">
        <v>18386450.82</v>
      </c>
      <c r="C18" s="133"/>
      <c r="D18" s="133">
        <v>3533833.35</v>
      </c>
      <c r="E18" s="133">
        <v>2888160.4</v>
      </c>
      <c r="F18" s="133">
        <v>19032123.77</v>
      </c>
      <c r="G18" s="133"/>
      <c r="H18" s="119"/>
      <c r="I18" s="147">
        <f t="shared" si="1"/>
        <v>19032123.77</v>
      </c>
      <c r="J18" s="147">
        <f t="array" ref="J18">SUM(('Отчет по покупателям УТ'!$M$6:$M$5000='Check 1S 62 vs UT'!$A18)*('Отчет по покупателям УТ'!$X$6:$X$5000))</f>
        <v>13990165.92</v>
      </c>
      <c r="K18" s="147">
        <f t="shared" si="2"/>
        <v>-5041957.8499999996</v>
      </c>
      <c r="L18" s="86"/>
      <c r="M18" s="106"/>
      <c r="N18" s="316"/>
      <c r="O18" s="86"/>
      <c r="P18" s="86"/>
      <c r="Q18" s="86"/>
      <c r="R18" s="86"/>
      <c r="S18" s="115"/>
      <c r="T18" s="111"/>
      <c r="U18" s="86"/>
      <c r="V18" s="86"/>
      <c r="W18" s="115"/>
      <c r="X18" s="115"/>
      <c r="Y18" s="115"/>
      <c r="Z18" s="104"/>
      <c r="AA18" s="104"/>
    </row>
    <row r="19" spans="1:28" ht="12" x14ac:dyDescent="0.2">
      <c r="A19" s="129" t="s">
        <v>98</v>
      </c>
      <c r="B19" s="133"/>
      <c r="C19" s="133">
        <v>11914400.970000001</v>
      </c>
      <c r="D19" s="133"/>
      <c r="E19" s="133"/>
      <c r="F19" s="133"/>
      <c r="G19" s="133">
        <v>11914400.970000001</v>
      </c>
      <c r="H19" s="112"/>
      <c r="I19" s="147">
        <f t="shared" si="1"/>
        <v>-11914400.970000001</v>
      </c>
      <c r="J19" s="147">
        <f t="array" ref="J19">SUM(('Отчет по покупателям УТ'!$M$6:$M$5000='Check 1S 62 vs UT'!$A19)*('Отчет по покупателям УТ'!$X$6:$X$5000))</f>
        <v>-19615479.080000002</v>
      </c>
      <c r="K19" s="147">
        <f t="shared" si="2"/>
        <v>-7701078.1100000013</v>
      </c>
      <c r="L19" s="86"/>
      <c r="M19" s="86"/>
      <c r="N19" s="316"/>
      <c r="O19" s="86"/>
      <c r="P19" s="86"/>
      <c r="Q19" s="86"/>
      <c r="R19" s="86"/>
      <c r="S19" s="115"/>
      <c r="T19" s="111"/>
      <c r="U19" s="86"/>
      <c r="V19" s="86"/>
      <c r="W19" s="115"/>
      <c r="X19" s="115"/>
      <c r="Y19" s="115"/>
      <c r="Z19" s="104"/>
      <c r="AA19" s="104"/>
    </row>
    <row r="20" spans="1:28" ht="12" x14ac:dyDescent="0.2">
      <c r="A20" s="129" t="s">
        <v>99</v>
      </c>
      <c r="B20" s="133">
        <v>14143312.300000001</v>
      </c>
      <c r="C20" s="133"/>
      <c r="D20" s="133">
        <v>3041934</v>
      </c>
      <c r="E20" s="133">
        <v>9729920.8000000007</v>
      </c>
      <c r="F20" s="133">
        <v>7455325.5</v>
      </c>
      <c r="G20" s="133"/>
      <c r="H20" s="121"/>
      <c r="I20" s="147">
        <f t="shared" si="1"/>
        <v>7455325.5</v>
      </c>
      <c r="J20" s="147">
        <f t="array" ref="J20">SUM(('Отчет по покупателям УТ'!$M$6:$M$5000='Check 1S 62 vs UT'!$A20)*('Отчет по покупателям УТ'!$X$6:$X$5000))</f>
        <v>-4183273.7599999993</v>
      </c>
      <c r="K20" s="147">
        <f t="shared" si="2"/>
        <v>-11638599.26</v>
      </c>
      <c r="L20" s="106"/>
      <c r="M20" s="114"/>
      <c r="N20" s="317"/>
      <c r="O20" s="106"/>
      <c r="P20" s="106"/>
      <c r="Q20" s="106"/>
      <c r="R20" s="106"/>
      <c r="S20" s="106"/>
      <c r="T20" s="106"/>
      <c r="U20" s="107"/>
      <c r="V20" s="107"/>
      <c r="W20" s="107"/>
      <c r="X20" s="107"/>
      <c r="Y20" s="109"/>
      <c r="AB20" s="103"/>
    </row>
    <row r="21" spans="1:28" ht="12" x14ac:dyDescent="0.2">
      <c r="A21" s="129" t="s">
        <v>1027</v>
      </c>
      <c r="B21" s="133"/>
      <c r="C21" s="133">
        <v>11025</v>
      </c>
      <c r="D21" s="133">
        <v>107891.8</v>
      </c>
      <c r="E21" s="133">
        <v>96866.8</v>
      </c>
      <c r="F21" s="133"/>
      <c r="G21" s="133"/>
      <c r="H21" s="121"/>
      <c r="I21" s="147">
        <f t="shared" si="1"/>
        <v>0</v>
      </c>
      <c r="J21" s="147">
        <f t="array" ref="J21">SUM(('Отчет по покупателям УТ'!$M$6:$M$5000='Check 1S 62 vs UT'!$A21)*('Отчет по покупателям УТ'!$X$6:$X$5000))</f>
        <v>0</v>
      </c>
      <c r="K21" s="147">
        <f t="shared" si="2"/>
        <v>0</v>
      </c>
      <c r="L21" s="106"/>
      <c r="M21" s="106"/>
      <c r="N21" s="315"/>
      <c r="O21" s="106"/>
      <c r="P21" s="106"/>
      <c r="Q21" s="106"/>
      <c r="R21" s="106"/>
      <c r="S21" s="106"/>
      <c r="T21" s="106"/>
      <c r="U21" s="107"/>
      <c r="V21" s="107"/>
      <c r="W21" s="107"/>
      <c r="X21" s="107"/>
      <c r="Y21" s="107"/>
      <c r="Z21" s="104"/>
      <c r="AA21" s="104"/>
    </row>
    <row r="22" spans="1:28" ht="12" x14ac:dyDescent="0.2">
      <c r="A22" s="129" t="s">
        <v>103</v>
      </c>
      <c r="B22" s="133"/>
      <c r="C22" s="133">
        <v>692946.34</v>
      </c>
      <c r="D22" s="133"/>
      <c r="E22" s="133"/>
      <c r="F22" s="133"/>
      <c r="G22" s="133">
        <v>692946.34</v>
      </c>
      <c r="H22" s="119"/>
      <c r="I22" s="147">
        <f t="shared" si="1"/>
        <v>-692946.34</v>
      </c>
      <c r="J22" s="147">
        <f t="array" ref="J22">SUM(('Отчет по покупателям УТ'!$M$6:$M$5000='Check 1S 62 vs UT'!$A22)*('Отчет по покупателям УТ'!$X$6:$X$5000))</f>
        <v>-860926.44</v>
      </c>
      <c r="K22" s="147">
        <f t="shared" si="2"/>
        <v>-167980.09999999998</v>
      </c>
      <c r="L22" s="86"/>
      <c r="M22" s="86"/>
      <c r="N22" s="316"/>
      <c r="O22" s="86"/>
      <c r="P22" s="86"/>
      <c r="Q22" s="86"/>
      <c r="R22" s="86"/>
      <c r="S22" s="86"/>
      <c r="T22" s="86"/>
      <c r="U22" s="110"/>
      <c r="V22" s="110"/>
      <c r="W22" s="110"/>
      <c r="X22" s="110"/>
      <c r="Y22" s="110"/>
      <c r="Z22" s="104"/>
      <c r="AA22" s="104"/>
    </row>
    <row r="23" spans="1:28" ht="12" x14ac:dyDescent="0.2">
      <c r="A23" s="129" t="s">
        <v>105</v>
      </c>
      <c r="B23" s="133"/>
      <c r="C23" s="133">
        <v>1194</v>
      </c>
      <c r="D23" s="133"/>
      <c r="E23" s="133"/>
      <c r="F23" s="133"/>
      <c r="G23" s="133">
        <v>1194</v>
      </c>
      <c r="H23" s="112"/>
      <c r="I23" s="147">
        <f t="shared" si="1"/>
        <v>-1194</v>
      </c>
      <c r="J23" s="147">
        <f t="array" ref="J23">SUM(('Отчет по покупателям УТ'!$M$6:$M$5000='Check 1S 62 vs UT'!$A23)*('Отчет по покупателям УТ'!$X$6:$X$5000))</f>
        <v>-86513</v>
      </c>
      <c r="K23" s="147">
        <f t="shared" si="2"/>
        <v>-85319</v>
      </c>
      <c r="L23" s="86"/>
      <c r="M23" s="86"/>
      <c r="N23" s="316"/>
      <c r="O23" s="86"/>
      <c r="P23" s="86"/>
      <c r="Q23" s="86"/>
      <c r="R23" s="86"/>
      <c r="S23" s="86"/>
      <c r="T23" s="86"/>
      <c r="U23" s="110"/>
      <c r="V23" s="110"/>
      <c r="W23" s="110"/>
      <c r="X23" s="110"/>
      <c r="Y23" s="110"/>
      <c r="Z23" s="104"/>
      <c r="AA23" s="104"/>
    </row>
    <row r="24" spans="1:28" ht="12" x14ac:dyDescent="0.2">
      <c r="A24" s="129" t="s">
        <v>106</v>
      </c>
      <c r="B24" s="133"/>
      <c r="C24" s="133">
        <v>305203</v>
      </c>
      <c r="D24" s="133">
        <v>1748330</v>
      </c>
      <c r="E24" s="133">
        <v>1915060</v>
      </c>
      <c r="F24" s="133"/>
      <c r="G24" s="133">
        <v>471933</v>
      </c>
      <c r="H24" s="122"/>
      <c r="I24" s="147">
        <f t="shared" si="1"/>
        <v>-471933</v>
      </c>
      <c r="J24" s="147">
        <f t="array" ref="J24">SUM(('Отчет по покупателям УТ'!$M$6:$M$5000='Check 1S 62 vs UT'!$A24)*('Отчет по покупателям УТ'!$X$6:$X$5000))</f>
        <v>-819186</v>
      </c>
      <c r="K24" s="147">
        <f t="shared" si="2"/>
        <v>-347253</v>
      </c>
      <c r="L24" s="106"/>
      <c r="M24" s="114"/>
      <c r="N24" s="317"/>
      <c r="O24" s="106"/>
      <c r="P24" s="106"/>
      <c r="Q24" s="106"/>
      <c r="R24" s="106"/>
      <c r="S24" s="106"/>
      <c r="T24" s="106"/>
      <c r="U24" s="106"/>
      <c r="V24" s="106"/>
      <c r="W24" s="107"/>
      <c r="X24" s="107"/>
      <c r="Y24" s="107"/>
      <c r="Z24" s="104"/>
      <c r="AA24" s="104"/>
    </row>
    <row r="25" spans="1:28" ht="12" x14ac:dyDescent="0.2">
      <c r="A25" s="129" t="s">
        <v>109</v>
      </c>
      <c r="B25" s="133"/>
      <c r="C25" s="133">
        <v>11533.5</v>
      </c>
      <c r="D25" s="133"/>
      <c r="E25" s="133"/>
      <c r="F25" s="133"/>
      <c r="G25" s="133">
        <v>11533.5</v>
      </c>
      <c r="H25" s="119"/>
      <c r="I25" s="147">
        <f t="shared" si="1"/>
        <v>-11533.5</v>
      </c>
      <c r="J25" s="147">
        <f t="array" ref="J25">SUM(('Отчет по покупателям УТ'!$M$6:$M$5000='Check 1S 62 vs UT'!$A25)*('Отчет по покупателям УТ'!$X$6:$X$5000))</f>
        <v>-11533.5</v>
      </c>
      <c r="K25" s="147">
        <f t="shared" si="2"/>
        <v>0</v>
      </c>
      <c r="L25" s="86"/>
      <c r="M25" s="86"/>
      <c r="N25" s="316"/>
      <c r="O25" s="86"/>
      <c r="P25" s="86"/>
      <c r="Q25" s="86"/>
      <c r="R25" s="86"/>
      <c r="S25" s="86"/>
      <c r="T25" s="86"/>
      <c r="U25" s="86"/>
      <c r="V25" s="86"/>
      <c r="W25" s="110"/>
      <c r="X25" s="110"/>
      <c r="Y25" s="110"/>
      <c r="Z25" s="104"/>
      <c r="AA25" s="104"/>
    </row>
    <row r="26" spans="1:28" ht="12" x14ac:dyDescent="0.2">
      <c r="A26" s="129" t="s">
        <v>726</v>
      </c>
      <c r="B26" s="133"/>
      <c r="C26" s="133">
        <v>694956</v>
      </c>
      <c r="D26" s="133"/>
      <c r="E26" s="133"/>
      <c r="F26" s="133"/>
      <c r="G26" s="133">
        <v>694956</v>
      </c>
      <c r="H26" s="112"/>
      <c r="I26" s="147">
        <f t="shared" si="1"/>
        <v>-694956</v>
      </c>
      <c r="J26" s="147">
        <f t="array" ref="J26">SUM(('Отчет по покупателям УТ'!$M$6:$M$5000='Check 1S 62 vs UT'!$A26)*('Отчет по покупателям УТ'!$X$6:$X$5000))</f>
        <v>-1144349</v>
      </c>
      <c r="K26" s="147">
        <f t="shared" si="2"/>
        <v>-449393</v>
      </c>
      <c r="L26" s="86"/>
      <c r="M26" s="86"/>
      <c r="N26" s="316"/>
      <c r="O26" s="86"/>
      <c r="P26" s="86"/>
      <c r="Q26" s="86"/>
      <c r="R26" s="86"/>
      <c r="S26" s="86"/>
      <c r="T26" s="86"/>
      <c r="U26" s="86"/>
      <c r="V26" s="86"/>
      <c r="W26" s="110"/>
      <c r="X26" s="110"/>
      <c r="Y26" s="110"/>
      <c r="Z26" s="104"/>
      <c r="AA26" s="104"/>
    </row>
    <row r="27" spans="1:28" ht="12" x14ac:dyDescent="0.2">
      <c r="A27" s="129" t="s">
        <v>111</v>
      </c>
      <c r="B27" s="133"/>
      <c r="C27" s="133">
        <v>166755.06</v>
      </c>
      <c r="D27" s="133"/>
      <c r="E27" s="133"/>
      <c r="F27" s="133"/>
      <c r="G27" s="133">
        <v>166755.06</v>
      </c>
      <c r="H27" s="119"/>
      <c r="I27" s="147">
        <f t="shared" si="1"/>
        <v>-166755.06</v>
      </c>
      <c r="J27" s="147">
        <f t="array" ref="J27">SUM(('Отчет по покупателям УТ'!$M$6:$M$5000='Check 1S 62 vs UT'!$A27)*('Отчет по покупателям УТ'!$X$6:$X$5000))</f>
        <v>-166755.06</v>
      </c>
      <c r="K27" s="147">
        <f t="shared" si="2"/>
        <v>0</v>
      </c>
      <c r="L27" s="86"/>
      <c r="M27" s="115"/>
      <c r="N27" s="318"/>
      <c r="O27" s="86"/>
      <c r="P27" s="86"/>
      <c r="Q27" s="86"/>
      <c r="R27" s="86"/>
      <c r="S27" s="86"/>
      <c r="T27" s="86"/>
      <c r="U27" s="86"/>
      <c r="V27" s="86"/>
      <c r="W27" s="115"/>
      <c r="X27" s="115"/>
      <c r="Y27" s="115"/>
      <c r="Z27" s="104"/>
      <c r="AA27" s="104"/>
    </row>
    <row r="28" spans="1:28" ht="12" x14ac:dyDescent="0.2">
      <c r="A28" s="129" t="s">
        <v>114</v>
      </c>
      <c r="B28" s="133"/>
      <c r="C28" s="133">
        <v>11259.9</v>
      </c>
      <c r="D28" s="133">
        <v>302832</v>
      </c>
      <c r="E28" s="133">
        <v>302832</v>
      </c>
      <c r="F28" s="133"/>
      <c r="G28" s="133">
        <v>11259.9</v>
      </c>
      <c r="H28" s="112"/>
      <c r="I28" s="147">
        <f t="shared" si="1"/>
        <v>-11259.9</v>
      </c>
      <c r="J28" s="147">
        <f t="array" ref="J28">SUM(('Отчет по покупателям УТ'!$M$6:$M$5000='Check 1S 62 vs UT'!$A28)*('Отчет по покупателям УТ'!$X$6:$X$5000))</f>
        <v>-36635.9</v>
      </c>
      <c r="K28" s="147">
        <f t="shared" si="2"/>
        <v>-25376</v>
      </c>
      <c r="L28" s="86"/>
      <c r="M28" s="115"/>
      <c r="N28" s="318"/>
      <c r="O28" s="86"/>
      <c r="P28" s="86"/>
      <c r="Q28" s="86"/>
      <c r="R28" s="86"/>
      <c r="S28" s="86"/>
      <c r="T28" s="86"/>
      <c r="U28" s="86"/>
      <c r="V28" s="86"/>
      <c r="W28" s="115"/>
      <c r="X28" s="115"/>
      <c r="Y28" s="115"/>
      <c r="Z28" s="104"/>
      <c r="AA28" s="104"/>
    </row>
    <row r="29" spans="1:28" ht="12" x14ac:dyDescent="0.2">
      <c r="A29" s="129" t="s">
        <v>727</v>
      </c>
      <c r="B29" s="133"/>
      <c r="C29" s="133">
        <v>1137829.19</v>
      </c>
      <c r="D29" s="133">
        <v>1137829.19</v>
      </c>
      <c r="E29" s="133"/>
      <c r="F29" s="133"/>
      <c r="G29" s="133"/>
      <c r="H29" s="119"/>
      <c r="I29" s="147">
        <f t="shared" si="1"/>
        <v>0</v>
      </c>
      <c r="J29" s="147">
        <f t="array" ref="J29">SUM(('Отчет по покупателям УТ'!$M$6:$M$5000='Check 1S 62 vs UT'!$A29)*('Отчет по покупателям УТ'!$X$6:$X$5000))</f>
        <v>0</v>
      </c>
      <c r="K29" s="147">
        <f t="shared" si="2"/>
        <v>0</v>
      </c>
      <c r="L29" s="86"/>
      <c r="M29" s="86"/>
      <c r="N29" s="316"/>
      <c r="O29" s="86"/>
      <c r="P29" s="86"/>
      <c r="Q29" s="86"/>
      <c r="R29" s="86"/>
      <c r="S29" s="86"/>
      <c r="T29" s="86"/>
      <c r="U29" s="86"/>
      <c r="V29" s="86"/>
      <c r="W29" s="110"/>
      <c r="X29" s="110"/>
      <c r="Y29" s="110"/>
      <c r="Z29" s="104"/>
      <c r="AA29" s="104"/>
    </row>
    <row r="30" spans="1:28" ht="12" x14ac:dyDescent="0.2">
      <c r="A30" s="129" t="s">
        <v>116</v>
      </c>
      <c r="B30" s="133"/>
      <c r="C30" s="133">
        <v>110706.83</v>
      </c>
      <c r="D30" s="133"/>
      <c r="E30" s="133"/>
      <c r="F30" s="133"/>
      <c r="G30" s="133">
        <v>110706.83</v>
      </c>
      <c r="H30" s="112"/>
      <c r="I30" s="147">
        <f t="shared" si="1"/>
        <v>-110706.83</v>
      </c>
      <c r="J30" s="147">
        <f t="array" ref="J30">SUM(('Отчет по покупателям УТ'!$M$6:$M$5000='Check 1S 62 vs UT'!$A30)*('Отчет по покупателям УТ'!$X$6:$X$5000))</f>
        <v>-229099.86</v>
      </c>
      <c r="K30" s="147">
        <f t="shared" si="2"/>
        <v>-118393.02999999998</v>
      </c>
      <c r="L30" s="86"/>
      <c r="M30" s="86"/>
      <c r="N30" s="316"/>
      <c r="O30" s="86"/>
      <c r="P30" s="86"/>
      <c r="Q30" s="86"/>
      <c r="R30" s="86"/>
      <c r="S30" s="86"/>
      <c r="T30" s="86"/>
      <c r="U30" s="86"/>
      <c r="V30" s="86"/>
      <c r="W30" s="110"/>
      <c r="X30" s="110"/>
      <c r="Y30" s="110"/>
      <c r="Z30" s="104"/>
      <c r="AA30" s="104"/>
    </row>
    <row r="31" spans="1:28" ht="12" x14ac:dyDescent="0.2">
      <c r="A31" s="129" t="s">
        <v>117</v>
      </c>
      <c r="B31" s="133"/>
      <c r="C31" s="133">
        <v>1759.12</v>
      </c>
      <c r="D31" s="133"/>
      <c r="E31" s="133"/>
      <c r="F31" s="133"/>
      <c r="G31" s="133">
        <v>1759.12</v>
      </c>
      <c r="H31" s="121"/>
      <c r="I31" s="147">
        <f t="shared" si="1"/>
        <v>-1759.12</v>
      </c>
      <c r="J31" s="147">
        <f t="array" ref="J31">SUM(('Отчет по покупателям УТ'!$M$6:$M$5000='Check 1S 62 vs UT'!$A31)*('Отчет по покупателям УТ'!$X$6:$X$5000))</f>
        <v>-1759.12</v>
      </c>
      <c r="K31" s="147">
        <f t="shared" si="2"/>
        <v>0</v>
      </c>
      <c r="L31" s="106"/>
      <c r="M31" s="106"/>
      <c r="N31" s="315"/>
      <c r="O31" s="106"/>
      <c r="P31" s="106"/>
      <c r="Q31" s="106"/>
      <c r="R31" s="106"/>
      <c r="S31" s="107"/>
      <c r="T31" s="108"/>
      <c r="U31" s="106"/>
      <c r="V31" s="106"/>
      <c r="W31" s="107"/>
      <c r="X31" s="107"/>
      <c r="Y31" s="109"/>
      <c r="AB31" s="103"/>
    </row>
    <row r="32" spans="1:28" ht="12" x14ac:dyDescent="0.2">
      <c r="A32" s="129" t="s">
        <v>1198</v>
      </c>
      <c r="B32" s="133"/>
      <c r="C32" s="133"/>
      <c r="D32" s="133">
        <v>1414425.6000000001</v>
      </c>
      <c r="E32" s="133">
        <v>1414425.6000000001</v>
      </c>
      <c r="F32" s="133"/>
      <c r="G32" s="133"/>
      <c r="H32" s="121"/>
      <c r="I32" s="147">
        <f t="shared" si="1"/>
        <v>0</v>
      </c>
      <c r="J32" s="147">
        <f t="array" ref="J32">SUM(('Отчет по покупателям УТ'!$M$6:$M$5000='Check 1S 62 vs UT'!$A32)*('Отчет по покупателям УТ'!$X$6:$X$5000))</f>
        <v>-220629.55</v>
      </c>
      <c r="K32" s="147">
        <f t="shared" si="2"/>
        <v>-220629.55</v>
      </c>
      <c r="L32" s="106"/>
      <c r="M32" s="106"/>
      <c r="N32" s="315"/>
      <c r="O32" s="106"/>
      <c r="P32" s="106"/>
      <c r="Q32" s="106"/>
      <c r="R32" s="106"/>
      <c r="S32" s="107"/>
      <c r="T32" s="108"/>
      <c r="U32" s="106"/>
      <c r="V32" s="106"/>
      <c r="W32" s="107"/>
      <c r="X32" s="107"/>
      <c r="Y32" s="107"/>
      <c r="Z32" s="104"/>
      <c r="AA32" s="104"/>
    </row>
    <row r="33" spans="1:28" ht="12" x14ac:dyDescent="0.2">
      <c r="A33" s="129" t="s">
        <v>730</v>
      </c>
      <c r="B33" s="133"/>
      <c r="C33" s="133">
        <v>69037.63</v>
      </c>
      <c r="D33" s="133"/>
      <c r="E33" s="133"/>
      <c r="F33" s="133"/>
      <c r="G33" s="133">
        <v>69037.63</v>
      </c>
      <c r="H33" s="119"/>
      <c r="I33" s="147">
        <f t="shared" si="1"/>
        <v>-69037.63</v>
      </c>
      <c r="J33" s="147">
        <f t="array" ref="J33">SUM(('Отчет по покупателям УТ'!$M$6:$M$5000='Check 1S 62 vs UT'!$A33)*('Отчет по покупателям УТ'!$X$6:$X$5000))</f>
        <v>-69037.63</v>
      </c>
      <c r="K33" s="147">
        <f t="shared" si="2"/>
        <v>0</v>
      </c>
      <c r="L33" s="86"/>
      <c r="M33" s="86"/>
      <c r="N33" s="316"/>
      <c r="O33" s="86"/>
      <c r="P33" s="86"/>
      <c r="Q33" s="86"/>
      <c r="R33" s="86"/>
      <c r="S33" s="110"/>
      <c r="T33" s="111"/>
      <c r="U33" s="86"/>
      <c r="V33" s="86"/>
      <c r="W33" s="110"/>
      <c r="X33" s="110"/>
      <c r="Y33" s="110"/>
      <c r="Z33" s="104"/>
      <c r="AA33" s="104"/>
    </row>
    <row r="34" spans="1:28" ht="12" x14ac:dyDescent="0.2">
      <c r="A34" s="129" t="s">
        <v>119</v>
      </c>
      <c r="B34" s="133"/>
      <c r="C34" s="133">
        <v>50473</v>
      </c>
      <c r="D34" s="133"/>
      <c r="E34" s="133"/>
      <c r="F34" s="133"/>
      <c r="G34" s="133">
        <v>50473</v>
      </c>
      <c r="H34" s="112"/>
      <c r="I34" s="147">
        <f t="shared" si="1"/>
        <v>-50473</v>
      </c>
      <c r="J34" s="147">
        <f t="array" ref="J34">SUM(('Отчет по покупателям УТ'!$M$6:$M$5000='Check 1S 62 vs UT'!$A34)*('Отчет по покупателям УТ'!$X$6:$X$5000))</f>
        <v>-50473</v>
      </c>
      <c r="K34" s="147">
        <f t="shared" si="2"/>
        <v>0</v>
      </c>
      <c r="L34" s="86"/>
      <c r="M34" s="86"/>
      <c r="N34" s="316"/>
      <c r="O34" s="86"/>
      <c r="P34" s="86"/>
      <c r="Q34" s="86"/>
      <c r="R34" s="86"/>
      <c r="S34" s="110"/>
      <c r="T34" s="111"/>
      <c r="U34" s="86"/>
      <c r="V34" s="86"/>
      <c r="W34" s="110"/>
      <c r="X34" s="110"/>
      <c r="Y34" s="110"/>
      <c r="Z34" s="104"/>
      <c r="AA34" s="104"/>
    </row>
    <row r="35" spans="1:28" ht="12" x14ac:dyDescent="0.2">
      <c r="A35" s="129" t="s">
        <v>120</v>
      </c>
      <c r="B35" s="133"/>
      <c r="C35" s="133">
        <v>53892.24</v>
      </c>
      <c r="D35" s="133"/>
      <c r="E35" s="133"/>
      <c r="F35" s="133"/>
      <c r="G35" s="133">
        <v>53892.24</v>
      </c>
      <c r="H35" s="121"/>
      <c r="I35" s="147">
        <f t="shared" si="1"/>
        <v>-53892.24</v>
      </c>
      <c r="J35" s="147">
        <f t="array" ref="J35">SUM(('Отчет по покупателям УТ'!$M$6:$M$5000='Check 1S 62 vs UT'!$A35)*('Отчет по покупателям УТ'!$X$6:$X$5000))</f>
        <v>-82254</v>
      </c>
      <c r="K35" s="147">
        <f t="shared" si="2"/>
        <v>-28361.760000000002</v>
      </c>
      <c r="L35" s="106"/>
      <c r="M35" s="106"/>
      <c r="N35" s="315"/>
      <c r="O35" s="106"/>
      <c r="P35" s="106"/>
      <c r="Q35" s="106"/>
      <c r="R35" s="106"/>
      <c r="S35" s="107"/>
      <c r="T35" s="108"/>
      <c r="U35" s="106"/>
      <c r="V35" s="106"/>
      <c r="W35" s="107"/>
      <c r="X35" s="107"/>
      <c r="Y35" s="109"/>
      <c r="AB35" s="103"/>
    </row>
    <row r="36" spans="1:28" ht="12" x14ac:dyDescent="0.2">
      <c r="A36" s="129" t="s">
        <v>121</v>
      </c>
      <c r="B36" s="133"/>
      <c r="C36" s="133">
        <v>57290.6</v>
      </c>
      <c r="D36" s="133"/>
      <c r="E36" s="133"/>
      <c r="F36" s="133"/>
      <c r="G36" s="133">
        <v>57290.6</v>
      </c>
      <c r="H36" s="121"/>
      <c r="I36" s="147">
        <f t="shared" si="1"/>
        <v>-57290.6</v>
      </c>
      <c r="J36" s="147">
        <f t="array" ref="J36">SUM(('Отчет по покупателям УТ'!$M$6:$M$5000='Check 1S 62 vs UT'!$A36)*('Отчет по покупателям УТ'!$X$6:$X$5000))</f>
        <v>-57290.6</v>
      </c>
      <c r="K36" s="147">
        <f t="shared" si="2"/>
        <v>0</v>
      </c>
      <c r="L36" s="106"/>
      <c r="M36" s="106"/>
      <c r="N36" s="315"/>
      <c r="O36" s="106"/>
      <c r="P36" s="106"/>
      <c r="Q36" s="106"/>
      <c r="R36" s="106"/>
      <c r="S36" s="107"/>
      <c r="T36" s="108"/>
      <c r="U36" s="106"/>
      <c r="V36" s="106"/>
      <c r="W36" s="107"/>
      <c r="X36" s="107"/>
      <c r="Y36" s="107"/>
      <c r="Z36" s="104"/>
      <c r="AA36" s="104"/>
    </row>
    <row r="37" spans="1:28" ht="12" x14ac:dyDescent="0.2">
      <c r="A37" s="129" t="s">
        <v>125</v>
      </c>
      <c r="B37" s="133">
        <v>939769.08</v>
      </c>
      <c r="C37" s="133"/>
      <c r="D37" s="133"/>
      <c r="E37" s="133">
        <v>500000</v>
      </c>
      <c r="F37" s="133">
        <v>439769.08</v>
      </c>
      <c r="G37" s="133"/>
      <c r="H37" s="119"/>
      <c r="I37" s="147">
        <f t="shared" si="1"/>
        <v>439769.08</v>
      </c>
      <c r="J37" s="147">
        <f t="array" ref="J37">SUM(('Отчет по покупателям УТ'!$M$6:$M$5000='Check 1S 62 vs UT'!$A37)*('Отчет по покупателям УТ'!$X$6:$X$5000))</f>
        <v>-1618908.33</v>
      </c>
      <c r="K37" s="147">
        <f t="shared" si="2"/>
        <v>-2058677.4100000001</v>
      </c>
      <c r="L37" s="86"/>
      <c r="M37" s="86"/>
      <c r="N37" s="316"/>
      <c r="O37" s="86"/>
      <c r="P37" s="86"/>
      <c r="Q37" s="86"/>
      <c r="R37" s="86"/>
      <c r="S37" s="115"/>
      <c r="T37" s="111"/>
      <c r="U37" s="86"/>
      <c r="V37" s="86"/>
      <c r="W37" s="115"/>
      <c r="X37" s="115"/>
      <c r="Y37" s="115"/>
      <c r="Z37" s="104"/>
      <c r="AA37" s="104"/>
    </row>
    <row r="38" spans="1:28" ht="12" x14ac:dyDescent="0.2">
      <c r="A38" s="129" t="s">
        <v>127</v>
      </c>
      <c r="B38" s="133"/>
      <c r="C38" s="133">
        <v>7199.46</v>
      </c>
      <c r="D38" s="133"/>
      <c r="E38" s="133"/>
      <c r="F38" s="133"/>
      <c r="G38" s="133">
        <v>7199.46</v>
      </c>
      <c r="H38" s="112"/>
      <c r="I38" s="147">
        <f t="shared" si="1"/>
        <v>-7199.46</v>
      </c>
      <c r="J38" s="147">
        <f t="array" ref="J38">SUM(('Отчет по покупателям УТ'!$M$6:$M$5000='Check 1S 62 vs UT'!$A38)*('Отчет по покупателям УТ'!$X$6:$X$5000))</f>
        <v>-7199.46</v>
      </c>
      <c r="K38" s="147">
        <f t="shared" si="2"/>
        <v>0</v>
      </c>
      <c r="L38" s="86"/>
      <c r="M38" s="86"/>
      <c r="N38" s="316"/>
      <c r="O38" s="86"/>
      <c r="P38" s="86"/>
      <c r="Q38" s="86"/>
      <c r="R38" s="86"/>
      <c r="S38" s="115"/>
      <c r="T38" s="111"/>
      <c r="U38" s="86"/>
      <c r="V38" s="86"/>
      <c r="W38" s="115"/>
      <c r="X38" s="115"/>
      <c r="Y38" s="115"/>
      <c r="Z38" s="104"/>
      <c r="AA38" s="104"/>
    </row>
    <row r="39" spans="1:28" ht="12" x14ac:dyDescent="0.2">
      <c r="A39" s="129" t="s">
        <v>732</v>
      </c>
      <c r="B39" s="133"/>
      <c r="C39" s="133">
        <v>103355.81</v>
      </c>
      <c r="D39" s="133"/>
      <c r="E39" s="133"/>
      <c r="F39" s="133"/>
      <c r="G39" s="133">
        <v>103355.81</v>
      </c>
      <c r="H39" s="119"/>
      <c r="I39" s="147">
        <f t="shared" si="1"/>
        <v>-103355.81</v>
      </c>
      <c r="J39" s="147">
        <f t="array" ref="J39">SUM(('Отчет по покупателям УТ'!$M$6:$M$5000='Check 1S 62 vs UT'!$A39)*('Отчет по покупателям УТ'!$X$6:$X$5000))</f>
        <v>-103355.81</v>
      </c>
      <c r="K39" s="147">
        <f t="shared" si="2"/>
        <v>0</v>
      </c>
      <c r="L39" s="86"/>
      <c r="M39" s="86"/>
      <c r="N39" s="316"/>
      <c r="O39" s="86"/>
      <c r="P39" s="86"/>
      <c r="Q39" s="86"/>
      <c r="R39" s="86"/>
      <c r="S39" s="110"/>
      <c r="T39" s="111"/>
      <c r="U39" s="86"/>
      <c r="V39" s="86"/>
      <c r="W39" s="110"/>
      <c r="X39" s="110"/>
      <c r="Y39" s="110"/>
      <c r="Z39" s="104"/>
      <c r="AA39" s="104"/>
    </row>
    <row r="40" spans="1:28" ht="12" x14ac:dyDescent="0.2">
      <c r="A40" s="129" t="s">
        <v>130</v>
      </c>
      <c r="B40" s="133"/>
      <c r="C40" s="133">
        <v>9548</v>
      </c>
      <c r="D40" s="133"/>
      <c r="E40" s="133"/>
      <c r="F40" s="133"/>
      <c r="G40" s="133">
        <v>9548</v>
      </c>
      <c r="H40" s="112"/>
      <c r="I40" s="147">
        <f t="shared" si="1"/>
        <v>-9548</v>
      </c>
      <c r="J40" s="147">
        <f t="array" ref="J40">SUM(('Отчет по покупателям УТ'!$M$6:$M$5000='Check 1S 62 vs UT'!$A40)*('Отчет по покупателям УТ'!$X$6:$X$5000))</f>
        <v>-9548</v>
      </c>
      <c r="K40" s="147">
        <f t="shared" si="2"/>
        <v>0</v>
      </c>
      <c r="L40" s="86"/>
      <c r="M40" s="86"/>
      <c r="N40" s="316"/>
      <c r="O40" s="86"/>
      <c r="P40" s="86"/>
      <c r="Q40" s="86"/>
      <c r="R40" s="86"/>
      <c r="S40" s="110"/>
      <c r="T40" s="111"/>
      <c r="U40" s="86"/>
      <c r="V40" s="86"/>
      <c r="W40" s="110"/>
      <c r="X40" s="110"/>
      <c r="Y40" s="110"/>
      <c r="Z40" s="104"/>
      <c r="AA40" s="104"/>
    </row>
    <row r="41" spans="1:28" ht="12" x14ac:dyDescent="0.2">
      <c r="A41" s="129" t="s">
        <v>133</v>
      </c>
      <c r="B41" s="133"/>
      <c r="C41" s="133">
        <v>89872.75</v>
      </c>
      <c r="D41" s="133"/>
      <c r="E41" s="133"/>
      <c r="F41" s="133"/>
      <c r="G41" s="133">
        <v>89872.75</v>
      </c>
      <c r="H41" s="121"/>
      <c r="I41" s="147">
        <f t="shared" si="1"/>
        <v>-89872.75</v>
      </c>
      <c r="J41" s="147">
        <f t="array" ref="J41">SUM(('Отчет по покупателям УТ'!$M$6:$M$5000='Check 1S 62 vs UT'!$A41)*('Отчет по покупателям УТ'!$X$6:$X$5000))</f>
        <v>-255220.18</v>
      </c>
      <c r="K41" s="147">
        <f t="shared" si="2"/>
        <v>-165347.43</v>
      </c>
      <c r="L41" s="106"/>
      <c r="M41" s="106"/>
      <c r="N41" s="315"/>
      <c r="O41" s="106"/>
      <c r="P41" s="106"/>
      <c r="Q41" s="106"/>
      <c r="R41" s="106"/>
      <c r="S41" s="107"/>
      <c r="T41" s="108"/>
      <c r="U41" s="107"/>
      <c r="V41" s="107"/>
      <c r="W41" s="107"/>
      <c r="X41" s="107"/>
      <c r="Y41" s="109"/>
      <c r="AB41" s="103"/>
    </row>
    <row r="42" spans="1:28" ht="12" x14ac:dyDescent="0.2">
      <c r="A42" s="129" t="s">
        <v>134</v>
      </c>
      <c r="B42" s="133"/>
      <c r="C42" s="133">
        <v>10198</v>
      </c>
      <c r="D42" s="133">
        <v>116380</v>
      </c>
      <c r="E42" s="133">
        <v>116380</v>
      </c>
      <c r="F42" s="133"/>
      <c r="G42" s="133">
        <v>10198</v>
      </c>
      <c r="H42" s="121"/>
      <c r="I42" s="147">
        <f t="shared" si="1"/>
        <v>-10198</v>
      </c>
      <c r="J42" s="147">
        <f t="array" ref="J42">SUM(('Отчет по покупателям УТ'!$M$6:$M$5000='Check 1S 62 vs UT'!$A42)*('Отчет по покупателям УТ'!$X$6:$X$5000))</f>
        <v>-10198</v>
      </c>
      <c r="K42" s="147">
        <f t="shared" si="2"/>
        <v>0</v>
      </c>
      <c r="L42" s="106"/>
      <c r="M42" s="106"/>
      <c r="N42" s="315"/>
      <c r="O42" s="106"/>
      <c r="P42" s="106"/>
      <c r="Q42" s="106"/>
      <c r="R42" s="106"/>
      <c r="S42" s="106"/>
      <c r="T42" s="106"/>
      <c r="U42" s="107"/>
      <c r="V42" s="107"/>
      <c r="W42" s="107"/>
      <c r="X42" s="107"/>
      <c r="Y42" s="107"/>
      <c r="Z42" s="104"/>
      <c r="AA42" s="104"/>
    </row>
    <row r="43" spans="1:28" ht="12" x14ac:dyDescent="0.2">
      <c r="A43" s="129" t="s">
        <v>733</v>
      </c>
      <c r="B43" s="133"/>
      <c r="C43" s="133">
        <v>721170</v>
      </c>
      <c r="D43" s="133"/>
      <c r="E43" s="133"/>
      <c r="F43" s="133"/>
      <c r="G43" s="133">
        <v>721170</v>
      </c>
      <c r="H43" s="119"/>
      <c r="I43" s="147">
        <f t="shared" si="1"/>
        <v>-721170</v>
      </c>
      <c r="J43" s="147">
        <f t="array" ref="J43">SUM(('Отчет по покупателям УТ'!$M$6:$M$5000='Check 1S 62 vs UT'!$A43)*('Отчет по покупателям УТ'!$X$6:$X$5000))</f>
        <v>-721170</v>
      </c>
      <c r="K43" s="147">
        <f t="shared" si="2"/>
        <v>0</v>
      </c>
      <c r="L43" s="86"/>
      <c r="M43" s="86"/>
      <c r="N43" s="316"/>
      <c r="O43" s="86"/>
      <c r="P43" s="86"/>
      <c r="Q43" s="86"/>
      <c r="R43" s="86"/>
      <c r="S43" s="86"/>
      <c r="T43" s="86"/>
      <c r="U43" s="110"/>
      <c r="V43" s="110"/>
      <c r="W43" s="110"/>
      <c r="X43" s="110"/>
      <c r="Y43" s="110"/>
      <c r="Z43" s="104"/>
      <c r="AA43" s="104"/>
    </row>
    <row r="44" spans="1:28" ht="12" x14ac:dyDescent="0.2">
      <c r="A44" s="129" t="s">
        <v>137</v>
      </c>
      <c r="B44" s="133"/>
      <c r="C44" s="133">
        <v>42972.72</v>
      </c>
      <c r="D44" s="133"/>
      <c r="E44" s="133"/>
      <c r="F44" s="133"/>
      <c r="G44" s="133">
        <v>42972.72</v>
      </c>
      <c r="H44" s="112"/>
      <c r="I44" s="147">
        <f t="shared" si="1"/>
        <v>-42972.72</v>
      </c>
      <c r="J44" s="147">
        <f t="array" ref="J44">SUM(('Отчет по покупателям УТ'!$M$6:$M$5000='Check 1S 62 vs UT'!$A44)*('Отчет по покупателям УТ'!$X$6:$X$5000))</f>
        <v>-134160.04999999999</v>
      </c>
      <c r="K44" s="147">
        <f t="shared" si="2"/>
        <v>-91187.329999999987</v>
      </c>
      <c r="L44" s="86"/>
      <c r="M44" s="86"/>
      <c r="N44" s="316"/>
      <c r="O44" s="86"/>
      <c r="P44" s="86"/>
      <c r="Q44" s="86"/>
      <c r="R44" s="86"/>
      <c r="S44" s="86"/>
      <c r="T44" s="86"/>
      <c r="U44" s="110"/>
      <c r="V44" s="110"/>
      <c r="W44" s="110"/>
      <c r="X44" s="110"/>
      <c r="Y44" s="110"/>
      <c r="Z44" s="104"/>
      <c r="AA44" s="104"/>
    </row>
    <row r="45" spans="1:28" ht="12" x14ac:dyDescent="0.2">
      <c r="A45" s="129" t="s">
        <v>138</v>
      </c>
      <c r="B45" s="133"/>
      <c r="C45" s="133"/>
      <c r="D45" s="133">
        <v>204000</v>
      </c>
      <c r="E45" s="133">
        <v>204000</v>
      </c>
      <c r="F45" s="133"/>
      <c r="G45" s="133"/>
      <c r="H45" s="121"/>
      <c r="I45" s="147">
        <f t="shared" si="1"/>
        <v>0</v>
      </c>
      <c r="J45" s="147">
        <f t="array" ref="J45">SUM(('Отчет по покупателям УТ'!$M$6:$M$5000='Check 1S 62 vs UT'!$A45)*('Отчет по покупателям УТ'!$X$6:$X$5000))</f>
        <v>0</v>
      </c>
      <c r="K45" s="147">
        <f t="shared" si="2"/>
        <v>0</v>
      </c>
      <c r="L45" s="106"/>
      <c r="M45" s="106"/>
      <c r="N45" s="315"/>
      <c r="O45" s="106"/>
      <c r="P45" s="106"/>
      <c r="Q45" s="106"/>
      <c r="R45" s="106"/>
      <c r="S45" s="106"/>
      <c r="T45" s="106"/>
      <c r="U45" s="107"/>
      <c r="V45" s="107"/>
      <c r="W45" s="107"/>
      <c r="X45" s="107"/>
      <c r="Y45" s="107"/>
      <c r="Z45" s="104"/>
      <c r="AA45" s="104"/>
    </row>
    <row r="46" spans="1:28" ht="12" x14ac:dyDescent="0.2">
      <c r="A46" s="129" t="s">
        <v>140</v>
      </c>
      <c r="B46" s="133"/>
      <c r="C46" s="133">
        <v>625.94000000000005</v>
      </c>
      <c r="D46" s="133"/>
      <c r="E46" s="133"/>
      <c r="F46" s="133"/>
      <c r="G46" s="133">
        <v>625.94000000000005</v>
      </c>
      <c r="H46" s="119"/>
      <c r="I46" s="147">
        <f t="shared" si="1"/>
        <v>-625.94000000000005</v>
      </c>
      <c r="J46" s="147">
        <f t="array" ref="J46">SUM(('Отчет по покупателям УТ'!$M$6:$M$5000='Check 1S 62 vs UT'!$A46)*('Отчет по покупателям УТ'!$X$6:$X$5000))</f>
        <v>-625.94000000000005</v>
      </c>
      <c r="K46" s="147">
        <f t="shared" si="2"/>
        <v>0</v>
      </c>
      <c r="L46" s="86"/>
      <c r="M46" s="86"/>
      <c r="N46" s="316"/>
      <c r="O46" s="86"/>
      <c r="P46" s="86"/>
      <c r="Q46" s="86"/>
      <c r="R46" s="86"/>
      <c r="S46" s="86"/>
      <c r="T46" s="86"/>
      <c r="U46" s="110"/>
      <c r="V46" s="110"/>
      <c r="W46" s="110"/>
      <c r="X46" s="110"/>
      <c r="Y46" s="110"/>
      <c r="Z46" s="104"/>
      <c r="AA46" s="104"/>
    </row>
    <row r="47" spans="1:28" ht="12" x14ac:dyDescent="0.2">
      <c r="A47" s="129" t="s">
        <v>142</v>
      </c>
      <c r="B47" s="133"/>
      <c r="C47" s="133">
        <v>37995.68</v>
      </c>
      <c r="D47" s="133"/>
      <c r="E47" s="133"/>
      <c r="F47" s="133"/>
      <c r="G47" s="133">
        <v>37995.68</v>
      </c>
      <c r="H47" s="112"/>
      <c r="I47" s="147">
        <f t="shared" si="1"/>
        <v>-37995.68</v>
      </c>
      <c r="J47" s="147">
        <f t="array" ref="J47">SUM(('Отчет по покупателям УТ'!$M$6:$M$5000='Check 1S 62 vs UT'!$A47)*('Отчет по покупателям УТ'!$X$6:$X$5000))</f>
        <v>-205125.58</v>
      </c>
      <c r="K47" s="147">
        <f t="shared" si="2"/>
        <v>-167129.9</v>
      </c>
      <c r="L47" s="86"/>
      <c r="M47" s="86"/>
      <c r="N47" s="316"/>
      <c r="O47" s="86"/>
      <c r="P47" s="86"/>
      <c r="Q47" s="86"/>
      <c r="R47" s="86"/>
      <c r="S47" s="86"/>
      <c r="T47" s="86"/>
      <c r="U47" s="110"/>
      <c r="V47" s="110"/>
      <c r="W47" s="110"/>
      <c r="X47" s="110"/>
      <c r="Y47" s="110"/>
      <c r="Z47" s="104"/>
      <c r="AA47" s="104"/>
    </row>
    <row r="48" spans="1:28" ht="12" x14ac:dyDescent="0.2">
      <c r="A48" s="129" t="s">
        <v>143</v>
      </c>
      <c r="B48" s="133"/>
      <c r="C48" s="133">
        <v>614763.01</v>
      </c>
      <c r="D48" s="133"/>
      <c r="E48" s="133"/>
      <c r="F48" s="133"/>
      <c r="G48" s="133">
        <v>614763.01</v>
      </c>
      <c r="H48" s="121"/>
      <c r="I48" s="147">
        <f t="shared" si="1"/>
        <v>-614763.01</v>
      </c>
      <c r="J48" s="147">
        <f t="array" ref="J48">SUM(('Отчет по покупателям УТ'!$M$6:$M$5000='Check 1S 62 vs UT'!$A48)*('Отчет по покупателям УТ'!$X$6:$X$5000))</f>
        <v>0</v>
      </c>
      <c r="K48" s="147">
        <f t="shared" si="2"/>
        <v>614763.01</v>
      </c>
      <c r="L48" s="106"/>
      <c r="M48" s="106"/>
      <c r="N48" s="315"/>
      <c r="O48" s="106"/>
      <c r="P48" s="106"/>
      <c r="Q48" s="106"/>
      <c r="R48" s="106"/>
      <c r="S48" s="106"/>
      <c r="T48" s="106"/>
      <c r="U48" s="107"/>
      <c r="V48" s="107"/>
      <c r="W48" s="107"/>
      <c r="X48" s="107"/>
      <c r="Y48" s="107"/>
      <c r="Z48" s="104"/>
      <c r="AA48" s="104"/>
    </row>
    <row r="49" spans="1:25" s="104" customFormat="1" ht="12" x14ac:dyDescent="0.2">
      <c r="A49" s="129" t="s">
        <v>145</v>
      </c>
      <c r="B49" s="133">
        <v>758263.2</v>
      </c>
      <c r="C49" s="133"/>
      <c r="D49" s="133"/>
      <c r="E49" s="133">
        <v>702000</v>
      </c>
      <c r="F49" s="133">
        <v>56263.199999999997</v>
      </c>
      <c r="G49" s="133"/>
      <c r="H49" s="119"/>
      <c r="I49" s="147">
        <f t="shared" si="1"/>
        <v>56263.199999999997</v>
      </c>
      <c r="J49" s="147">
        <f t="array" ref="J49">SUM(('Отчет по покупателям УТ'!$M$6:$M$5000='Check 1S 62 vs UT'!$A49)*('Отчет по покупателям УТ'!$X$6:$X$5000))</f>
        <v>-53</v>
      </c>
      <c r="K49" s="147">
        <f t="shared" si="2"/>
        <v>-56316.2</v>
      </c>
      <c r="L49" s="86"/>
      <c r="M49" s="86"/>
      <c r="N49" s="316"/>
      <c r="O49" s="86"/>
      <c r="P49" s="86"/>
      <c r="Q49" s="86"/>
      <c r="R49" s="86"/>
      <c r="S49" s="86"/>
      <c r="T49" s="86"/>
      <c r="U49" s="110"/>
      <c r="V49" s="110"/>
      <c r="W49" s="110"/>
      <c r="X49" s="110"/>
      <c r="Y49" s="110"/>
    </row>
    <row r="50" spans="1:25" s="104" customFormat="1" ht="12" x14ac:dyDescent="0.2">
      <c r="A50" s="129" t="s">
        <v>1028</v>
      </c>
      <c r="B50" s="133"/>
      <c r="C50" s="133">
        <v>529500</v>
      </c>
      <c r="D50" s="133">
        <v>529500</v>
      </c>
      <c r="E50" s="133"/>
      <c r="F50" s="133"/>
      <c r="G50" s="133"/>
      <c r="H50" s="112"/>
      <c r="I50" s="147">
        <f t="shared" si="1"/>
        <v>0</v>
      </c>
      <c r="J50" s="147">
        <f t="array" ref="J50">SUM(('Отчет по покупателям УТ'!$M$6:$M$5000='Check 1S 62 vs UT'!$A50)*('Отчет по покупателям УТ'!$X$6:$X$5000))</f>
        <v>0</v>
      </c>
      <c r="K50" s="147">
        <f t="shared" si="2"/>
        <v>0</v>
      </c>
      <c r="L50" s="86"/>
      <c r="M50" s="86"/>
      <c r="N50" s="316"/>
      <c r="O50" s="86"/>
      <c r="P50" s="86"/>
      <c r="Q50" s="86"/>
      <c r="R50" s="86"/>
      <c r="S50" s="86"/>
      <c r="T50" s="86"/>
      <c r="U50" s="110"/>
      <c r="V50" s="110"/>
      <c r="W50" s="110"/>
      <c r="X50" s="110"/>
      <c r="Y50" s="110"/>
    </row>
    <row r="51" spans="1:25" s="104" customFormat="1" ht="12" x14ac:dyDescent="0.2">
      <c r="A51" s="129" t="s">
        <v>148</v>
      </c>
      <c r="B51" s="133">
        <v>808562.37</v>
      </c>
      <c r="C51" s="133"/>
      <c r="D51" s="133">
        <v>1513815.63</v>
      </c>
      <c r="E51" s="133">
        <v>1743465.63</v>
      </c>
      <c r="F51" s="133">
        <v>578912.37</v>
      </c>
      <c r="G51" s="133"/>
      <c r="H51" s="121"/>
      <c r="I51" s="147">
        <f t="shared" si="1"/>
        <v>578912.37</v>
      </c>
      <c r="J51" s="147">
        <f t="array" ref="J51">SUM(('Отчет по покупателям УТ'!$M$6:$M$5000='Check 1S 62 vs UT'!$A51)*('Отчет по покупателям УТ'!$X$6:$X$5000))</f>
        <v>598252.14999999991</v>
      </c>
      <c r="K51" s="147">
        <f t="shared" si="2"/>
        <v>19339.779999999912</v>
      </c>
      <c r="L51" s="106"/>
      <c r="M51" s="106"/>
      <c r="N51" s="315"/>
      <c r="O51" s="106"/>
      <c r="P51" s="106"/>
      <c r="Q51" s="106"/>
      <c r="R51" s="106"/>
      <c r="S51" s="106"/>
      <c r="T51" s="106"/>
      <c r="U51" s="107"/>
      <c r="V51" s="107"/>
      <c r="W51" s="107"/>
      <c r="X51" s="107"/>
      <c r="Y51" s="107"/>
    </row>
    <row r="52" spans="1:25" s="104" customFormat="1" ht="12" x14ac:dyDescent="0.2">
      <c r="A52" s="129" t="s">
        <v>1029</v>
      </c>
      <c r="B52" s="133"/>
      <c r="C52" s="133">
        <v>616050</v>
      </c>
      <c r="D52" s="133">
        <v>616050</v>
      </c>
      <c r="E52" s="133"/>
      <c r="F52" s="133"/>
      <c r="G52" s="133"/>
      <c r="H52" s="119"/>
      <c r="I52" s="147">
        <f t="shared" si="1"/>
        <v>0</v>
      </c>
      <c r="J52" s="147">
        <f t="array" ref="J52">SUM(('Отчет по покупателям УТ'!$M$6:$M$5000='Check 1S 62 vs UT'!$A52)*('Отчет по покупателям УТ'!$X$6:$X$5000))</f>
        <v>0</v>
      </c>
      <c r="K52" s="147">
        <f t="shared" si="2"/>
        <v>0</v>
      </c>
      <c r="L52" s="86"/>
      <c r="M52" s="86"/>
      <c r="N52" s="316"/>
      <c r="O52" s="86"/>
      <c r="P52" s="86"/>
      <c r="Q52" s="86"/>
      <c r="R52" s="86"/>
      <c r="S52" s="86"/>
      <c r="T52" s="86"/>
      <c r="U52" s="110"/>
      <c r="V52" s="110"/>
      <c r="W52" s="110"/>
      <c r="X52" s="110"/>
      <c r="Y52" s="110"/>
    </row>
    <row r="53" spans="1:25" s="104" customFormat="1" ht="12" x14ac:dyDescent="0.2">
      <c r="A53" s="129" t="s">
        <v>1030</v>
      </c>
      <c r="B53" s="133"/>
      <c r="C53" s="133"/>
      <c r="D53" s="133"/>
      <c r="E53" s="133">
        <v>163750</v>
      </c>
      <c r="F53" s="133"/>
      <c r="G53" s="133">
        <v>163750</v>
      </c>
      <c r="H53" s="112"/>
      <c r="I53" s="147">
        <f t="shared" si="1"/>
        <v>-163750</v>
      </c>
      <c r="J53" s="147">
        <f t="array" ref="J53">SUM(('Отчет по покупателям УТ'!$M$6:$M$5000='Check 1S 62 vs UT'!$A53)*('Отчет по покупателям УТ'!$X$6:$X$5000))</f>
        <v>0</v>
      </c>
      <c r="K53" s="147">
        <f t="shared" si="2"/>
        <v>163750</v>
      </c>
      <c r="L53" s="86"/>
      <c r="M53" s="86"/>
      <c r="N53" s="316"/>
      <c r="O53" s="86"/>
      <c r="P53" s="86"/>
      <c r="Q53" s="86"/>
      <c r="R53" s="86"/>
      <c r="S53" s="86"/>
      <c r="T53" s="86"/>
      <c r="U53" s="110"/>
      <c r="V53" s="110"/>
      <c r="W53" s="110"/>
      <c r="X53" s="110"/>
      <c r="Y53" s="110"/>
    </row>
    <row r="54" spans="1:25" s="104" customFormat="1" ht="12" x14ac:dyDescent="0.2">
      <c r="A54" s="129" t="s">
        <v>149</v>
      </c>
      <c r="B54" s="133"/>
      <c r="C54" s="133">
        <v>337883.74</v>
      </c>
      <c r="D54" s="133">
        <v>71800</v>
      </c>
      <c r="E54" s="133">
        <v>71800</v>
      </c>
      <c r="F54" s="133"/>
      <c r="G54" s="133">
        <v>337883.74</v>
      </c>
      <c r="H54" s="121"/>
      <c r="I54" s="147">
        <f t="shared" si="1"/>
        <v>-337883.74</v>
      </c>
      <c r="J54" s="147">
        <f t="array" ref="J54">SUM(('Отчет по покупателям УТ'!$M$6:$M$5000='Check 1S 62 vs UT'!$A54)*('Отчет по покупателям УТ'!$X$6:$X$5000))</f>
        <v>-580403.11</v>
      </c>
      <c r="K54" s="147">
        <f t="shared" si="2"/>
        <v>-242519.37</v>
      </c>
      <c r="L54" s="106"/>
      <c r="M54" s="106"/>
      <c r="N54" s="315"/>
      <c r="O54" s="106"/>
      <c r="P54" s="106"/>
      <c r="Q54" s="106"/>
      <c r="R54" s="106"/>
      <c r="S54" s="106"/>
      <c r="T54" s="106"/>
      <c r="U54" s="107"/>
      <c r="V54" s="107"/>
      <c r="W54" s="107"/>
      <c r="X54" s="107"/>
      <c r="Y54" s="107"/>
    </row>
    <row r="55" spans="1:25" s="104" customFormat="1" ht="12" x14ac:dyDescent="0.2">
      <c r="A55" s="129" t="s">
        <v>150</v>
      </c>
      <c r="B55" s="133"/>
      <c r="C55" s="133">
        <v>413.01</v>
      </c>
      <c r="D55" s="133"/>
      <c r="E55" s="133"/>
      <c r="F55" s="133"/>
      <c r="G55" s="133">
        <v>413.01</v>
      </c>
      <c r="H55" s="119"/>
      <c r="I55" s="147">
        <f t="shared" si="1"/>
        <v>-413.01</v>
      </c>
      <c r="J55" s="147">
        <f t="array" ref="J55">SUM(('Отчет по покупателям УТ'!$M$6:$M$5000='Check 1S 62 vs UT'!$A55)*('Отчет по покупателям УТ'!$X$6:$X$5000))</f>
        <v>-413.01</v>
      </c>
      <c r="K55" s="147">
        <f t="shared" si="2"/>
        <v>0</v>
      </c>
      <c r="L55" s="86"/>
      <c r="M55" s="86"/>
      <c r="N55" s="316"/>
      <c r="O55" s="86"/>
      <c r="P55" s="86"/>
      <c r="Q55" s="86"/>
      <c r="R55" s="86"/>
      <c r="S55" s="86"/>
      <c r="T55" s="86"/>
      <c r="U55" s="110"/>
      <c r="V55" s="110"/>
      <c r="W55" s="110"/>
      <c r="X55" s="110"/>
      <c r="Y55" s="110"/>
    </row>
    <row r="56" spans="1:25" s="104" customFormat="1" ht="12" x14ac:dyDescent="0.2">
      <c r="A56" s="129" t="s">
        <v>874</v>
      </c>
      <c r="B56" s="133"/>
      <c r="C56" s="133">
        <v>11250</v>
      </c>
      <c r="D56" s="133">
        <v>965800</v>
      </c>
      <c r="E56" s="133">
        <v>1003609</v>
      </c>
      <c r="F56" s="133"/>
      <c r="G56" s="133">
        <v>49059</v>
      </c>
      <c r="H56" s="112"/>
      <c r="I56" s="147">
        <f t="shared" si="1"/>
        <v>-49059</v>
      </c>
      <c r="J56" s="147">
        <f t="array" ref="J56">SUM(('Отчет по покупателям УТ'!$M$6:$M$5000='Check 1S 62 vs UT'!$A56)*('Отчет по покупателям УТ'!$X$6:$X$5000))</f>
        <v>-139331</v>
      </c>
      <c r="K56" s="147">
        <f t="shared" si="2"/>
        <v>-90272</v>
      </c>
      <c r="L56" s="86"/>
      <c r="M56" s="86"/>
      <c r="N56" s="316"/>
      <c r="O56" s="86"/>
      <c r="P56" s="86"/>
      <c r="Q56" s="86"/>
      <c r="R56" s="86"/>
      <c r="S56" s="86"/>
      <c r="T56" s="86"/>
      <c r="U56" s="110"/>
      <c r="V56" s="110"/>
      <c r="W56" s="110"/>
      <c r="X56" s="110"/>
      <c r="Y56" s="110"/>
    </row>
    <row r="57" spans="1:25" s="104" customFormat="1" ht="12" x14ac:dyDescent="0.2">
      <c r="A57" s="129" t="s">
        <v>152</v>
      </c>
      <c r="B57" s="133"/>
      <c r="C57" s="133">
        <v>118113</v>
      </c>
      <c r="D57" s="133"/>
      <c r="E57" s="133"/>
      <c r="F57" s="133"/>
      <c r="G57" s="133">
        <v>118113</v>
      </c>
      <c r="H57" s="121"/>
      <c r="I57" s="147">
        <f t="shared" si="1"/>
        <v>-118113</v>
      </c>
      <c r="J57" s="147">
        <f t="array" ref="J57">SUM(('Отчет по покупателям УТ'!$M$6:$M$5000='Check 1S 62 vs UT'!$A57)*('Отчет по покупателям УТ'!$X$6:$X$5000))</f>
        <v>-241562</v>
      </c>
      <c r="K57" s="147">
        <f t="shared" si="2"/>
        <v>-123449</v>
      </c>
      <c r="L57" s="106"/>
      <c r="M57" s="106"/>
      <c r="N57" s="315"/>
      <c r="O57" s="106"/>
      <c r="P57" s="106"/>
      <c r="Q57" s="106"/>
      <c r="R57" s="106"/>
      <c r="S57" s="106"/>
      <c r="T57" s="106"/>
      <c r="U57" s="107"/>
      <c r="V57" s="107"/>
      <c r="W57" s="107"/>
      <c r="X57" s="107"/>
      <c r="Y57" s="107"/>
    </row>
    <row r="58" spans="1:25" s="104" customFormat="1" ht="12" x14ac:dyDescent="0.2">
      <c r="A58" s="129" t="s">
        <v>154</v>
      </c>
      <c r="B58" s="133"/>
      <c r="C58" s="133">
        <v>100621.06</v>
      </c>
      <c r="D58" s="133"/>
      <c r="E58" s="133"/>
      <c r="F58" s="133"/>
      <c r="G58" s="133">
        <v>100621.06</v>
      </c>
      <c r="H58" s="119"/>
      <c r="I58" s="147">
        <f t="shared" si="1"/>
        <v>-100621.06</v>
      </c>
      <c r="J58" s="147">
        <f t="array" ref="J58">SUM(('Отчет по покупателям УТ'!$M$6:$M$5000='Check 1S 62 vs UT'!$A58)*('Отчет по покупателям УТ'!$X$6:$X$5000))</f>
        <v>-178707.59999999998</v>
      </c>
      <c r="K58" s="147">
        <f t="shared" si="2"/>
        <v>-78086.539999999979</v>
      </c>
      <c r="L58" s="86"/>
      <c r="M58" s="86"/>
      <c r="N58" s="316"/>
      <c r="O58" s="86"/>
      <c r="P58" s="86"/>
      <c r="Q58" s="86"/>
      <c r="R58" s="86"/>
      <c r="S58" s="86"/>
      <c r="T58" s="86"/>
      <c r="U58" s="110"/>
      <c r="V58" s="110"/>
      <c r="W58" s="110"/>
      <c r="X58" s="110"/>
      <c r="Y58" s="110"/>
    </row>
    <row r="59" spans="1:25" s="104" customFormat="1" ht="12" x14ac:dyDescent="0.2">
      <c r="A59" s="129" t="s">
        <v>156</v>
      </c>
      <c r="B59" s="133"/>
      <c r="C59" s="133">
        <v>60350.7</v>
      </c>
      <c r="D59" s="133"/>
      <c r="E59" s="133">
        <v>255600</v>
      </c>
      <c r="F59" s="133"/>
      <c r="G59" s="133">
        <v>315950.7</v>
      </c>
      <c r="H59" s="112"/>
      <c r="I59" s="147">
        <f t="shared" si="1"/>
        <v>-315950.7</v>
      </c>
      <c r="J59" s="147">
        <f t="array" ref="J59">SUM(('Отчет по покупателям УТ'!$M$6:$M$5000='Check 1S 62 vs UT'!$A59)*('Отчет по покупателям УТ'!$X$6:$X$5000))</f>
        <v>-110330.7</v>
      </c>
      <c r="K59" s="147">
        <f t="shared" si="2"/>
        <v>205620</v>
      </c>
      <c r="L59" s="86"/>
      <c r="M59" s="86"/>
      <c r="N59" s="316"/>
      <c r="O59" s="86"/>
      <c r="P59" s="86"/>
      <c r="Q59" s="86"/>
      <c r="R59" s="86"/>
      <c r="S59" s="86"/>
      <c r="T59" s="86"/>
      <c r="U59" s="110"/>
      <c r="V59" s="110"/>
      <c r="W59" s="110"/>
      <c r="X59" s="110"/>
      <c r="Y59" s="110"/>
    </row>
    <row r="60" spans="1:25" s="104" customFormat="1" ht="12" x14ac:dyDescent="0.2">
      <c r="A60" s="129" t="s">
        <v>158</v>
      </c>
      <c r="B60" s="133"/>
      <c r="C60" s="133">
        <v>245.97</v>
      </c>
      <c r="D60" s="133">
        <v>228990</v>
      </c>
      <c r="E60" s="133">
        <v>228990</v>
      </c>
      <c r="F60" s="133"/>
      <c r="G60" s="133">
        <v>245.97</v>
      </c>
      <c r="H60" s="121"/>
      <c r="I60" s="147">
        <f t="shared" si="1"/>
        <v>-245.97</v>
      </c>
      <c r="J60" s="147">
        <f t="array" ref="J60">SUM(('Отчет по покупателям УТ'!$M$6:$M$5000='Check 1S 62 vs UT'!$A60)*('Отчет по покупателям УТ'!$X$6:$X$5000))</f>
        <v>-245.97</v>
      </c>
      <c r="K60" s="147">
        <f t="shared" si="2"/>
        <v>0</v>
      </c>
      <c r="L60" s="106"/>
      <c r="M60" s="106"/>
      <c r="N60" s="315"/>
      <c r="O60" s="106"/>
      <c r="P60" s="106"/>
      <c r="Q60" s="106"/>
      <c r="R60" s="106"/>
      <c r="S60" s="106"/>
      <c r="T60" s="106"/>
      <c r="U60" s="107"/>
      <c r="V60" s="114"/>
      <c r="W60" s="107"/>
      <c r="X60" s="107"/>
      <c r="Y60" s="107"/>
    </row>
    <row r="61" spans="1:25" s="104" customFormat="1" ht="12" x14ac:dyDescent="0.2">
      <c r="A61" s="129" t="s">
        <v>1199</v>
      </c>
      <c r="B61" s="133"/>
      <c r="C61" s="133"/>
      <c r="D61" s="133">
        <v>198990</v>
      </c>
      <c r="E61" s="133">
        <v>198990</v>
      </c>
      <c r="F61" s="133"/>
      <c r="G61" s="133"/>
      <c r="H61" s="119"/>
      <c r="I61" s="147">
        <f t="shared" si="1"/>
        <v>0</v>
      </c>
      <c r="J61" s="147">
        <f t="array" ref="J61">SUM(('Отчет по покупателям УТ'!$M$6:$M$5000='Check 1S 62 vs UT'!$A61)*('Отчет по покупателям УТ'!$X$6:$X$5000))</f>
        <v>0</v>
      </c>
      <c r="K61" s="147">
        <f t="shared" si="2"/>
        <v>0</v>
      </c>
      <c r="L61" s="86"/>
      <c r="M61" s="86"/>
      <c r="N61" s="316"/>
      <c r="O61" s="86"/>
      <c r="P61" s="86"/>
      <c r="Q61" s="86"/>
      <c r="R61" s="86"/>
      <c r="S61" s="86"/>
      <c r="T61" s="86"/>
      <c r="U61" s="110"/>
      <c r="V61" s="115"/>
      <c r="W61" s="110"/>
      <c r="X61" s="110"/>
      <c r="Y61" s="110"/>
    </row>
    <row r="62" spans="1:25" s="104" customFormat="1" ht="12" x14ac:dyDescent="0.2">
      <c r="A62" s="129" t="s">
        <v>164</v>
      </c>
      <c r="B62" s="133"/>
      <c r="C62" s="133">
        <v>79689.259999999995</v>
      </c>
      <c r="D62" s="133"/>
      <c r="E62" s="133"/>
      <c r="F62" s="133"/>
      <c r="G62" s="133">
        <v>79689.259999999995</v>
      </c>
      <c r="H62" s="112"/>
      <c r="I62" s="147">
        <f t="shared" si="1"/>
        <v>-79689.259999999995</v>
      </c>
      <c r="J62" s="147">
        <f t="array" ref="J62">SUM(('Отчет по покупателям УТ'!$M$6:$M$5000='Check 1S 62 vs UT'!$A62)*('Отчет по покупателям УТ'!$X$6:$X$5000))</f>
        <v>-79689.259999999995</v>
      </c>
      <c r="K62" s="147">
        <f t="shared" si="2"/>
        <v>0</v>
      </c>
      <c r="L62" s="86"/>
      <c r="M62" s="86"/>
      <c r="N62" s="316"/>
      <c r="O62" s="86"/>
      <c r="P62" s="86"/>
      <c r="Q62" s="86"/>
      <c r="R62" s="86"/>
      <c r="S62" s="86"/>
      <c r="T62" s="86"/>
      <c r="U62" s="110"/>
      <c r="V62" s="115"/>
      <c r="W62" s="110"/>
      <c r="X62" s="110"/>
      <c r="Y62" s="110"/>
    </row>
    <row r="63" spans="1:25" s="104" customFormat="1" ht="12" x14ac:dyDescent="0.2">
      <c r="A63" s="129" t="s">
        <v>168</v>
      </c>
      <c r="B63" s="133"/>
      <c r="C63" s="133">
        <v>1199.95</v>
      </c>
      <c r="D63" s="133"/>
      <c r="E63" s="133"/>
      <c r="F63" s="133"/>
      <c r="G63" s="133">
        <v>1199.95</v>
      </c>
      <c r="H63" s="121"/>
      <c r="I63" s="147">
        <f t="shared" si="1"/>
        <v>-1199.95</v>
      </c>
      <c r="J63" s="147">
        <f t="array" ref="J63">SUM(('Отчет по покупателям УТ'!$M$6:$M$5000='Check 1S 62 vs UT'!$A63)*('Отчет по покупателям УТ'!$X$6:$X$5000))</f>
        <v>-35353.949999999997</v>
      </c>
      <c r="K63" s="147">
        <f t="shared" si="2"/>
        <v>-34154</v>
      </c>
      <c r="L63" s="106"/>
      <c r="M63" s="106"/>
      <c r="N63" s="315"/>
      <c r="O63" s="106"/>
      <c r="P63" s="106"/>
      <c r="Q63" s="106"/>
      <c r="R63" s="106"/>
      <c r="S63" s="106"/>
      <c r="T63" s="106"/>
      <c r="U63" s="107"/>
      <c r="V63" s="107"/>
      <c r="W63" s="107"/>
      <c r="X63" s="107"/>
      <c r="Y63" s="107"/>
    </row>
    <row r="64" spans="1:25" s="104" customFormat="1" ht="12" x14ac:dyDescent="0.2">
      <c r="A64" s="129" t="s">
        <v>769</v>
      </c>
      <c r="B64" s="133"/>
      <c r="C64" s="133">
        <v>301128.5</v>
      </c>
      <c r="D64" s="133"/>
      <c r="E64" s="133"/>
      <c r="F64" s="133"/>
      <c r="G64" s="133">
        <v>301128.5</v>
      </c>
      <c r="H64" s="119"/>
      <c r="I64" s="147">
        <f t="shared" si="1"/>
        <v>-301128.5</v>
      </c>
      <c r="J64" s="147">
        <f t="array" ref="J64">SUM(('Отчет по покупателям УТ'!$M$6:$M$5000='Check 1S 62 vs UT'!$A64)*('Отчет по покупателям УТ'!$X$6:$X$5000))</f>
        <v>-301128.5</v>
      </c>
      <c r="K64" s="147">
        <f t="shared" si="2"/>
        <v>0</v>
      </c>
      <c r="L64" s="86"/>
      <c r="M64" s="86"/>
      <c r="N64" s="316"/>
      <c r="O64" s="86"/>
      <c r="P64" s="86"/>
      <c r="Q64" s="86"/>
      <c r="R64" s="86"/>
      <c r="S64" s="86"/>
      <c r="T64" s="86"/>
      <c r="U64" s="110"/>
      <c r="V64" s="110"/>
      <c r="W64" s="110"/>
      <c r="X64" s="110"/>
      <c r="Y64" s="110"/>
    </row>
    <row r="65" spans="1:28" ht="12" x14ac:dyDescent="0.2">
      <c r="A65" s="129" t="s">
        <v>175</v>
      </c>
      <c r="B65" s="133"/>
      <c r="C65" s="133">
        <v>1583.98</v>
      </c>
      <c r="D65" s="133"/>
      <c r="E65" s="133"/>
      <c r="F65" s="133"/>
      <c r="G65" s="133">
        <v>1583.98</v>
      </c>
      <c r="H65" s="112"/>
      <c r="I65" s="147">
        <f t="shared" si="1"/>
        <v>-1583.98</v>
      </c>
      <c r="J65" s="147">
        <f t="array" ref="J65">SUM(('Отчет по покупателям УТ'!$M$6:$M$5000='Check 1S 62 vs UT'!$A65)*('Отчет по покупателям УТ'!$X$6:$X$5000))</f>
        <v>0</v>
      </c>
      <c r="K65" s="147">
        <f t="shared" si="2"/>
        <v>1583.98</v>
      </c>
      <c r="L65" s="86"/>
      <c r="M65" s="86"/>
      <c r="N65" s="316"/>
      <c r="O65" s="86"/>
      <c r="P65" s="86"/>
      <c r="Q65" s="86"/>
      <c r="R65" s="86"/>
      <c r="S65" s="86"/>
      <c r="T65" s="86"/>
      <c r="U65" s="110"/>
      <c r="V65" s="110"/>
      <c r="W65" s="110"/>
      <c r="X65" s="110"/>
      <c r="Y65" s="110"/>
      <c r="Z65" s="104"/>
      <c r="AA65" s="104"/>
    </row>
    <row r="66" spans="1:28" ht="12" x14ac:dyDescent="0.2">
      <c r="A66" s="129" t="s">
        <v>178</v>
      </c>
      <c r="B66" s="133"/>
      <c r="C66" s="133">
        <v>635388.07999999996</v>
      </c>
      <c r="D66" s="133">
        <v>873080</v>
      </c>
      <c r="E66" s="133">
        <v>722908.28</v>
      </c>
      <c r="F66" s="133"/>
      <c r="G66" s="133">
        <v>485216.36</v>
      </c>
      <c r="H66" s="121"/>
      <c r="I66" s="147">
        <f t="shared" si="1"/>
        <v>-485216.36</v>
      </c>
      <c r="J66" s="147">
        <f t="array" ref="J66">SUM(('Отчет по покупателям УТ'!$M$6:$M$5000='Check 1S 62 vs UT'!$A66)*('Отчет по покупателям УТ'!$X$6:$X$5000))</f>
        <v>-1123932.3999999999</v>
      </c>
      <c r="K66" s="147">
        <f t="shared" si="2"/>
        <v>-638716.03999999992</v>
      </c>
      <c r="L66" s="106"/>
      <c r="M66" s="106"/>
      <c r="N66" s="315"/>
      <c r="O66" s="106"/>
      <c r="P66" s="106"/>
      <c r="Q66" s="106"/>
      <c r="R66" s="106"/>
      <c r="S66" s="107"/>
      <c r="T66" s="108"/>
      <c r="U66" s="106"/>
      <c r="V66" s="106"/>
      <c r="W66" s="107"/>
      <c r="X66" s="107"/>
      <c r="Y66" s="107"/>
      <c r="Z66" s="104"/>
      <c r="AA66" s="104"/>
    </row>
    <row r="67" spans="1:28" ht="12" x14ac:dyDescent="0.2">
      <c r="A67" s="129" t="s">
        <v>180</v>
      </c>
      <c r="B67" s="133">
        <v>224122.5</v>
      </c>
      <c r="C67" s="133"/>
      <c r="D67" s="133"/>
      <c r="E67" s="133">
        <v>138180</v>
      </c>
      <c r="F67" s="133">
        <v>85942.5</v>
      </c>
      <c r="G67" s="133"/>
      <c r="H67" s="119"/>
      <c r="I67" s="147">
        <f t="shared" si="1"/>
        <v>85942.5</v>
      </c>
      <c r="J67" s="147">
        <f t="array" ref="J67">SUM(('Отчет по покупателям УТ'!$M$6:$M$5000='Check 1S 62 vs UT'!$A67)*('Отчет по покупателям УТ'!$X$6:$X$5000))</f>
        <v>85942.5</v>
      </c>
      <c r="K67" s="147">
        <f t="shared" si="2"/>
        <v>0</v>
      </c>
      <c r="L67" s="86"/>
      <c r="M67" s="86"/>
      <c r="N67" s="316"/>
      <c r="O67" s="86"/>
      <c r="P67" s="86"/>
      <c r="Q67" s="86"/>
      <c r="R67" s="86"/>
      <c r="S67" s="110"/>
      <c r="T67" s="111"/>
      <c r="U67" s="86"/>
      <c r="V67" s="86"/>
      <c r="W67" s="110"/>
      <c r="X67" s="110"/>
      <c r="Y67" s="110"/>
      <c r="Z67" s="104"/>
      <c r="AA67" s="104"/>
    </row>
    <row r="68" spans="1:28" ht="12" x14ac:dyDescent="0.2">
      <c r="A68" s="129" t="s">
        <v>183</v>
      </c>
      <c r="B68" s="133"/>
      <c r="C68" s="133">
        <v>18087.14</v>
      </c>
      <c r="D68" s="133"/>
      <c r="E68" s="133"/>
      <c r="F68" s="133"/>
      <c r="G68" s="133">
        <v>18087.14</v>
      </c>
      <c r="H68" s="112"/>
      <c r="I68" s="147">
        <f t="shared" si="1"/>
        <v>-18087.14</v>
      </c>
      <c r="J68" s="147">
        <f t="array" ref="J68">SUM(('Отчет по покупателям УТ'!$M$6:$M$5000='Check 1S 62 vs UT'!$A68)*('Отчет по покупателям УТ'!$X$6:$X$5000))</f>
        <v>-18087.14</v>
      </c>
      <c r="K68" s="147">
        <f t="shared" si="2"/>
        <v>0</v>
      </c>
      <c r="L68" s="86"/>
      <c r="M68" s="86"/>
      <c r="N68" s="316"/>
      <c r="O68" s="86"/>
      <c r="P68" s="86"/>
      <c r="Q68" s="86"/>
      <c r="R68" s="86"/>
      <c r="S68" s="110"/>
      <c r="T68" s="111"/>
      <c r="U68" s="86"/>
      <c r="V68" s="86"/>
      <c r="W68" s="110"/>
      <c r="X68" s="110"/>
      <c r="Y68" s="110"/>
      <c r="Z68" s="104"/>
      <c r="AA68" s="104"/>
    </row>
    <row r="69" spans="1:28" ht="12" x14ac:dyDescent="0.2">
      <c r="A69" s="129" t="s">
        <v>185</v>
      </c>
      <c r="B69" s="133">
        <v>6370796.9000000004</v>
      </c>
      <c r="C69" s="133"/>
      <c r="D69" s="133">
        <v>815025</v>
      </c>
      <c r="E69" s="133">
        <v>1107000</v>
      </c>
      <c r="F69" s="133">
        <v>6078821.9000000004</v>
      </c>
      <c r="G69" s="133"/>
      <c r="H69" s="121"/>
      <c r="I69" s="147">
        <f t="shared" si="1"/>
        <v>6078821.9000000004</v>
      </c>
      <c r="J69" s="147">
        <f t="array" ref="J69">SUM(('Отчет по покупателям УТ'!$M$6:$M$5000='Check 1S 62 vs UT'!$A69)*('Отчет по покупателям УТ'!$X$6:$X$5000))</f>
        <v>5949681.5600000005</v>
      </c>
      <c r="K69" s="147">
        <f t="shared" si="2"/>
        <v>-129140.33999999985</v>
      </c>
      <c r="L69" s="108"/>
      <c r="M69" s="107"/>
      <c r="N69" s="317"/>
      <c r="O69" s="107"/>
      <c r="P69" s="108"/>
      <c r="Q69" s="106"/>
      <c r="R69" s="106"/>
      <c r="S69" s="107"/>
      <c r="T69" s="108"/>
      <c r="U69" s="106"/>
      <c r="V69" s="106"/>
      <c r="W69" s="107"/>
      <c r="X69" s="107"/>
      <c r="Y69" s="109"/>
      <c r="AB69" s="103"/>
    </row>
    <row r="70" spans="1:28" ht="12" x14ac:dyDescent="0.2">
      <c r="A70" s="129" t="s">
        <v>782</v>
      </c>
      <c r="B70" s="133"/>
      <c r="C70" s="133">
        <v>278680.69</v>
      </c>
      <c r="D70" s="133"/>
      <c r="E70" s="133"/>
      <c r="F70" s="133"/>
      <c r="G70" s="133">
        <v>278680.69</v>
      </c>
      <c r="H70" s="121"/>
      <c r="I70" s="147">
        <f t="shared" si="1"/>
        <v>-278680.69</v>
      </c>
      <c r="J70" s="147">
        <f t="array" ref="J70">SUM(('Отчет по покупателям УТ'!$M$6:$M$5000='Check 1S 62 vs UT'!$A70)*('Отчет по покупателям УТ'!$X$6:$X$5000))</f>
        <v>-278680.69</v>
      </c>
      <c r="K70" s="147">
        <f t="shared" si="2"/>
        <v>0</v>
      </c>
      <c r="L70" s="108"/>
      <c r="M70" s="106"/>
      <c r="N70" s="315"/>
      <c r="O70" s="107"/>
      <c r="P70" s="108"/>
      <c r="Q70" s="106"/>
      <c r="R70" s="106"/>
      <c r="S70" s="106"/>
      <c r="T70" s="106"/>
      <c r="U70" s="106"/>
      <c r="V70" s="106"/>
      <c r="W70" s="107"/>
      <c r="X70" s="107"/>
      <c r="Y70" s="107"/>
      <c r="Z70" s="104"/>
      <c r="AA70" s="104"/>
    </row>
    <row r="71" spans="1:28" ht="12" x14ac:dyDescent="0.2">
      <c r="A71" s="129" t="s">
        <v>212</v>
      </c>
      <c r="B71" s="133">
        <v>5215718.33</v>
      </c>
      <c r="C71" s="133"/>
      <c r="D71" s="133"/>
      <c r="E71" s="133"/>
      <c r="F71" s="133">
        <v>5215718.33</v>
      </c>
      <c r="G71" s="133"/>
      <c r="H71" s="119"/>
      <c r="I71" s="147">
        <f t="shared" si="1"/>
        <v>5215718.33</v>
      </c>
      <c r="J71" s="147">
        <f t="array" ref="J71">SUM(('Отчет по покупателям УТ'!$M$6:$M$5000='Check 1S 62 vs UT'!$A71)*('Отчет по покупателям УТ'!$X$6:$X$5000))</f>
        <v>0</v>
      </c>
      <c r="K71" s="147">
        <f t="shared" si="2"/>
        <v>-5215718.33</v>
      </c>
      <c r="L71" s="86"/>
      <c r="M71" s="86"/>
      <c r="N71" s="316"/>
      <c r="O71" s="110"/>
      <c r="P71" s="111"/>
      <c r="Q71" s="86"/>
      <c r="R71" s="86"/>
      <c r="S71" s="86"/>
      <c r="T71" s="86"/>
      <c r="U71" s="86"/>
      <c r="V71" s="86"/>
      <c r="W71" s="110"/>
      <c r="X71" s="110"/>
      <c r="Y71" s="110"/>
      <c r="Z71" s="104"/>
      <c r="AA71" s="104"/>
    </row>
    <row r="72" spans="1:28" ht="12" x14ac:dyDescent="0.2">
      <c r="A72" s="129" t="s">
        <v>240</v>
      </c>
      <c r="B72" s="133">
        <v>42162121.840000004</v>
      </c>
      <c r="C72" s="133"/>
      <c r="D72" s="133">
        <v>8075970.4500000002</v>
      </c>
      <c r="E72" s="133">
        <v>42684158.039999999</v>
      </c>
      <c r="F72" s="133">
        <v>7553934.25</v>
      </c>
      <c r="G72" s="133"/>
      <c r="H72" s="112"/>
      <c r="I72" s="147">
        <f t="shared" si="1"/>
        <v>7553934.25</v>
      </c>
      <c r="J72" s="147">
        <f t="array" ref="J72">SUM(('Отчет по покупателям УТ'!$M$6:$M$5000='Check 1S 62 vs UT'!$A72)*('Отчет по покупателям УТ'!$X$6:$X$5000))</f>
        <v>35454892.789999992</v>
      </c>
      <c r="K72" s="147">
        <f t="shared" si="2"/>
        <v>27900958.539999992</v>
      </c>
      <c r="L72" s="86"/>
      <c r="M72" s="86"/>
      <c r="N72" s="316"/>
      <c r="O72" s="110"/>
      <c r="P72" s="111"/>
      <c r="Q72" s="86"/>
      <c r="R72" s="86"/>
      <c r="S72" s="86"/>
      <c r="T72" s="86"/>
      <c r="U72" s="86"/>
      <c r="V72" s="86"/>
      <c r="W72" s="110"/>
      <c r="X72" s="110"/>
      <c r="Y72" s="110"/>
      <c r="Z72" s="104"/>
      <c r="AA72" s="104"/>
    </row>
    <row r="73" spans="1:28" ht="12" x14ac:dyDescent="0.2">
      <c r="A73" s="129" t="s">
        <v>721</v>
      </c>
      <c r="B73" s="133"/>
      <c r="C73" s="133"/>
      <c r="D73" s="133">
        <v>1614110</v>
      </c>
      <c r="E73" s="133">
        <v>1614110</v>
      </c>
      <c r="F73" s="133"/>
      <c r="G73" s="133"/>
      <c r="H73" s="119"/>
      <c r="I73" s="147">
        <f t="shared" si="1"/>
        <v>0</v>
      </c>
      <c r="J73" s="147">
        <f t="array" ref="J73">SUM(('Отчет по покупателям УТ'!$M$6:$M$5000='Check 1S 62 vs UT'!$A73)*('Отчет по покупателям УТ'!$X$6:$X$5000))</f>
        <v>0</v>
      </c>
      <c r="K73" s="147">
        <f t="shared" si="2"/>
        <v>0</v>
      </c>
      <c r="L73" s="86"/>
      <c r="M73" s="86"/>
      <c r="N73" s="316"/>
      <c r="O73" s="110"/>
      <c r="P73" s="111"/>
      <c r="Q73" s="86"/>
      <c r="R73" s="86"/>
      <c r="S73" s="86"/>
      <c r="T73" s="86"/>
      <c r="U73" s="86"/>
      <c r="V73" s="86"/>
      <c r="W73" s="110"/>
      <c r="X73" s="110"/>
      <c r="Y73" s="110"/>
      <c r="Z73" s="104"/>
      <c r="AA73" s="104"/>
    </row>
    <row r="74" spans="1:28" ht="12" x14ac:dyDescent="0.2">
      <c r="A74" s="129" t="s">
        <v>250</v>
      </c>
      <c r="B74" s="133"/>
      <c r="C74" s="133">
        <v>3775.8</v>
      </c>
      <c r="D74" s="133"/>
      <c r="E74" s="133"/>
      <c r="F74" s="133"/>
      <c r="G74" s="133">
        <v>3775.8</v>
      </c>
      <c r="H74" s="112"/>
      <c r="I74" s="147">
        <f t="shared" si="1"/>
        <v>-3775.8</v>
      </c>
      <c r="J74" s="147">
        <f t="array" ref="J74">SUM(('Отчет по покупателям УТ'!$M$6:$M$5000='Check 1S 62 vs UT'!$A74)*('Отчет по покупателям УТ'!$X$6:$X$5000))</f>
        <v>-3775.8</v>
      </c>
      <c r="K74" s="147">
        <f t="shared" si="2"/>
        <v>0</v>
      </c>
      <c r="L74" s="86"/>
      <c r="M74" s="86"/>
      <c r="N74" s="316"/>
      <c r="O74" s="110"/>
      <c r="P74" s="111"/>
      <c r="Q74" s="86"/>
      <c r="R74" s="86"/>
      <c r="S74" s="86"/>
      <c r="T74" s="86"/>
      <c r="U74" s="86"/>
      <c r="V74" s="86"/>
      <c r="W74" s="110"/>
      <c r="X74" s="110"/>
      <c r="Y74" s="110"/>
      <c r="Z74" s="104"/>
      <c r="AA74" s="104"/>
    </row>
    <row r="75" spans="1:28" ht="12" x14ac:dyDescent="0.2">
      <c r="A75" s="129" t="s">
        <v>253</v>
      </c>
      <c r="B75" s="133"/>
      <c r="C75" s="133">
        <v>6813.74</v>
      </c>
      <c r="D75" s="133"/>
      <c r="E75" s="133"/>
      <c r="F75" s="133"/>
      <c r="G75" s="133">
        <v>6813.74</v>
      </c>
      <c r="H75" s="119"/>
      <c r="I75" s="147">
        <f t="shared" ref="I75:I138" si="3">F75-G75</f>
        <v>-6813.74</v>
      </c>
      <c r="J75" s="147">
        <f t="array" ref="J75">SUM(('Отчет по покупателям УТ'!$M$6:$M$5000='Check 1S 62 vs UT'!$A75)*('Отчет по покупателям УТ'!$X$6:$X$5000))</f>
        <v>0</v>
      </c>
      <c r="K75" s="147">
        <f t="shared" ref="K75:K138" si="4">J75-I75</f>
        <v>6813.74</v>
      </c>
      <c r="L75" s="111"/>
      <c r="M75" s="86"/>
      <c r="N75" s="316"/>
      <c r="O75" s="86"/>
      <c r="P75" s="86"/>
      <c r="Q75" s="86"/>
      <c r="R75" s="86"/>
      <c r="S75" s="86"/>
      <c r="T75" s="86"/>
      <c r="U75" s="86"/>
      <c r="V75" s="86"/>
      <c r="W75" s="110"/>
      <c r="X75" s="110"/>
      <c r="Y75" s="110"/>
      <c r="Z75" s="104"/>
      <c r="AA75" s="104"/>
    </row>
    <row r="76" spans="1:28" ht="12" x14ac:dyDescent="0.2">
      <c r="A76" s="129" t="s">
        <v>256</v>
      </c>
      <c r="B76" s="133"/>
      <c r="C76" s="133">
        <v>114999.4</v>
      </c>
      <c r="D76" s="133">
        <v>877972</v>
      </c>
      <c r="E76" s="133">
        <v>877972</v>
      </c>
      <c r="F76" s="133"/>
      <c r="G76" s="133">
        <v>114999.4</v>
      </c>
      <c r="H76" s="112"/>
      <c r="I76" s="147">
        <f t="shared" si="3"/>
        <v>-114999.4</v>
      </c>
      <c r="J76" s="147">
        <f t="array" ref="J76">SUM(('Отчет по покупателям УТ'!$M$6:$M$5000='Check 1S 62 vs UT'!$A76)*('Отчет по покупателям УТ'!$X$6:$X$5000))</f>
        <v>-144999.4</v>
      </c>
      <c r="K76" s="147">
        <f t="shared" si="4"/>
        <v>-30000</v>
      </c>
      <c r="L76" s="111"/>
      <c r="M76" s="86"/>
      <c r="N76" s="316"/>
      <c r="O76" s="86"/>
      <c r="P76" s="86"/>
      <c r="Q76" s="86"/>
      <c r="R76" s="86"/>
      <c r="S76" s="86"/>
      <c r="T76" s="86"/>
      <c r="U76" s="86"/>
      <c r="V76" s="86"/>
      <c r="W76" s="110"/>
      <c r="X76" s="110"/>
      <c r="Y76" s="110"/>
      <c r="Z76" s="104"/>
      <c r="AA76" s="104"/>
    </row>
    <row r="77" spans="1:28" ht="12" x14ac:dyDescent="0.2">
      <c r="A77" s="129" t="s">
        <v>258</v>
      </c>
      <c r="B77" s="133"/>
      <c r="C77" s="133">
        <v>319617.68</v>
      </c>
      <c r="D77" s="133"/>
      <c r="E77" s="133"/>
      <c r="F77" s="133"/>
      <c r="G77" s="133">
        <v>319617.68</v>
      </c>
      <c r="H77" s="112"/>
      <c r="I77" s="147">
        <f t="shared" si="3"/>
        <v>-319617.68</v>
      </c>
      <c r="J77" s="147">
        <f t="array" ref="J77">SUM(('Отчет по покупателям УТ'!$M$6:$M$5000='Check 1S 62 vs UT'!$A77)*('Отчет по покупателям УТ'!$X$6:$X$5000))</f>
        <v>-694717.67999999993</v>
      </c>
      <c r="K77" s="147">
        <f t="shared" si="4"/>
        <v>-375099.99999999994</v>
      </c>
      <c r="L77" s="86"/>
      <c r="M77" s="86"/>
      <c r="N77" s="316"/>
      <c r="O77" s="86"/>
      <c r="P77" s="86"/>
      <c r="Q77" s="86"/>
      <c r="R77" s="86"/>
      <c r="S77" s="86"/>
      <c r="T77" s="86"/>
      <c r="U77" s="86"/>
      <c r="V77" s="86"/>
      <c r="W77" s="110"/>
      <c r="X77" s="110"/>
      <c r="Y77" s="110"/>
      <c r="Z77" s="104"/>
      <c r="AA77" s="104"/>
    </row>
    <row r="78" spans="1:28" ht="12" x14ac:dyDescent="0.2">
      <c r="A78" s="129" t="s">
        <v>262</v>
      </c>
      <c r="B78" s="133"/>
      <c r="C78" s="133">
        <v>118621.49</v>
      </c>
      <c r="D78" s="133"/>
      <c r="E78" s="133"/>
      <c r="F78" s="133"/>
      <c r="G78" s="133">
        <v>118621.49</v>
      </c>
      <c r="H78" s="112"/>
      <c r="I78" s="147">
        <f t="shared" si="3"/>
        <v>-118621.49</v>
      </c>
      <c r="J78" s="147">
        <f t="array" ref="J78">SUM(('Отчет по покупателям УТ'!$M$6:$M$5000='Check 1S 62 vs UT'!$A78)*('Отчет по покупателям УТ'!$X$6:$X$5000))</f>
        <v>-118621.49</v>
      </c>
      <c r="K78" s="147">
        <f t="shared" si="4"/>
        <v>0</v>
      </c>
      <c r="L78" s="86"/>
      <c r="M78" s="86"/>
      <c r="N78" s="316"/>
      <c r="O78" s="86"/>
      <c r="P78" s="86"/>
      <c r="Q78" s="86"/>
      <c r="R78" s="86"/>
      <c r="S78" s="86"/>
      <c r="T78" s="86"/>
      <c r="U78" s="86"/>
      <c r="V78" s="86"/>
      <c r="W78" s="110"/>
      <c r="X78" s="110"/>
      <c r="Y78" s="110"/>
      <c r="Z78" s="104"/>
      <c r="AA78" s="104"/>
    </row>
    <row r="79" spans="1:28" ht="12" x14ac:dyDescent="0.2">
      <c r="A79" s="129" t="s">
        <v>265</v>
      </c>
      <c r="B79" s="133"/>
      <c r="C79" s="133">
        <v>195827</v>
      </c>
      <c r="D79" s="133"/>
      <c r="E79" s="133">
        <v>457637.09</v>
      </c>
      <c r="F79" s="133"/>
      <c r="G79" s="133">
        <v>653464.09</v>
      </c>
      <c r="H79" s="112"/>
      <c r="I79" s="147">
        <f t="shared" si="3"/>
        <v>-653464.09</v>
      </c>
      <c r="J79" s="147">
        <f t="array" ref="J79">SUM(('Отчет по покупателям УТ'!$M$6:$M$5000='Check 1S 62 vs UT'!$A79)*('Отчет по покупателям УТ'!$X$6:$X$5000))</f>
        <v>-887638.04999999993</v>
      </c>
      <c r="K79" s="147">
        <f t="shared" si="4"/>
        <v>-234173.95999999996</v>
      </c>
      <c r="L79" s="86"/>
      <c r="M79" s="86"/>
      <c r="N79" s="316"/>
      <c r="O79" s="86"/>
      <c r="P79" s="86"/>
      <c r="Q79" s="86"/>
      <c r="R79" s="86"/>
      <c r="S79" s="86"/>
      <c r="T79" s="86"/>
      <c r="U79" s="86"/>
      <c r="V79" s="86"/>
      <c r="W79" s="110"/>
      <c r="X79" s="110"/>
      <c r="Y79" s="110"/>
      <c r="Z79" s="104"/>
      <c r="AA79" s="104"/>
    </row>
    <row r="80" spans="1:28" ht="12" x14ac:dyDescent="0.2">
      <c r="A80" s="129" t="s">
        <v>266</v>
      </c>
      <c r="B80" s="133"/>
      <c r="C80" s="133">
        <v>47278.38</v>
      </c>
      <c r="D80" s="133"/>
      <c r="E80" s="133"/>
      <c r="F80" s="133"/>
      <c r="G80" s="133">
        <v>47278.38</v>
      </c>
      <c r="H80" s="112"/>
      <c r="I80" s="147">
        <f t="shared" si="3"/>
        <v>-47278.38</v>
      </c>
      <c r="J80" s="147">
        <f t="array" ref="J80">SUM(('Отчет по покупателям УТ'!$M$6:$M$5000='Check 1S 62 vs UT'!$A80)*('Отчет по покупателям УТ'!$X$6:$X$5000))</f>
        <v>-47278.38</v>
      </c>
      <c r="K80" s="147">
        <f t="shared" si="4"/>
        <v>0</v>
      </c>
      <c r="L80" s="86"/>
      <c r="M80" s="86"/>
      <c r="N80" s="316"/>
      <c r="O80" s="86"/>
      <c r="P80" s="86"/>
      <c r="Q80" s="86"/>
      <c r="R80" s="86"/>
      <c r="S80" s="86"/>
      <c r="T80" s="86"/>
      <c r="U80" s="86"/>
      <c r="V80" s="86"/>
      <c r="W80" s="110"/>
      <c r="X80" s="110"/>
      <c r="Y80" s="110"/>
      <c r="Z80" s="104"/>
      <c r="AA80" s="104"/>
    </row>
    <row r="81" spans="1:25" s="104" customFormat="1" ht="12" x14ac:dyDescent="0.2">
      <c r="A81" s="129" t="s">
        <v>267</v>
      </c>
      <c r="B81" s="133"/>
      <c r="C81" s="133">
        <v>99105.75</v>
      </c>
      <c r="D81" s="133"/>
      <c r="E81" s="133"/>
      <c r="F81" s="133"/>
      <c r="G81" s="133">
        <v>99105.75</v>
      </c>
      <c r="H81" s="112"/>
      <c r="I81" s="147">
        <f t="shared" si="3"/>
        <v>-99105.75</v>
      </c>
      <c r="J81" s="147">
        <f t="array" ref="J81">SUM(('Отчет по покупателям УТ'!$M$6:$M$5000='Check 1S 62 vs UT'!$A81)*('Отчет по покупателям УТ'!$X$6:$X$5000))</f>
        <v>-149105.75</v>
      </c>
      <c r="K81" s="147">
        <f t="shared" si="4"/>
        <v>-50000</v>
      </c>
      <c r="L81" s="86"/>
      <c r="M81" s="86"/>
      <c r="N81" s="316"/>
      <c r="O81" s="86"/>
      <c r="P81" s="86"/>
      <c r="Q81" s="86"/>
      <c r="R81" s="86"/>
      <c r="S81" s="86"/>
      <c r="T81" s="86"/>
      <c r="U81" s="86"/>
      <c r="V81" s="86"/>
      <c r="W81" s="110"/>
      <c r="X81" s="110"/>
      <c r="Y81" s="110"/>
    </row>
    <row r="82" spans="1:25" s="104" customFormat="1" ht="12" x14ac:dyDescent="0.2">
      <c r="A82" s="129" t="s">
        <v>271</v>
      </c>
      <c r="B82" s="133">
        <v>0.01</v>
      </c>
      <c r="C82" s="133"/>
      <c r="D82" s="133"/>
      <c r="E82" s="133"/>
      <c r="F82" s="133">
        <v>0.01</v>
      </c>
      <c r="G82" s="133"/>
      <c r="H82" s="112"/>
      <c r="I82" s="147">
        <f t="shared" si="3"/>
        <v>0.01</v>
      </c>
      <c r="J82" s="147">
        <f t="array" ref="J82">SUM(('Отчет по покупателям УТ'!$M$6:$M$5000='Check 1S 62 vs UT'!$A82)*('Отчет по покупателям УТ'!$X$6:$X$5000))</f>
        <v>0.01</v>
      </c>
      <c r="K82" s="147">
        <f t="shared" si="4"/>
        <v>0</v>
      </c>
      <c r="L82" s="86"/>
      <c r="M82" s="86"/>
      <c r="N82" s="316"/>
      <c r="O82" s="86"/>
      <c r="P82" s="86"/>
      <c r="Q82" s="86"/>
      <c r="R82" s="86"/>
      <c r="S82" s="86"/>
      <c r="T82" s="86"/>
      <c r="U82" s="86"/>
      <c r="V82" s="86"/>
      <c r="W82" s="110"/>
      <c r="X82" s="110"/>
      <c r="Y82" s="110"/>
    </row>
    <row r="83" spans="1:25" s="104" customFormat="1" ht="12" x14ac:dyDescent="0.2">
      <c r="A83" s="129" t="s">
        <v>275</v>
      </c>
      <c r="B83" s="133"/>
      <c r="C83" s="133">
        <v>100000</v>
      </c>
      <c r="D83" s="133"/>
      <c r="E83" s="133"/>
      <c r="F83" s="133"/>
      <c r="G83" s="133">
        <v>100000</v>
      </c>
      <c r="H83" s="112"/>
      <c r="I83" s="147">
        <f t="shared" si="3"/>
        <v>-100000</v>
      </c>
      <c r="J83" s="147">
        <f t="array" ref="J83">SUM(('Отчет по покупателям УТ'!$M$6:$M$5000='Check 1S 62 vs UT'!$A83)*('Отчет по покупателям УТ'!$X$6:$X$5000))</f>
        <v>-944662.40000000014</v>
      </c>
      <c r="K83" s="147">
        <f t="shared" si="4"/>
        <v>-844662.40000000014</v>
      </c>
      <c r="L83" s="86"/>
      <c r="M83" s="86"/>
      <c r="N83" s="316"/>
      <c r="O83" s="86"/>
      <c r="P83" s="86"/>
      <c r="Q83" s="86"/>
      <c r="R83" s="86"/>
      <c r="S83" s="86"/>
      <c r="T83" s="86"/>
      <c r="U83" s="86"/>
      <c r="V83" s="86"/>
      <c r="W83" s="110"/>
      <c r="X83" s="110"/>
      <c r="Y83" s="110"/>
    </row>
    <row r="84" spans="1:25" s="104" customFormat="1" ht="12" x14ac:dyDescent="0.2">
      <c r="A84" s="129" t="s">
        <v>276</v>
      </c>
      <c r="B84" s="133"/>
      <c r="C84" s="133">
        <v>46500</v>
      </c>
      <c r="D84" s="133"/>
      <c r="E84" s="133"/>
      <c r="F84" s="133"/>
      <c r="G84" s="133">
        <v>46500</v>
      </c>
      <c r="H84" s="112"/>
      <c r="I84" s="147">
        <f t="shared" si="3"/>
        <v>-46500</v>
      </c>
      <c r="J84" s="147">
        <f t="array" ref="J84">SUM(('Отчет по покупателям УТ'!$M$6:$M$5000='Check 1S 62 vs UT'!$A84)*('Отчет по покупателям УТ'!$X$6:$X$5000))</f>
        <v>-46500</v>
      </c>
      <c r="K84" s="147">
        <f t="shared" si="4"/>
        <v>0</v>
      </c>
      <c r="L84" s="86"/>
      <c r="M84" s="86"/>
      <c r="N84" s="316"/>
      <c r="O84" s="86"/>
      <c r="P84" s="86"/>
      <c r="Q84" s="86"/>
      <c r="R84" s="86"/>
      <c r="S84" s="86"/>
      <c r="T84" s="86"/>
      <c r="U84" s="86"/>
      <c r="V84" s="86"/>
      <c r="W84" s="110"/>
      <c r="X84" s="110"/>
      <c r="Y84" s="110"/>
    </row>
    <row r="85" spans="1:25" s="104" customFormat="1" ht="12" x14ac:dyDescent="0.2">
      <c r="A85" s="129" t="s">
        <v>279</v>
      </c>
      <c r="B85" s="133"/>
      <c r="C85" s="133">
        <v>390549.91</v>
      </c>
      <c r="D85" s="133">
        <v>390390</v>
      </c>
      <c r="E85" s="133">
        <v>340390</v>
      </c>
      <c r="F85" s="133"/>
      <c r="G85" s="133">
        <v>340549.91</v>
      </c>
      <c r="H85" s="119"/>
      <c r="I85" s="147">
        <f t="shared" si="3"/>
        <v>-340549.91</v>
      </c>
      <c r="J85" s="147">
        <f t="array" ref="J85">SUM(('Отчет по покупателям УТ'!$M$6:$M$5000='Check 1S 62 vs UT'!$A85)*('Отчет по покупателям УТ'!$X$6:$X$5000))</f>
        <v>-400029.78</v>
      </c>
      <c r="K85" s="147">
        <f t="shared" si="4"/>
        <v>-59479.870000000054</v>
      </c>
      <c r="L85" s="111"/>
      <c r="M85" s="86"/>
      <c r="N85" s="316"/>
      <c r="O85" s="86"/>
      <c r="P85" s="86"/>
      <c r="Q85" s="86"/>
      <c r="R85" s="86"/>
      <c r="S85" s="86"/>
      <c r="T85" s="86"/>
      <c r="U85" s="86"/>
      <c r="V85" s="86"/>
      <c r="W85" s="110"/>
      <c r="X85" s="110"/>
      <c r="Y85" s="110"/>
    </row>
    <row r="86" spans="1:25" s="104" customFormat="1" ht="12" x14ac:dyDescent="0.2">
      <c r="A86" s="129" t="s">
        <v>1127</v>
      </c>
      <c r="B86" s="133"/>
      <c r="C86" s="133"/>
      <c r="D86" s="133"/>
      <c r="E86" s="133">
        <v>265104</v>
      </c>
      <c r="F86" s="133"/>
      <c r="G86" s="133">
        <v>265104</v>
      </c>
      <c r="H86" s="112"/>
      <c r="I86" s="147">
        <f t="shared" si="3"/>
        <v>-265104</v>
      </c>
      <c r="J86" s="147">
        <f t="array" ref="J86">SUM(('Отчет по покупателям УТ'!$M$6:$M$5000='Check 1S 62 vs UT'!$A86)*('Отчет по покупателям УТ'!$X$6:$X$5000))</f>
        <v>0</v>
      </c>
      <c r="K86" s="147">
        <f t="shared" si="4"/>
        <v>265104</v>
      </c>
      <c r="L86" s="111"/>
      <c r="M86" s="86"/>
      <c r="N86" s="316"/>
      <c r="O86" s="86"/>
      <c r="P86" s="86"/>
      <c r="Q86" s="86"/>
      <c r="R86" s="86"/>
      <c r="S86" s="86"/>
      <c r="T86" s="86"/>
      <c r="U86" s="86"/>
      <c r="V86" s="86"/>
      <c r="W86" s="110"/>
      <c r="X86" s="110"/>
      <c r="Y86" s="110"/>
    </row>
    <row r="87" spans="1:25" s="104" customFormat="1" ht="12" x14ac:dyDescent="0.2">
      <c r="A87" s="129" t="s">
        <v>1136</v>
      </c>
      <c r="B87" s="133"/>
      <c r="C87" s="133"/>
      <c r="D87" s="133"/>
      <c r="E87" s="133">
        <v>1137829.19</v>
      </c>
      <c r="F87" s="133"/>
      <c r="G87" s="133">
        <v>1137829.19</v>
      </c>
      <c r="H87" s="112"/>
      <c r="I87" s="147">
        <f t="shared" si="3"/>
        <v>-1137829.19</v>
      </c>
      <c r="J87" s="147">
        <f t="array" ref="J87">SUM(('Отчет по покупателям УТ'!$M$6:$M$5000='Check 1S 62 vs UT'!$A87)*('Отчет по покупателям УТ'!$X$6:$X$5000))</f>
        <v>-1861824.5699999998</v>
      </c>
      <c r="K87" s="147">
        <f t="shared" si="4"/>
        <v>-723995.37999999989</v>
      </c>
      <c r="L87" s="86"/>
      <c r="M87" s="86"/>
      <c r="N87" s="316"/>
      <c r="O87" s="86"/>
      <c r="P87" s="86"/>
      <c r="Q87" s="86"/>
      <c r="R87" s="86"/>
      <c r="S87" s="86"/>
      <c r="T87" s="86"/>
      <c r="U87" s="86"/>
      <c r="V87" s="86"/>
      <c r="W87" s="110"/>
      <c r="X87" s="110"/>
      <c r="Y87" s="110"/>
    </row>
    <row r="88" spans="1:25" s="104" customFormat="1" ht="12" x14ac:dyDescent="0.2">
      <c r="A88" s="129" t="s">
        <v>280</v>
      </c>
      <c r="B88" s="133">
        <v>25472904.52</v>
      </c>
      <c r="C88" s="133"/>
      <c r="D88" s="133">
        <v>30308460</v>
      </c>
      <c r="E88" s="133">
        <v>48845227.880000003</v>
      </c>
      <c r="F88" s="133">
        <v>6936136.6399999997</v>
      </c>
      <c r="G88" s="133"/>
      <c r="H88" s="112"/>
      <c r="I88" s="147">
        <f t="shared" si="3"/>
        <v>6936136.6399999997</v>
      </c>
      <c r="J88" s="147">
        <f t="array" ref="J88">SUM(('Отчет по покупателям УТ'!$M$6:$M$5000='Check 1S 62 vs UT'!$A88)*('Отчет по покупателям УТ'!$X$6:$X$5000))</f>
        <v>-1449075.7300000042</v>
      </c>
      <c r="K88" s="147">
        <f t="shared" si="4"/>
        <v>-8385212.3700000038</v>
      </c>
      <c r="L88" s="86"/>
      <c r="M88" s="86"/>
      <c r="N88" s="316"/>
      <c r="O88" s="86"/>
      <c r="P88" s="86"/>
      <c r="Q88" s="86"/>
      <c r="R88" s="86"/>
      <c r="S88" s="86"/>
      <c r="T88" s="86"/>
      <c r="U88" s="86"/>
      <c r="V88" s="86"/>
      <c r="W88" s="110"/>
      <c r="X88" s="110"/>
      <c r="Y88" s="110"/>
    </row>
    <row r="89" spans="1:25" s="104" customFormat="1" ht="12" x14ac:dyDescent="0.2">
      <c r="A89" s="129" t="s">
        <v>285</v>
      </c>
      <c r="B89" s="133">
        <v>39959661.450000003</v>
      </c>
      <c r="C89" s="133"/>
      <c r="D89" s="133">
        <v>23616292.5</v>
      </c>
      <c r="E89" s="133">
        <v>19288441</v>
      </c>
      <c r="F89" s="133">
        <v>44287512.950000003</v>
      </c>
      <c r="G89" s="133"/>
      <c r="H89" s="112"/>
      <c r="I89" s="147">
        <f t="shared" si="3"/>
        <v>44287512.950000003</v>
      </c>
      <c r="J89" s="147">
        <f t="array" ref="J89">SUM(('Отчет по покупателям УТ'!$M$6:$M$5000='Check 1S 62 vs UT'!$A89)*('Отчет по покупателям УТ'!$X$6:$X$5000))</f>
        <v>22489984.609999992</v>
      </c>
      <c r="K89" s="147">
        <f t="shared" si="4"/>
        <v>-21797528.340000011</v>
      </c>
      <c r="L89" s="86"/>
      <c r="M89" s="86"/>
      <c r="N89" s="316"/>
      <c r="O89" s="86"/>
      <c r="P89" s="86"/>
      <c r="Q89" s="86"/>
      <c r="R89" s="86"/>
      <c r="S89" s="86"/>
      <c r="T89" s="86"/>
      <c r="U89" s="86"/>
      <c r="V89" s="86"/>
      <c r="W89" s="110"/>
      <c r="X89" s="110"/>
      <c r="Y89" s="110"/>
    </row>
    <row r="90" spans="1:25" s="104" customFormat="1" ht="12" x14ac:dyDescent="0.2">
      <c r="A90" s="129" t="s">
        <v>783</v>
      </c>
      <c r="B90" s="133"/>
      <c r="C90" s="133"/>
      <c r="D90" s="133">
        <v>-126119</v>
      </c>
      <c r="E90" s="133">
        <v>-126119</v>
      </c>
      <c r="F90" s="133"/>
      <c r="G90" s="133"/>
      <c r="H90" s="112"/>
      <c r="I90" s="147">
        <f t="shared" si="3"/>
        <v>0</v>
      </c>
      <c r="J90" s="147">
        <f t="array" ref="J90">SUM(('Отчет по покупателям УТ'!$M$6:$M$5000='Check 1S 62 vs UT'!$A90)*('Отчет по покупателям УТ'!$X$6:$X$5000))</f>
        <v>0</v>
      </c>
      <c r="K90" s="147">
        <f t="shared" si="4"/>
        <v>0</v>
      </c>
      <c r="L90" s="86"/>
      <c r="M90" s="86"/>
      <c r="N90" s="316"/>
      <c r="O90" s="86"/>
      <c r="P90" s="86"/>
      <c r="Q90" s="86"/>
      <c r="R90" s="86"/>
      <c r="S90" s="86"/>
      <c r="T90" s="86"/>
      <c r="U90" s="86"/>
      <c r="V90" s="86"/>
      <c r="W90" s="110"/>
      <c r="X90" s="110"/>
      <c r="Y90" s="110"/>
    </row>
    <row r="91" spans="1:25" s="104" customFormat="1" ht="12" x14ac:dyDescent="0.2">
      <c r="A91" s="129" t="s">
        <v>770</v>
      </c>
      <c r="B91" s="133">
        <v>5408940</v>
      </c>
      <c r="C91" s="133"/>
      <c r="D91" s="133">
        <v>21325092</v>
      </c>
      <c r="E91" s="133">
        <v>20889111</v>
      </c>
      <c r="F91" s="133">
        <v>5844921</v>
      </c>
      <c r="G91" s="133"/>
      <c r="H91" s="112"/>
      <c r="I91" s="147">
        <f t="shared" si="3"/>
        <v>5844921</v>
      </c>
      <c r="J91" s="147">
        <f t="array" ref="J91">SUM(('Отчет по покупателям УТ'!$M$6:$M$5000='Check 1S 62 vs UT'!$A91)*('Отчет по покупателям УТ'!$X$6:$X$5000))</f>
        <v>0</v>
      </c>
      <c r="K91" s="147">
        <f t="shared" si="4"/>
        <v>-5844921</v>
      </c>
      <c r="L91" s="86"/>
      <c r="M91" s="86"/>
      <c r="N91" s="316"/>
      <c r="O91" s="86"/>
      <c r="P91" s="86"/>
      <c r="Q91" s="86"/>
      <c r="R91" s="86"/>
      <c r="S91" s="86"/>
      <c r="T91" s="86"/>
      <c r="U91" s="86"/>
      <c r="V91" s="86"/>
      <c r="W91" s="110"/>
      <c r="X91" s="110"/>
      <c r="Y91" s="110"/>
    </row>
    <row r="92" spans="1:25" s="104" customFormat="1" ht="12" x14ac:dyDescent="0.2">
      <c r="A92" s="129" t="s">
        <v>784</v>
      </c>
      <c r="B92" s="133"/>
      <c r="C92" s="133"/>
      <c r="D92" s="133">
        <v>-229123</v>
      </c>
      <c r="E92" s="133">
        <v>-229123</v>
      </c>
      <c r="F92" s="133"/>
      <c r="G92" s="133"/>
      <c r="H92" s="112"/>
      <c r="I92" s="147">
        <f t="shared" si="3"/>
        <v>0</v>
      </c>
      <c r="J92" s="147">
        <f t="array" ref="J92">SUM(('Отчет по покупателям УТ'!$M$6:$M$5000='Check 1S 62 vs UT'!$A92)*('Отчет по покупателям УТ'!$X$6:$X$5000))</f>
        <v>0</v>
      </c>
      <c r="K92" s="147">
        <f t="shared" si="4"/>
        <v>0</v>
      </c>
      <c r="L92" s="86"/>
      <c r="M92" s="86"/>
      <c r="N92" s="316"/>
      <c r="O92" s="86"/>
      <c r="P92" s="86"/>
      <c r="Q92" s="86"/>
      <c r="R92" s="86"/>
      <c r="S92" s="86"/>
      <c r="T92" s="86"/>
      <c r="U92" s="86"/>
      <c r="V92" s="86"/>
      <c r="W92" s="110"/>
      <c r="X92" s="110"/>
      <c r="Y92" s="110"/>
    </row>
    <row r="93" spans="1:25" s="104" customFormat="1" ht="12" x14ac:dyDescent="0.2">
      <c r="A93" s="129" t="s">
        <v>785</v>
      </c>
      <c r="B93" s="133"/>
      <c r="C93" s="133"/>
      <c r="D93" s="133">
        <v>-193991.1</v>
      </c>
      <c r="E93" s="133">
        <v>-193991.1</v>
      </c>
      <c r="F93" s="133"/>
      <c r="G93" s="133"/>
      <c r="H93" s="112"/>
      <c r="I93" s="147">
        <f t="shared" si="3"/>
        <v>0</v>
      </c>
      <c r="J93" s="147">
        <f t="array" ref="J93">SUM(('Отчет по покупателям УТ'!$M$6:$M$5000='Check 1S 62 vs UT'!$A93)*('Отчет по покупателям УТ'!$X$6:$X$5000))</f>
        <v>0</v>
      </c>
      <c r="K93" s="147">
        <f t="shared" si="4"/>
        <v>0</v>
      </c>
      <c r="L93" s="86"/>
      <c r="M93" s="86"/>
      <c r="N93" s="316"/>
      <c r="O93" s="86"/>
      <c r="P93" s="86"/>
      <c r="Q93" s="86"/>
      <c r="R93" s="86"/>
      <c r="S93" s="86"/>
      <c r="T93" s="86"/>
      <c r="U93" s="86"/>
      <c r="V93" s="86"/>
      <c r="W93" s="110"/>
      <c r="X93" s="110"/>
      <c r="Y93" s="110"/>
    </row>
    <row r="94" spans="1:25" s="104" customFormat="1" ht="12" x14ac:dyDescent="0.2">
      <c r="A94" s="129" t="s">
        <v>786</v>
      </c>
      <c r="B94" s="133"/>
      <c r="C94" s="133"/>
      <c r="D94" s="133">
        <v>-432729</v>
      </c>
      <c r="E94" s="133">
        <v>-432729</v>
      </c>
      <c r="F94" s="133"/>
      <c r="G94" s="133"/>
      <c r="H94" s="112"/>
      <c r="I94" s="147">
        <f t="shared" si="3"/>
        <v>0</v>
      </c>
      <c r="J94" s="147">
        <f t="array" ref="J94">SUM(('Отчет по покупателям УТ'!$M$6:$M$5000='Check 1S 62 vs UT'!$A94)*('Отчет по покупателям УТ'!$X$6:$X$5000))</f>
        <v>0</v>
      </c>
      <c r="K94" s="147">
        <f t="shared" si="4"/>
        <v>0</v>
      </c>
      <c r="L94" s="86"/>
      <c r="M94" s="86"/>
      <c r="N94" s="316"/>
      <c r="O94" s="86"/>
      <c r="P94" s="86"/>
      <c r="Q94" s="86"/>
      <c r="R94" s="86"/>
      <c r="S94" s="86"/>
      <c r="T94" s="86"/>
      <c r="U94" s="86"/>
      <c r="V94" s="86"/>
      <c r="W94" s="110"/>
      <c r="X94" s="110"/>
      <c r="Y94" s="110"/>
    </row>
    <row r="95" spans="1:25" s="104" customFormat="1" ht="12" x14ac:dyDescent="0.2">
      <c r="A95" s="129" t="s">
        <v>1031</v>
      </c>
      <c r="B95" s="133"/>
      <c r="C95" s="133"/>
      <c r="D95" s="133">
        <v>-56560</v>
      </c>
      <c r="E95" s="133">
        <v>-56560</v>
      </c>
      <c r="F95" s="133"/>
      <c r="G95" s="133"/>
      <c r="H95" s="119"/>
      <c r="I95" s="147">
        <f t="shared" si="3"/>
        <v>0</v>
      </c>
      <c r="J95" s="147">
        <f t="array" ref="J95">SUM(('Отчет по покупателям УТ'!$M$6:$M$5000='Check 1S 62 vs UT'!$A95)*('Отчет по покупателям УТ'!$X$6:$X$5000))</f>
        <v>0</v>
      </c>
      <c r="K95" s="147">
        <f t="shared" si="4"/>
        <v>0</v>
      </c>
      <c r="L95" s="86"/>
      <c r="M95" s="86"/>
      <c r="N95" s="316"/>
      <c r="O95" s="86"/>
      <c r="P95" s="86"/>
      <c r="Q95" s="86"/>
      <c r="R95" s="86"/>
      <c r="S95" s="86"/>
      <c r="T95" s="86"/>
      <c r="U95" s="86"/>
      <c r="V95" s="86"/>
      <c r="W95" s="110"/>
      <c r="X95" s="110"/>
      <c r="Y95" s="110"/>
    </row>
    <row r="96" spans="1:25" s="104" customFormat="1" ht="12" x14ac:dyDescent="0.2">
      <c r="A96" s="129" t="s">
        <v>1032</v>
      </c>
      <c r="B96" s="133"/>
      <c r="C96" s="133"/>
      <c r="D96" s="133">
        <v>-18400</v>
      </c>
      <c r="E96" s="133">
        <v>-18400</v>
      </c>
      <c r="F96" s="133"/>
      <c r="G96" s="133"/>
      <c r="H96" s="112"/>
      <c r="I96" s="147">
        <f t="shared" si="3"/>
        <v>0</v>
      </c>
      <c r="J96" s="147">
        <f t="array" ref="J96">SUM(('Отчет по покупателям УТ'!$M$6:$M$5000='Check 1S 62 vs UT'!$A96)*('Отчет по покупателям УТ'!$X$6:$X$5000))</f>
        <v>0</v>
      </c>
      <c r="K96" s="147">
        <f t="shared" si="4"/>
        <v>0</v>
      </c>
      <c r="L96" s="86"/>
      <c r="M96" s="86"/>
      <c r="N96" s="316"/>
      <c r="O96" s="86"/>
      <c r="P96" s="86"/>
      <c r="Q96" s="86"/>
      <c r="R96" s="86"/>
      <c r="S96" s="86"/>
      <c r="T96" s="86"/>
      <c r="U96" s="86"/>
      <c r="V96" s="86"/>
      <c r="W96" s="110"/>
      <c r="X96" s="110"/>
      <c r="Y96" s="110"/>
    </row>
    <row r="97" spans="1:25" s="104" customFormat="1" ht="12" x14ac:dyDescent="0.2">
      <c r="A97" s="129" t="s">
        <v>787</v>
      </c>
      <c r="B97" s="133"/>
      <c r="C97" s="133"/>
      <c r="D97" s="133">
        <v>-80022.31</v>
      </c>
      <c r="E97" s="133">
        <v>-80022.31</v>
      </c>
      <c r="F97" s="133"/>
      <c r="G97" s="133"/>
      <c r="H97" s="112"/>
      <c r="I97" s="147">
        <f t="shared" si="3"/>
        <v>0</v>
      </c>
      <c r="J97" s="147">
        <f t="array" ref="J97">SUM(('Отчет по покупателям УТ'!$M$6:$M$5000='Check 1S 62 vs UT'!$A97)*('Отчет по покупателям УТ'!$X$6:$X$5000))</f>
        <v>0</v>
      </c>
      <c r="K97" s="147">
        <f t="shared" si="4"/>
        <v>0</v>
      </c>
      <c r="L97" s="86"/>
      <c r="M97" s="86"/>
      <c r="N97" s="316"/>
      <c r="O97" s="86"/>
      <c r="P97" s="86"/>
      <c r="Q97" s="86"/>
      <c r="R97" s="86"/>
      <c r="S97" s="86"/>
      <c r="T97" s="86"/>
      <c r="U97" s="86"/>
      <c r="V97" s="86"/>
      <c r="W97" s="110"/>
      <c r="X97" s="110"/>
      <c r="Y97" s="110"/>
    </row>
    <row r="98" spans="1:25" s="104" customFormat="1" ht="12" x14ac:dyDescent="0.2">
      <c r="A98" s="129" t="s">
        <v>788</v>
      </c>
      <c r="B98" s="133"/>
      <c r="C98" s="133"/>
      <c r="D98" s="133">
        <v>-20650</v>
      </c>
      <c r="E98" s="133">
        <v>-20650</v>
      </c>
      <c r="F98" s="133"/>
      <c r="G98" s="133"/>
      <c r="H98" s="112"/>
      <c r="I98" s="147">
        <f t="shared" si="3"/>
        <v>0</v>
      </c>
      <c r="J98" s="147">
        <f t="array" ref="J98">SUM(('Отчет по покупателям УТ'!$M$6:$M$5000='Check 1S 62 vs UT'!$A98)*('Отчет по покупателям УТ'!$X$6:$X$5000))</f>
        <v>0</v>
      </c>
      <c r="K98" s="147">
        <f t="shared" si="4"/>
        <v>0</v>
      </c>
      <c r="L98" s="86"/>
      <c r="M98" s="86"/>
      <c r="N98" s="316"/>
      <c r="O98" s="86"/>
      <c r="P98" s="86"/>
      <c r="Q98" s="86"/>
      <c r="R98" s="86"/>
      <c r="S98" s="86"/>
      <c r="T98" s="86"/>
      <c r="U98" s="86"/>
      <c r="V98" s="86"/>
      <c r="W98" s="110"/>
      <c r="X98" s="110"/>
      <c r="Y98" s="110"/>
    </row>
    <row r="99" spans="1:25" s="104" customFormat="1" ht="12" x14ac:dyDescent="0.2">
      <c r="A99" s="129" t="s">
        <v>789</v>
      </c>
      <c r="B99" s="133">
        <v>14650232.59</v>
      </c>
      <c r="C99" s="133"/>
      <c r="D99" s="134">
        <v>14853312.67</v>
      </c>
      <c r="E99" s="134">
        <v>15803616.84</v>
      </c>
      <c r="F99" s="133">
        <v>13699928.42</v>
      </c>
      <c r="G99" s="133"/>
      <c r="H99" s="119"/>
      <c r="I99" s="147">
        <f t="shared" si="3"/>
        <v>13699928.42</v>
      </c>
      <c r="J99" s="147">
        <f t="array" ref="J99">SUM(('Отчет по покупателям УТ'!$M$6:$M$5000='Check 1S 62 vs UT'!$A99)*('Отчет по покупателям УТ'!$X$6:$X$5000))</f>
        <v>0</v>
      </c>
      <c r="K99" s="147">
        <f t="shared" si="4"/>
        <v>-13699928.42</v>
      </c>
      <c r="L99" s="86"/>
      <c r="M99" s="86"/>
      <c r="N99" s="316"/>
      <c r="O99" s="86"/>
      <c r="P99" s="86"/>
      <c r="Q99" s="86"/>
      <c r="R99" s="86"/>
      <c r="S99" s="86"/>
      <c r="T99" s="86"/>
      <c r="U99" s="86"/>
      <c r="V99" s="86"/>
      <c r="W99" s="115"/>
      <c r="X99" s="115"/>
      <c r="Y99" s="115"/>
    </row>
    <row r="100" spans="1:25" s="104" customFormat="1" ht="12" x14ac:dyDescent="0.2">
      <c r="A100" s="129" t="s">
        <v>790</v>
      </c>
      <c r="B100" s="133"/>
      <c r="C100" s="133"/>
      <c r="D100" s="133">
        <v>-387821</v>
      </c>
      <c r="E100" s="133">
        <v>-387821</v>
      </c>
      <c r="F100" s="133"/>
      <c r="G100" s="133"/>
      <c r="H100" s="112"/>
      <c r="I100" s="147">
        <f t="shared" si="3"/>
        <v>0</v>
      </c>
      <c r="J100" s="147">
        <f t="array" ref="J100">SUM(('Отчет по покупателям УТ'!$M$6:$M$5000='Check 1S 62 vs UT'!$A100)*('Отчет по покупателям УТ'!$X$6:$X$5000))</f>
        <v>0</v>
      </c>
      <c r="K100" s="147">
        <f t="shared" si="4"/>
        <v>0</v>
      </c>
      <c r="L100" s="86"/>
      <c r="M100" s="86"/>
      <c r="N100" s="316"/>
      <c r="O100" s="86"/>
      <c r="P100" s="86"/>
      <c r="Q100" s="86"/>
      <c r="R100" s="86"/>
      <c r="S100" s="86"/>
      <c r="T100" s="86"/>
      <c r="U100" s="86"/>
      <c r="V100" s="86"/>
      <c r="W100" s="115"/>
      <c r="X100" s="115"/>
      <c r="Y100" s="115"/>
    </row>
    <row r="101" spans="1:25" s="104" customFormat="1" ht="12" x14ac:dyDescent="0.2">
      <c r="A101" s="129" t="s">
        <v>791</v>
      </c>
      <c r="B101" s="133"/>
      <c r="C101" s="133"/>
      <c r="D101" s="134">
        <v>-346299.91</v>
      </c>
      <c r="E101" s="134">
        <v>-346299.91</v>
      </c>
      <c r="F101" s="133"/>
      <c r="G101" s="133"/>
      <c r="H101" s="122"/>
      <c r="I101" s="147">
        <f t="shared" si="3"/>
        <v>0</v>
      </c>
      <c r="J101" s="147">
        <f t="array" ref="J101">SUM(('Отчет по покупателям УТ'!$M$6:$M$5000='Check 1S 62 vs UT'!$A101)*('Отчет по покупателям УТ'!$X$6:$X$5000))</f>
        <v>0</v>
      </c>
      <c r="K101" s="147">
        <f t="shared" si="4"/>
        <v>0</v>
      </c>
      <c r="L101" s="108"/>
      <c r="M101" s="107"/>
      <c r="N101" s="317"/>
      <c r="O101" s="106"/>
      <c r="P101" s="106"/>
      <c r="Q101" s="106"/>
      <c r="R101" s="106"/>
      <c r="S101" s="107"/>
      <c r="T101" s="108"/>
      <c r="U101" s="106"/>
      <c r="V101" s="106"/>
      <c r="W101" s="107"/>
      <c r="X101" s="107"/>
      <c r="Y101" s="107"/>
    </row>
    <row r="102" spans="1:25" s="104" customFormat="1" ht="12" x14ac:dyDescent="0.2">
      <c r="A102" s="129" t="s">
        <v>792</v>
      </c>
      <c r="B102" s="133"/>
      <c r="C102" s="133"/>
      <c r="D102" s="134">
        <v>-297655</v>
      </c>
      <c r="E102" s="134">
        <v>-297655</v>
      </c>
      <c r="F102" s="133"/>
      <c r="G102" s="133"/>
      <c r="H102" s="119"/>
      <c r="I102" s="147">
        <f t="shared" si="3"/>
        <v>0</v>
      </c>
      <c r="J102" s="147">
        <f t="array" ref="J102">SUM(('Отчет по покупателям УТ'!$M$6:$M$5000='Check 1S 62 vs UT'!$A102)*('Отчет по покупателям УТ'!$X$6:$X$5000))</f>
        <v>0</v>
      </c>
      <c r="K102" s="147">
        <f t="shared" si="4"/>
        <v>0</v>
      </c>
      <c r="L102" s="111"/>
      <c r="M102" s="86"/>
      <c r="N102" s="316"/>
      <c r="O102" s="86"/>
      <c r="P102" s="86"/>
      <c r="Q102" s="86"/>
      <c r="R102" s="86"/>
      <c r="S102" s="86"/>
      <c r="T102" s="86"/>
      <c r="U102" s="86"/>
      <c r="V102" s="86"/>
      <c r="W102" s="110"/>
      <c r="X102" s="110"/>
      <c r="Y102" s="110"/>
    </row>
    <row r="103" spans="1:25" s="104" customFormat="1" ht="12" x14ac:dyDescent="0.2">
      <c r="A103" s="129" t="s">
        <v>793</v>
      </c>
      <c r="B103" s="133"/>
      <c r="C103" s="133"/>
      <c r="D103" s="134">
        <v>-248525</v>
      </c>
      <c r="E103" s="134">
        <v>-248525</v>
      </c>
      <c r="F103" s="133"/>
      <c r="G103" s="133"/>
      <c r="H103" s="112"/>
      <c r="I103" s="147">
        <f t="shared" si="3"/>
        <v>0</v>
      </c>
      <c r="J103" s="147">
        <f t="array" ref="J103">SUM(('Отчет по покупателям УТ'!$M$6:$M$5000='Check 1S 62 vs UT'!$A103)*('Отчет по покупателям УТ'!$X$6:$X$5000))</f>
        <v>0</v>
      </c>
      <c r="K103" s="147">
        <f t="shared" si="4"/>
        <v>0</v>
      </c>
      <c r="L103" s="111"/>
      <c r="M103" s="86"/>
      <c r="N103" s="316"/>
      <c r="O103" s="86"/>
      <c r="P103" s="86"/>
      <c r="Q103" s="86"/>
      <c r="R103" s="86"/>
      <c r="S103" s="86"/>
      <c r="T103" s="86"/>
      <c r="U103" s="86"/>
      <c r="V103" s="86"/>
      <c r="W103" s="110"/>
      <c r="X103" s="110"/>
      <c r="Y103" s="110"/>
    </row>
    <row r="104" spans="1:25" s="104" customFormat="1" ht="12" x14ac:dyDescent="0.2">
      <c r="A104" s="129" t="s">
        <v>1200</v>
      </c>
      <c r="B104" s="133"/>
      <c r="C104" s="133"/>
      <c r="D104" s="134">
        <v>-10500</v>
      </c>
      <c r="E104" s="134">
        <v>-10500</v>
      </c>
      <c r="F104" s="133"/>
      <c r="G104" s="133"/>
      <c r="H104" s="112"/>
      <c r="I104" s="147">
        <f t="shared" si="3"/>
        <v>0</v>
      </c>
      <c r="J104" s="147">
        <f t="array" ref="J104">SUM(('Отчет по покупателям УТ'!$M$6:$M$5000='Check 1S 62 vs UT'!$A104)*('Отчет по покупателям УТ'!$X$6:$X$5000))</f>
        <v>0</v>
      </c>
      <c r="K104" s="147">
        <f t="shared" si="4"/>
        <v>0</v>
      </c>
      <c r="L104" s="111"/>
      <c r="M104" s="86"/>
      <c r="N104" s="316"/>
      <c r="O104" s="86"/>
      <c r="P104" s="86"/>
      <c r="Q104" s="86"/>
      <c r="R104" s="86"/>
      <c r="S104" s="86"/>
      <c r="T104" s="86"/>
      <c r="U104" s="86"/>
      <c r="V104" s="86"/>
      <c r="W104" s="110"/>
      <c r="X104" s="110"/>
      <c r="Y104" s="110"/>
    </row>
    <row r="105" spans="1:25" s="104" customFormat="1" ht="12" x14ac:dyDescent="0.2">
      <c r="A105" s="129" t="s">
        <v>794</v>
      </c>
      <c r="B105" s="133"/>
      <c r="C105" s="133"/>
      <c r="D105" s="134">
        <v>-248460</v>
      </c>
      <c r="E105" s="134">
        <v>-248460</v>
      </c>
      <c r="F105" s="133"/>
      <c r="G105" s="133"/>
      <c r="H105" s="112"/>
      <c r="I105" s="147">
        <f t="shared" si="3"/>
        <v>0</v>
      </c>
      <c r="J105" s="147">
        <f t="array" ref="J105">SUM(('Отчет по покупателям УТ'!$M$6:$M$5000='Check 1S 62 vs UT'!$A105)*('Отчет по покупателям УТ'!$X$6:$X$5000))</f>
        <v>0</v>
      </c>
      <c r="K105" s="147">
        <f t="shared" si="4"/>
        <v>0</v>
      </c>
      <c r="L105" s="111"/>
      <c r="M105" s="86"/>
      <c r="N105" s="316"/>
      <c r="O105" s="86"/>
      <c r="P105" s="86"/>
      <c r="Q105" s="86"/>
      <c r="R105" s="86"/>
      <c r="S105" s="86"/>
      <c r="T105" s="86"/>
      <c r="U105" s="86"/>
      <c r="V105" s="86"/>
      <c r="W105" s="110"/>
      <c r="X105" s="110"/>
      <c r="Y105" s="110"/>
    </row>
    <row r="106" spans="1:25" s="104" customFormat="1" ht="12" x14ac:dyDescent="0.2">
      <c r="A106" s="129" t="s">
        <v>795</v>
      </c>
      <c r="B106" s="133"/>
      <c r="C106" s="133"/>
      <c r="D106" s="134">
        <v>-215390</v>
      </c>
      <c r="E106" s="134">
        <v>-215390</v>
      </c>
      <c r="F106" s="133"/>
      <c r="G106" s="133"/>
      <c r="H106" s="112"/>
      <c r="I106" s="147">
        <f t="shared" si="3"/>
        <v>0</v>
      </c>
      <c r="J106" s="147">
        <f t="array" ref="J106">SUM(('Отчет по покупателям УТ'!$M$6:$M$5000='Check 1S 62 vs UT'!$A106)*('Отчет по покупателям УТ'!$X$6:$X$5000))</f>
        <v>0</v>
      </c>
      <c r="K106" s="147">
        <f t="shared" si="4"/>
        <v>0</v>
      </c>
      <c r="L106" s="111"/>
      <c r="M106" s="86"/>
      <c r="N106" s="316"/>
      <c r="O106" s="86"/>
      <c r="P106" s="86"/>
      <c r="Q106" s="86"/>
      <c r="R106" s="86"/>
      <c r="S106" s="86"/>
      <c r="T106" s="86"/>
      <c r="U106" s="86"/>
      <c r="V106" s="86"/>
      <c r="W106" s="110"/>
      <c r="X106" s="110"/>
      <c r="Y106" s="110"/>
    </row>
    <row r="107" spans="1:25" s="104" customFormat="1" ht="12" x14ac:dyDescent="0.2">
      <c r="A107" s="129" t="s">
        <v>796</v>
      </c>
      <c r="B107" s="133"/>
      <c r="C107" s="133"/>
      <c r="D107" s="134">
        <v>-229950</v>
      </c>
      <c r="E107" s="134">
        <v>-229950</v>
      </c>
      <c r="F107" s="133"/>
      <c r="G107" s="133"/>
      <c r="H107" s="112"/>
      <c r="I107" s="147">
        <f t="shared" si="3"/>
        <v>0</v>
      </c>
      <c r="J107" s="147">
        <f t="array" ref="J107">SUM(('Отчет по покупателям УТ'!$M$6:$M$5000='Check 1S 62 vs UT'!$A107)*('Отчет по покупателям УТ'!$X$6:$X$5000))</f>
        <v>0</v>
      </c>
      <c r="K107" s="147">
        <f t="shared" si="4"/>
        <v>0</v>
      </c>
      <c r="L107" s="111"/>
      <c r="M107" s="86"/>
      <c r="N107" s="316"/>
      <c r="O107" s="86"/>
      <c r="P107" s="86"/>
      <c r="Q107" s="86"/>
      <c r="R107" s="86"/>
      <c r="S107" s="86"/>
      <c r="T107" s="86"/>
      <c r="U107" s="86"/>
      <c r="V107" s="86"/>
      <c r="W107" s="110"/>
      <c r="X107" s="110"/>
      <c r="Y107" s="110"/>
    </row>
    <row r="108" spans="1:25" s="104" customFormat="1" ht="12" x14ac:dyDescent="0.2">
      <c r="A108" s="129" t="s">
        <v>797</v>
      </c>
      <c r="B108" s="133"/>
      <c r="C108" s="133"/>
      <c r="D108" s="134">
        <v>-142800</v>
      </c>
      <c r="E108" s="134">
        <v>-142800</v>
      </c>
      <c r="F108" s="133"/>
      <c r="G108" s="133"/>
      <c r="H108" s="112"/>
      <c r="I108" s="147">
        <f t="shared" si="3"/>
        <v>0</v>
      </c>
      <c r="J108" s="147">
        <f t="array" ref="J108">SUM(('Отчет по покупателям УТ'!$M$6:$M$5000='Check 1S 62 vs UT'!$A108)*('Отчет по покупателям УТ'!$X$6:$X$5000))</f>
        <v>0</v>
      </c>
      <c r="K108" s="147">
        <f t="shared" si="4"/>
        <v>0</v>
      </c>
      <c r="L108" s="86"/>
      <c r="M108" s="86"/>
      <c r="N108" s="316"/>
      <c r="O108" s="86"/>
      <c r="P108" s="86"/>
      <c r="Q108" s="86"/>
      <c r="R108" s="86"/>
      <c r="S108" s="86"/>
      <c r="T108" s="86"/>
      <c r="U108" s="86"/>
      <c r="V108" s="86"/>
      <c r="W108" s="110"/>
      <c r="X108" s="110"/>
      <c r="Y108" s="110"/>
    </row>
    <row r="109" spans="1:25" s="104" customFormat="1" ht="12" x14ac:dyDescent="0.2">
      <c r="A109" s="129" t="s">
        <v>292</v>
      </c>
      <c r="B109" s="133">
        <v>4657261.78</v>
      </c>
      <c r="C109" s="133"/>
      <c r="D109" s="134">
        <v>1839415.95</v>
      </c>
      <c r="E109" s="134">
        <v>3595985.55</v>
      </c>
      <c r="F109" s="133">
        <v>2900692.18</v>
      </c>
      <c r="G109" s="133"/>
      <c r="H109" s="112"/>
      <c r="I109" s="147">
        <f t="shared" si="3"/>
        <v>2900692.18</v>
      </c>
      <c r="J109" s="147">
        <f t="array" ref="J109">SUM(('Отчет по покупателям УТ'!$M$6:$M$5000='Check 1S 62 vs UT'!$A109)*('Отчет по покупателям УТ'!$X$6:$X$5000))</f>
        <v>-422658.77</v>
      </c>
      <c r="K109" s="147">
        <f t="shared" si="4"/>
        <v>-3323350.95</v>
      </c>
      <c r="L109" s="86"/>
      <c r="M109" s="86"/>
      <c r="N109" s="316"/>
      <c r="O109" s="86"/>
      <c r="P109" s="86"/>
      <c r="Q109" s="86"/>
      <c r="R109" s="86"/>
      <c r="S109" s="86"/>
      <c r="T109" s="86"/>
      <c r="U109" s="86"/>
      <c r="V109" s="86"/>
      <c r="W109" s="110"/>
      <c r="X109" s="110"/>
      <c r="Y109" s="110"/>
    </row>
    <row r="110" spans="1:25" s="104" customFormat="1" ht="12" x14ac:dyDescent="0.2">
      <c r="A110" s="129" t="s">
        <v>294</v>
      </c>
      <c r="B110" s="133"/>
      <c r="C110" s="133">
        <v>137809</v>
      </c>
      <c r="D110" s="134">
        <v>137809</v>
      </c>
      <c r="E110" s="134"/>
      <c r="F110" s="133"/>
      <c r="G110" s="133"/>
      <c r="H110" s="112"/>
      <c r="I110" s="147">
        <f t="shared" si="3"/>
        <v>0</v>
      </c>
      <c r="J110" s="147">
        <f t="array" ref="J110">SUM(('Отчет по покупателям УТ'!$M$6:$M$5000='Check 1S 62 vs UT'!$A110)*('Отчет по покупателям УТ'!$X$6:$X$5000))</f>
        <v>0</v>
      </c>
      <c r="K110" s="147">
        <f t="shared" si="4"/>
        <v>0</v>
      </c>
      <c r="L110" s="86"/>
      <c r="M110" s="86"/>
      <c r="N110" s="316"/>
      <c r="O110" s="86"/>
      <c r="P110" s="86"/>
      <c r="Q110" s="86"/>
      <c r="R110" s="86"/>
      <c r="S110" s="86"/>
      <c r="T110" s="86"/>
      <c r="U110" s="86"/>
      <c r="V110" s="86"/>
      <c r="W110" s="110"/>
      <c r="X110" s="110"/>
      <c r="Y110" s="110"/>
    </row>
    <row r="111" spans="1:25" s="104" customFormat="1" ht="12" x14ac:dyDescent="0.2">
      <c r="A111" s="129" t="s">
        <v>798</v>
      </c>
      <c r="B111" s="133"/>
      <c r="C111" s="133"/>
      <c r="D111" s="133">
        <v>2125880</v>
      </c>
      <c r="E111" s="133">
        <v>2125880</v>
      </c>
      <c r="F111" s="133"/>
      <c r="G111" s="133"/>
      <c r="H111" s="112"/>
      <c r="I111" s="147">
        <f t="shared" si="3"/>
        <v>0</v>
      </c>
      <c r="J111" s="147">
        <f t="array" ref="J111">SUM(('Отчет по покупателям УТ'!$M$6:$M$5000='Check 1S 62 vs UT'!$A111)*('Отчет по покупателям УТ'!$X$6:$X$5000))</f>
        <v>0</v>
      </c>
      <c r="K111" s="147">
        <f t="shared" si="4"/>
        <v>0</v>
      </c>
      <c r="L111" s="86"/>
      <c r="M111" s="86"/>
      <c r="N111" s="316"/>
      <c r="O111" s="86"/>
      <c r="P111" s="86"/>
      <c r="Q111" s="86"/>
      <c r="R111" s="86"/>
      <c r="S111" s="86"/>
      <c r="T111" s="86"/>
      <c r="U111" s="86"/>
      <c r="V111" s="86"/>
      <c r="W111" s="110"/>
      <c r="X111" s="110"/>
      <c r="Y111" s="110"/>
    </row>
    <row r="112" spans="1:25" s="104" customFormat="1" ht="12" x14ac:dyDescent="0.2">
      <c r="A112" s="129" t="s">
        <v>799</v>
      </c>
      <c r="B112" s="133"/>
      <c r="C112" s="133"/>
      <c r="D112" s="134">
        <v>4808555</v>
      </c>
      <c r="E112" s="134">
        <v>4808555</v>
      </c>
      <c r="F112" s="133"/>
      <c r="G112" s="133"/>
      <c r="H112" s="119"/>
      <c r="I112" s="147">
        <f t="shared" si="3"/>
        <v>0</v>
      </c>
      <c r="J112" s="147">
        <f t="array" ref="J112">SUM(('Отчет по покупателям УТ'!$M$6:$M$5000='Check 1S 62 vs UT'!$A112)*('Отчет по покупателям УТ'!$X$6:$X$5000))</f>
        <v>0</v>
      </c>
      <c r="K112" s="147">
        <f t="shared" si="4"/>
        <v>0</v>
      </c>
      <c r="L112" s="86"/>
      <c r="M112" s="110"/>
      <c r="N112" s="318"/>
      <c r="O112" s="86"/>
      <c r="P112" s="86"/>
      <c r="Q112" s="86"/>
      <c r="R112" s="86"/>
      <c r="S112" s="86"/>
      <c r="T112" s="86"/>
      <c r="U112" s="86"/>
      <c r="V112" s="86"/>
      <c r="W112" s="110"/>
      <c r="X112" s="110"/>
      <c r="Y112" s="110"/>
    </row>
    <row r="113" spans="1:28" ht="12" x14ac:dyDescent="0.2">
      <c r="A113" s="129" t="s">
        <v>800</v>
      </c>
      <c r="B113" s="133"/>
      <c r="C113" s="133"/>
      <c r="D113" s="134">
        <v>4148195</v>
      </c>
      <c r="E113" s="134">
        <v>4148195</v>
      </c>
      <c r="F113" s="133"/>
      <c r="G113" s="133"/>
      <c r="H113" s="112"/>
      <c r="I113" s="147">
        <f t="shared" si="3"/>
        <v>0</v>
      </c>
      <c r="J113" s="147">
        <f t="array" ref="J113">SUM(('Отчет по покупателям УТ'!$M$6:$M$5000='Check 1S 62 vs UT'!$A113)*('Отчет по покупателям УТ'!$X$6:$X$5000))</f>
        <v>0</v>
      </c>
      <c r="K113" s="147">
        <f t="shared" si="4"/>
        <v>0</v>
      </c>
      <c r="L113" s="86"/>
      <c r="M113" s="110"/>
      <c r="N113" s="318"/>
      <c r="O113" s="86"/>
      <c r="P113" s="86"/>
      <c r="Q113" s="86"/>
      <c r="R113" s="86"/>
      <c r="S113" s="86"/>
      <c r="T113" s="86"/>
      <c r="U113" s="86"/>
      <c r="V113" s="86"/>
      <c r="W113" s="110"/>
      <c r="X113" s="110"/>
      <c r="Y113" s="110"/>
      <c r="Z113" s="104"/>
      <c r="AA113" s="104"/>
    </row>
    <row r="114" spans="1:28" ht="12" x14ac:dyDescent="0.2">
      <c r="A114" s="129" t="s">
        <v>801</v>
      </c>
      <c r="B114" s="133"/>
      <c r="C114" s="133"/>
      <c r="D114" s="134">
        <v>2909704.5</v>
      </c>
      <c r="E114" s="134">
        <v>2909704.5</v>
      </c>
      <c r="F114" s="133"/>
      <c r="G114" s="133"/>
      <c r="H114" s="119"/>
      <c r="I114" s="147">
        <f t="shared" si="3"/>
        <v>0</v>
      </c>
      <c r="J114" s="147">
        <f t="array" ref="J114">SUM(('Отчет по покупателям УТ'!$M$6:$M$5000='Check 1S 62 vs UT'!$A114)*('Отчет по покупателям УТ'!$X$6:$X$5000))</f>
        <v>0</v>
      </c>
      <c r="K114" s="147">
        <f t="shared" si="4"/>
        <v>0</v>
      </c>
      <c r="L114" s="86"/>
      <c r="M114" s="86"/>
      <c r="N114" s="316"/>
      <c r="O114" s="86"/>
      <c r="P114" s="86"/>
      <c r="Q114" s="86"/>
      <c r="R114" s="86"/>
      <c r="S114" s="110"/>
      <c r="T114" s="111"/>
      <c r="U114" s="86"/>
      <c r="V114" s="86"/>
      <c r="W114" s="110"/>
      <c r="X114" s="110"/>
      <c r="Y114" s="110"/>
      <c r="Z114" s="104"/>
      <c r="AA114" s="104"/>
    </row>
    <row r="115" spans="1:28" ht="12" x14ac:dyDescent="0.2">
      <c r="A115" s="129" t="s">
        <v>1033</v>
      </c>
      <c r="B115" s="133"/>
      <c r="C115" s="133"/>
      <c r="D115" s="134">
        <v>2299874.5</v>
      </c>
      <c r="E115" s="134">
        <v>2299874.5</v>
      </c>
      <c r="F115" s="133"/>
      <c r="G115" s="133"/>
      <c r="H115" s="112"/>
      <c r="I115" s="147">
        <f t="shared" si="3"/>
        <v>0</v>
      </c>
      <c r="J115" s="147">
        <f t="array" ref="J115">SUM(('Отчет по покупателям УТ'!$M$6:$M$5000='Check 1S 62 vs UT'!$A115)*('Отчет по покупателям УТ'!$X$6:$X$5000))</f>
        <v>0</v>
      </c>
      <c r="K115" s="147">
        <f t="shared" si="4"/>
        <v>0</v>
      </c>
      <c r="L115" s="86"/>
      <c r="M115" s="86"/>
      <c r="N115" s="316"/>
      <c r="O115" s="86"/>
      <c r="P115" s="86"/>
      <c r="Q115" s="86"/>
      <c r="R115" s="86"/>
      <c r="S115" s="110"/>
      <c r="T115" s="111"/>
      <c r="U115" s="86"/>
      <c r="V115" s="86"/>
      <c r="W115" s="110"/>
      <c r="X115" s="110"/>
      <c r="Y115" s="110"/>
      <c r="Z115" s="104"/>
      <c r="AA115" s="104"/>
    </row>
    <row r="116" spans="1:28" ht="12" x14ac:dyDescent="0.2">
      <c r="A116" s="129" t="s">
        <v>802</v>
      </c>
      <c r="B116" s="133"/>
      <c r="C116" s="133"/>
      <c r="D116" s="134">
        <v>280745</v>
      </c>
      <c r="E116" s="134">
        <v>280745</v>
      </c>
      <c r="F116" s="133"/>
      <c r="G116" s="133"/>
      <c r="H116" s="119"/>
      <c r="I116" s="147">
        <f t="shared" si="3"/>
        <v>0</v>
      </c>
      <c r="J116" s="147">
        <f t="array" ref="J116">SUM(('Отчет по покупателям УТ'!$M$6:$M$5000='Check 1S 62 vs UT'!$A116)*('Отчет по покупателям УТ'!$X$6:$X$5000))</f>
        <v>0</v>
      </c>
      <c r="K116" s="147">
        <f t="shared" si="4"/>
        <v>0</v>
      </c>
      <c r="L116" s="86"/>
      <c r="M116" s="110"/>
      <c r="N116" s="318"/>
      <c r="O116" s="86"/>
      <c r="P116" s="86"/>
      <c r="Q116" s="86"/>
      <c r="R116" s="86"/>
      <c r="S116" s="86"/>
      <c r="T116" s="86"/>
      <c r="U116" s="86"/>
      <c r="V116" s="86"/>
      <c r="W116" s="110"/>
      <c r="X116" s="110"/>
      <c r="Y116" s="110"/>
      <c r="Z116" s="104"/>
      <c r="AA116" s="104"/>
    </row>
    <row r="117" spans="1:28" ht="12" x14ac:dyDescent="0.2">
      <c r="A117" s="129" t="s">
        <v>1034</v>
      </c>
      <c r="B117" s="133"/>
      <c r="C117" s="133"/>
      <c r="D117" s="134">
        <v>402380</v>
      </c>
      <c r="E117" s="134">
        <v>402380</v>
      </c>
      <c r="F117" s="133"/>
      <c r="G117" s="133"/>
      <c r="H117" s="112"/>
      <c r="I117" s="147">
        <f t="shared" si="3"/>
        <v>0</v>
      </c>
      <c r="J117" s="147">
        <f t="array" ref="J117">SUM(('Отчет по покупателям УТ'!$M$6:$M$5000='Check 1S 62 vs UT'!$A117)*('Отчет по покупателям УТ'!$X$6:$X$5000))</f>
        <v>0</v>
      </c>
      <c r="K117" s="147">
        <f t="shared" si="4"/>
        <v>0</v>
      </c>
      <c r="L117" s="86"/>
      <c r="M117" s="110"/>
      <c r="N117" s="318"/>
      <c r="O117" s="86"/>
      <c r="P117" s="86"/>
      <c r="Q117" s="86"/>
      <c r="R117" s="86"/>
      <c r="S117" s="86"/>
      <c r="T117" s="86"/>
      <c r="U117" s="86"/>
      <c r="V117" s="86"/>
      <c r="W117" s="110"/>
      <c r="X117" s="110"/>
      <c r="Y117" s="110"/>
      <c r="Z117" s="104"/>
      <c r="AA117" s="104"/>
    </row>
    <row r="118" spans="1:28" ht="12" x14ac:dyDescent="0.2">
      <c r="A118" s="129" t="s">
        <v>803</v>
      </c>
      <c r="B118" s="133"/>
      <c r="C118" s="133"/>
      <c r="D118" s="134">
        <v>1489517</v>
      </c>
      <c r="E118" s="134">
        <v>1489517</v>
      </c>
      <c r="F118" s="133"/>
      <c r="G118" s="133"/>
      <c r="H118" s="122"/>
      <c r="I118" s="147">
        <f t="shared" si="3"/>
        <v>0</v>
      </c>
      <c r="J118" s="147">
        <f t="array" ref="J118">SUM(('Отчет по покупателям УТ'!$M$6:$M$5000='Check 1S 62 vs UT'!$A118)*('Отчет по покупателям УТ'!$X$6:$X$5000))</f>
        <v>0</v>
      </c>
      <c r="K118" s="147">
        <f t="shared" si="4"/>
        <v>0</v>
      </c>
      <c r="L118" s="106"/>
      <c r="M118" s="106"/>
      <c r="N118" s="315"/>
      <c r="O118" s="106"/>
      <c r="P118" s="106"/>
      <c r="Q118" s="106"/>
      <c r="R118" s="106"/>
      <c r="S118" s="107"/>
      <c r="T118" s="108"/>
      <c r="U118" s="106"/>
      <c r="V118" s="106"/>
      <c r="W118" s="107"/>
      <c r="X118" s="107"/>
      <c r="Y118" s="107"/>
      <c r="Z118" s="104"/>
      <c r="AA118" s="104"/>
    </row>
    <row r="119" spans="1:28" ht="12" x14ac:dyDescent="0.2">
      <c r="A119" s="129" t="s">
        <v>804</v>
      </c>
      <c r="B119" s="133"/>
      <c r="C119" s="133"/>
      <c r="D119" s="134">
        <v>1182332</v>
      </c>
      <c r="E119" s="134">
        <v>1182332</v>
      </c>
      <c r="F119" s="133"/>
      <c r="G119" s="133"/>
      <c r="H119" s="119"/>
      <c r="I119" s="147">
        <f t="shared" si="3"/>
        <v>0</v>
      </c>
      <c r="J119" s="147">
        <f t="array" ref="J119">SUM(('Отчет по покупателям УТ'!$M$6:$M$5000='Check 1S 62 vs UT'!$A119)*('Отчет по покупателям УТ'!$X$6:$X$5000))</f>
        <v>0</v>
      </c>
      <c r="K119" s="147">
        <f t="shared" si="4"/>
        <v>0</v>
      </c>
      <c r="L119" s="86"/>
      <c r="M119" s="86"/>
      <c r="N119" s="316"/>
      <c r="O119" s="86"/>
      <c r="P119" s="86"/>
      <c r="Q119" s="86"/>
      <c r="R119" s="86"/>
      <c r="S119" s="110"/>
      <c r="T119" s="111"/>
      <c r="U119" s="86"/>
      <c r="V119" s="86"/>
      <c r="W119" s="110"/>
      <c r="X119" s="110"/>
      <c r="Y119" s="110"/>
      <c r="Z119" s="104"/>
      <c r="AA119" s="104"/>
    </row>
    <row r="120" spans="1:28" ht="12" x14ac:dyDescent="0.2">
      <c r="A120" s="129" t="s">
        <v>805</v>
      </c>
      <c r="B120" s="133"/>
      <c r="C120" s="133"/>
      <c r="D120" s="134">
        <v>11530299.4</v>
      </c>
      <c r="E120" s="134">
        <v>11530299.4</v>
      </c>
      <c r="F120" s="133"/>
      <c r="G120" s="133"/>
      <c r="H120" s="112"/>
      <c r="I120" s="147">
        <f t="shared" si="3"/>
        <v>0</v>
      </c>
      <c r="J120" s="147">
        <f t="array" ref="J120">SUM(('Отчет по покупателям УТ'!$M$6:$M$5000='Check 1S 62 vs UT'!$A120)*('Отчет по покупателям УТ'!$X$6:$X$5000))</f>
        <v>0</v>
      </c>
      <c r="K120" s="147">
        <f t="shared" si="4"/>
        <v>0</v>
      </c>
      <c r="L120" s="86"/>
      <c r="M120" s="86"/>
      <c r="N120" s="316"/>
      <c r="O120" s="86"/>
      <c r="P120" s="86"/>
      <c r="Q120" s="86"/>
      <c r="R120" s="86"/>
      <c r="S120" s="110"/>
      <c r="T120" s="111"/>
      <c r="U120" s="86"/>
      <c r="V120" s="86"/>
      <c r="W120" s="110"/>
      <c r="X120" s="110"/>
      <c r="Y120" s="110"/>
      <c r="Z120" s="104"/>
      <c r="AA120" s="104"/>
    </row>
    <row r="121" spans="1:28" ht="12" x14ac:dyDescent="0.2">
      <c r="A121" s="129" t="s">
        <v>806</v>
      </c>
      <c r="B121" s="133"/>
      <c r="C121" s="133"/>
      <c r="D121" s="133">
        <v>12533325.109999999</v>
      </c>
      <c r="E121" s="133">
        <v>12533325.109999999</v>
      </c>
      <c r="F121" s="133"/>
      <c r="G121" s="133"/>
      <c r="H121" s="119"/>
      <c r="I121" s="147">
        <f t="shared" si="3"/>
        <v>0</v>
      </c>
      <c r="J121" s="147">
        <f t="array" ref="J121">SUM(('Отчет по покупателям УТ'!$M$6:$M$5000='Check 1S 62 vs UT'!$A121)*('Отчет по покупателям УТ'!$X$6:$X$5000))</f>
        <v>0</v>
      </c>
      <c r="K121" s="147">
        <f t="shared" si="4"/>
        <v>0</v>
      </c>
      <c r="L121" s="86"/>
      <c r="M121" s="86"/>
      <c r="N121" s="316"/>
      <c r="O121" s="86"/>
      <c r="P121" s="86"/>
      <c r="Q121" s="86"/>
      <c r="R121" s="86"/>
      <c r="S121" s="110"/>
      <c r="T121" s="111"/>
      <c r="U121" s="86"/>
      <c r="V121" s="86"/>
      <c r="W121" s="110"/>
      <c r="X121" s="110"/>
      <c r="Y121" s="110"/>
      <c r="Z121" s="104"/>
      <c r="AA121" s="104"/>
    </row>
    <row r="122" spans="1:28" ht="12" x14ac:dyDescent="0.2">
      <c r="A122" s="129" t="s">
        <v>807</v>
      </c>
      <c r="B122" s="133"/>
      <c r="C122" s="133"/>
      <c r="D122" s="133">
        <v>11491152</v>
      </c>
      <c r="E122" s="133">
        <v>11491152</v>
      </c>
      <c r="F122" s="133"/>
      <c r="G122" s="133"/>
      <c r="H122" s="112"/>
      <c r="I122" s="147">
        <f t="shared" si="3"/>
        <v>0</v>
      </c>
      <c r="J122" s="147">
        <f t="array" ref="J122">SUM(('Отчет по покупателям УТ'!$M$6:$M$5000='Check 1S 62 vs UT'!$A122)*('Отчет по покупателям УТ'!$X$6:$X$5000))</f>
        <v>0</v>
      </c>
      <c r="K122" s="147">
        <f t="shared" si="4"/>
        <v>0</v>
      </c>
      <c r="L122" s="86"/>
      <c r="M122" s="86"/>
      <c r="N122" s="316"/>
      <c r="O122" s="86"/>
      <c r="P122" s="86"/>
      <c r="Q122" s="86"/>
      <c r="R122" s="86"/>
      <c r="S122" s="110"/>
      <c r="T122" s="111"/>
      <c r="U122" s="86"/>
      <c r="V122" s="86"/>
      <c r="W122" s="110"/>
      <c r="X122" s="110"/>
      <c r="Y122" s="110"/>
      <c r="Z122" s="104"/>
      <c r="AA122" s="104"/>
    </row>
    <row r="123" spans="1:28" ht="12" x14ac:dyDescent="0.2">
      <c r="A123" s="129" t="s">
        <v>808</v>
      </c>
      <c r="B123" s="133"/>
      <c r="C123" s="133"/>
      <c r="D123" s="133">
        <v>9938539</v>
      </c>
      <c r="E123" s="133">
        <v>9938539</v>
      </c>
      <c r="F123" s="133"/>
      <c r="G123" s="133"/>
      <c r="H123" s="121"/>
      <c r="I123" s="147">
        <f t="shared" si="3"/>
        <v>0</v>
      </c>
      <c r="J123" s="147">
        <f t="array" ref="J123">SUM(('Отчет по покупателям УТ'!$M$6:$M$5000='Check 1S 62 vs UT'!$A123)*('Отчет по покупателям УТ'!$X$6:$X$5000))</f>
        <v>0</v>
      </c>
      <c r="K123" s="147">
        <f t="shared" si="4"/>
        <v>0</v>
      </c>
      <c r="L123" s="106"/>
      <c r="M123" s="106"/>
      <c r="N123" s="315"/>
      <c r="O123" s="106"/>
      <c r="P123" s="106"/>
      <c r="Q123" s="106"/>
      <c r="R123" s="106"/>
      <c r="S123" s="107"/>
      <c r="T123" s="108"/>
      <c r="U123" s="106"/>
      <c r="V123" s="106"/>
      <c r="W123" s="107"/>
      <c r="X123" s="107"/>
      <c r="Y123" s="109"/>
      <c r="AB123" s="103"/>
    </row>
    <row r="124" spans="1:28" ht="12" x14ac:dyDescent="0.2">
      <c r="A124" s="129" t="s">
        <v>809</v>
      </c>
      <c r="B124" s="133"/>
      <c r="C124" s="133"/>
      <c r="D124" s="133">
        <v>12325351.699999999</v>
      </c>
      <c r="E124" s="133">
        <v>12325351.699999999</v>
      </c>
      <c r="F124" s="133"/>
      <c r="G124" s="133"/>
      <c r="H124" s="121"/>
      <c r="I124" s="147">
        <f t="shared" si="3"/>
        <v>0</v>
      </c>
      <c r="J124" s="147">
        <f t="array" ref="J124">SUM(('Отчет по покупателям УТ'!$M$6:$M$5000='Check 1S 62 vs UT'!$A124)*('Отчет по покупателям УТ'!$X$6:$X$5000))</f>
        <v>0</v>
      </c>
      <c r="K124" s="147">
        <f t="shared" si="4"/>
        <v>0</v>
      </c>
      <c r="L124" s="106"/>
      <c r="M124" s="106"/>
      <c r="N124" s="315"/>
      <c r="O124" s="106"/>
      <c r="P124" s="106"/>
      <c r="Q124" s="106"/>
      <c r="R124" s="106"/>
      <c r="S124" s="107"/>
      <c r="T124" s="108"/>
      <c r="U124" s="106"/>
      <c r="V124" s="106"/>
      <c r="W124" s="107"/>
      <c r="X124" s="107"/>
      <c r="Y124" s="107"/>
      <c r="Z124" s="104"/>
      <c r="AA124" s="104"/>
    </row>
    <row r="125" spans="1:28" ht="12" x14ac:dyDescent="0.2">
      <c r="A125" s="129" t="s">
        <v>810</v>
      </c>
      <c r="B125" s="133"/>
      <c r="C125" s="133"/>
      <c r="D125" s="133">
        <v>7737330.5</v>
      </c>
      <c r="E125" s="133">
        <v>7737330.5</v>
      </c>
      <c r="F125" s="133"/>
      <c r="G125" s="133"/>
      <c r="H125" s="119"/>
      <c r="I125" s="147">
        <f t="shared" si="3"/>
        <v>0</v>
      </c>
      <c r="J125" s="147">
        <f t="array" ref="J125">SUM(('Отчет по покупателям УТ'!$M$6:$M$5000='Check 1S 62 vs UT'!$A125)*('Отчет по покупателям УТ'!$X$6:$X$5000))</f>
        <v>0</v>
      </c>
      <c r="K125" s="147">
        <f t="shared" si="4"/>
        <v>0</v>
      </c>
      <c r="L125" s="86"/>
      <c r="M125" s="86"/>
      <c r="N125" s="316"/>
      <c r="O125" s="86"/>
      <c r="P125" s="86"/>
      <c r="Q125" s="86"/>
      <c r="R125" s="86"/>
      <c r="S125" s="110"/>
      <c r="T125" s="111"/>
      <c r="U125" s="86"/>
      <c r="V125" s="86"/>
      <c r="W125" s="110"/>
      <c r="X125" s="110"/>
      <c r="Y125" s="110"/>
      <c r="Z125" s="104"/>
      <c r="AA125" s="104"/>
    </row>
    <row r="126" spans="1:28" ht="12" x14ac:dyDescent="0.2">
      <c r="A126" s="129" t="s">
        <v>811</v>
      </c>
      <c r="B126" s="133"/>
      <c r="C126" s="133"/>
      <c r="D126" s="133">
        <v>6840939</v>
      </c>
      <c r="E126" s="133">
        <v>6840939</v>
      </c>
      <c r="F126" s="133"/>
      <c r="G126" s="133"/>
      <c r="H126" s="112"/>
      <c r="I126" s="147">
        <f t="shared" si="3"/>
        <v>0</v>
      </c>
      <c r="J126" s="147">
        <f t="array" ref="J126">SUM(('Отчет по покупателям УТ'!$M$6:$M$5000='Check 1S 62 vs UT'!$A126)*('Отчет по покупателям УТ'!$X$6:$X$5000))</f>
        <v>0</v>
      </c>
      <c r="K126" s="147">
        <f t="shared" si="4"/>
        <v>0</v>
      </c>
      <c r="L126" s="86"/>
      <c r="M126" s="86"/>
      <c r="N126" s="316"/>
      <c r="O126" s="86"/>
      <c r="P126" s="86"/>
      <c r="Q126" s="86"/>
      <c r="R126" s="86"/>
      <c r="S126" s="110"/>
      <c r="T126" s="111"/>
      <c r="U126" s="86"/>
      <c r="V126" s="86"/>
      <c r="W126" s="110"/>
      <c r="X126" s="110"/>
      <c r="Y126" s="110"/>
      <c r="Z126" s="104"/>
      <c r="AA126" s="104"/>
    </row>
    <row r="127" spans="1:28" ht="12" x14ac:dyDescent="0.2">
      <c r="A127" s="129" t="s">
        <v>812</v>
      </c>
      <c r="B127" s="133"/>
      <c r="C127" s="133"/>
      <c r="D127" s="133">
        <v>9268013.3000000007</v>
      </c>
      <c r="E127" s="133">
        <v>9268013.3000000007</v>
      </c>
      <c r="F127" s="133"/>
      <c r="G127" s="133"/>
      <c r="H127" s="121"/>
      <c r="I127" s="147">
        <f t="shared" si="3"/>
        <v>0</v>
      </c>
      <c r="J127" s="147">
        <f t="array" ref="J127">SUM(('Отчет по покупателям УТ'!$M$6:$M$5000='Check 1S 62 vs UT'!$A127)*('Отчет по покупателям УТ'!$X$6:$X$5000))</f>
        <v>0</v>
      </c>
      <c r="K127" s="147">
        <f t="shared" si="4"/>
        <v>0</v>
      </c>
      <c r="L127" s="106"/>
      <c r="M127" s="106"/>
      <c r="N127" s="315"/>
      <c r="O127" s="106"/>
      <c r="P127" s="106"/>
      <c r="Q127" s="106"/>
      <c r="R127" s="106"/>
      <c r="S127" s="106"/>
      <c r="T127" s="106"/>
      <c r="U127" s="107"/>
      <c r="V127" s="107"/>
      <c r="W127" s="107"/>
      <c r="X127" s="107"/>
      <c r="Y127" s="109"/>
      <c r="AB127" s="103"/>
    </row>
    <row r="128" spans="1:28" ht="12" x14ac:dyDescent="0.2">
      <c r="A128" s="129" t="s">
        <v>296</v>
      </c>
      <c r="B128" s="133"/>
      <c r="C128" s="133">
        <v>580790.73</v>
      </c>
      <c r="D128" s="133"/>
      <c r="E128" s="133"/>
      <c r="F128" s="133"/>
      <c r="G128" s="133">
        <v>580790.73</v>
      </c>
      <c r="H128" s="121"/>
      <c r="I128" s="147">
        <f t="shared" si="3"/>
        <v>-580790.73</v>
      </c>
      <c r="J128" s="147">
        <f t="array" ref="J128">SUM(('Отчет по покупателям УТ'!$M$6:$M$5000='Check 1S 62 vs UT'!$A128)*('Отчет по покупателям УТ'!$X$6:$X$5000))</f>
        <v>-538811.61</v>
      </c>
      <c r="K128" s="147">
        <f t="shared" si="4"/>
        <v>41979.119999999995</v>
      </c>
      <c r="L128" s="106"/>
      <c r="M128" s="106"/>
      <c r="N128" s="315"/>
      <c r="O128" s="106"/>
      <c r="P128" s="106"/>
      <c r="Q128" s="106"/>
      <c r="R128" s="106"/>
      <c r="S128" s="106"/>
      <c r="T128" s="106"/>
      <c r="U128" s="107"/>
      <c r="V128" s="107"/>
      <c r="W128" s="107"/>
      <c r="X128" s="107"/>
      <c r="Y128" s="107"/>
      <c r="Z128" s="104"/>
      <c r="AA128" s="104"/>
    </row>
    <row r="129" spans="1:28" ht="12" x14ac:dyDescent="0.2">
      <c r="A129" s="129" t="s">
        <v>310</v>
      </c>
      <c r="B129" s="133">
        <v>500357.99</v>
      </c>
      <c r="C129" s="133"/>
      <c r="D129" s="133"/>
      <c r="E129" s="133"/>
      <c r="F129" s="133">
        <v>500357.99</v>
      </c>
      <c r="G129" s="133"/>
      <c r="H129" s="119"/>
      <c r="I129" s="147">
        <f t="shared" si="3"/>
        <v>500357.99</v>
      </c>
      <c r="J129" s="147">
        <f t="array" ref="J129">SUM(('Отчет по покупателям УТ'!$M$6:$M$5000='Check 1S 62 vs UT'!$A129)*('Отчет по покупателям УТ'!$X$6:$X$5000))</f>
        <v>5024207.99</v>
      </c>
      <c r="K129" s="147">
        <f t="shared" si="4"/>
        <v>4523850</v>
      </c>
      <c r="L129" s="86"/>
      <c r="M129" s="86"/>
      <c r="N129" s="316"/>
      <c r="O129" s="86"/>
      <c r="P129" s="86"/>
      <c r="Q129" s="86"/>
      <c r="R129" s="86"/>
      <c r="S129" s="86"/>
      <c r="T129" s="86"/>
      <c r="U129" s="110"/>
      <c r="V129" s="110"/>
      <c r="W129" s="110"/>
      <c r="X129" s="110"/>
      <c r="Y129" s="110"/>
      <c r="Z129" s="104"/>
      <c r="AA129" s="104"/>
    </row>
    <row r="130" spans="1:28" ht="12" x14ac:dyDescent="0.2">
      <c r="A130" s="129" t="s">
        <v>315</v>
      </c>
      <c r="B130" s="133"/>
      <c r="C130" s="133">
        <v>320328.19</v>
      </c>
      <c r="D130" s="133"/>
      <c r="E130" s="133"/>
      <c r="F130" s="133"/>
      <c r="G130" s="133">
        <v>320328.19</v>
      </c>
      <c r="H130" s="112"/>
      <c r="I130" s="147">
        <f t="shared" si="3"/>
        <v>-320328.19</v>
      </c>
      <c r="J130" s="147">
        <f t="array" ref="J130">SUM(('Отчет по покупателям УТ'!$M$6:$M$5000='Check 1S 62 vs UT'!$A130)*('Отчет по покупателям УТ'!$X$6:$X$5000))</f>
        <v>-1345382.9100000001</v>
      </c>
      <c r="K130" s="147">
        <f t="shared" si="4"/>
        <v>-1025054.7200000002</v>
      </c>
      <c r="L130" s="86"/>
      <c r="M130" s="86"/>
      <c r="N130" s="316"/>
      <c r="O130" s="86"/>
      <c r="P130" s="86"/>
      <c r="Q130" s="86"/>
      <c r="R130" s="86"/>
      <c r="S130" s="86"/>
      <c r="T130" s="86"/>
      <c r="U130" s="110"/>
      <c r="V130" s="110"/>
      <c r="W130" s="110"/>
      <c r="X130" s="110"/>
      <c r="Y130" s="110"/>
      <c r="Z130" s="104"/>
      <c r="AA130" s="104"/>
    </row>
    <row r="131" spans="1:28" ht="12" x14ac:dyDescent="0.2">
      <c r="A131" s="129" t="s">
        <v>324</v>
      </c>
      <c r="B131" s="133">
        <v>1316392.3999999999</v>
      </c>
      <c r="C131" s="133"/>
      <c r="D131" s="133">
        <v>1535527.7</v>
      </c>
      <c r="E131" s="133">
        <v>1521094.08</v>
      </c>
      <c r="F131" s="133">
        <v>1330826.02</v>
      </c>
      <c r="G131" s="133"/>
      <c r="H131" s="121"/>
      <c r="I131" s="147">
        <f t="shared" si="3"/>
        <v>1330826.02</v>
      </c>
      <c r="J131" s="147">
        <f t="array" ref="J131">SUM(('Отчет по покупателям УТ'!$M$6:$M$5000='Check 1S 62 vs UT'!$A131)*('Отчет по покупателям УТ'!$X$6:$X$5000))</f>
        <v>826065.4</v>
      </c>
      <c r="K131" s="147">
        <f t="shared" si="4"/>
        <v>-504760.62</v>
      </c>
      <c r="L131" s="106"/>
      <c r="M131" s="106"/>
      <c r="N131" s="315"/>
      <c r="O131" s="106"/>
      <c r="P131" s="106"/>
      <c r="Q131" s="106"/>
      <c r="R131" s="106"/>
      <c r="S131" s="106"/>
      <c r="T131" s="106"/>
      <c r="U131" s="107"/>
      <c r="V131" s="114"/>
      <c r="W131" s="107"/>
      <c r="X131" s="107"/>
      <c r="Y131" s="107"/>
      <c r="Z131" s="104"/>
      <c r="AA131" s="104"/>
    </row>
    <row r="132" spans="1:28" ht="12" x14ac:dyDescent="0.2">
      <c r="A132" s="129" t="s">
        <v>327</v>
      </c>
      <c r="B132" s="133"/>
      <c r="C132" s="133">
        <v>85944.35</v>
      </c>
      <c r="D132" s="133"/>
      <c r="E132" s="133"/>
      <c r="F132" s="133"/>
      <c r="G132" s="133">
        <v>85944.35</v>
      </c>
      <c r="H132" s="119"/>
      <c r="I132" s="147">
        <f t="shared" si="3"/>
        <v>-85944.35</v>
      </c>
      <c r="J132" s="147">
        <f t="array" ref="J132">SUM(('Отчет по покупателям УТ'!$M$6:$M$5000='Check 1S 62 vs UT'!$A132)*('Отчет по покупателям УТ'!$X$6:$X$5000))</f>
        <v>-85944.35</v>
      </c>
      <c r="K132" s="147">
        <f t="shared" si="4"/>
        <v>0</v>
      </c>
      <c r="L132" s="86"/>
      <c r="M132" s="86"/>
      <c r="N132" s="316"/>
      <c r="O132" s="86"/>
      <c r="P132" s="86"/>
      <c r="Q132" s="86"/>
      <c r="R132" s="86"/>
      <c r="S132" s="86"/>
      <c r="T132" s="86"/>
      <c r="U132" s="110"/>
      <c r="V132" s="115"/>
      <c r="W132" s="110"/>
      <c r="X132" s="110"/>
      <c r="Y132" s="110"/>
      <c r="Z132" s="104"/>
      <c r="AA132" s="104"/>
    </row>
    <row r="133" spans="1:28" ht="12" x14ac:dyDescent="0.2">
      <c r="A133" s="129" t="s">
        <v>328</v>
      </c>
      <c r="B133" s="133"/>
      <c r="C133" s="133">
        <v>52256.76</v>
      </c>
      <c r="D133" s="133">
        <v>1414621.76</v>
      </c>
      <c r="E133" s="133">
        <v>1414621.76</v>
      </c>
      <c r="F133" s="133"/>
      <c r="G133" s="133">
        <v>52256.76</v>
      </c>
      <c r="H133" s="112"/>
      <c r="I133" s="147">
        <f t="shared" si="3"/>
        <v>-52256.76</v>
      </c>
      <c r="J133" s="147">
        <f t="array" ref="J133">SUM(('Отчет по покупателям УТ'!$M$6:$M$5000='Check 1S 62 vs UT'!$A133)*('Отчет по покупателям УТ'!$X$6:$X$5000))</f>
        <v>-273140.3</v>
      </c>
      <c r="K133" s="147">
        <f t="shared" si="4"/>
        <v>-220883.53999999998</v>
      </c>
      <c r="L133" s="86"/>
      <c r="M133" s="86"/>
      <c r="N133" s="316"/>
      <c r="O133" s="86"/>
      <c r="P133" s="86"/>
      <c r="Q133" s="86"/>
      <c r="R133" s="86"/>
      <c r="S133" s="86"/>
      <c r="T133" s="86"/>
      <c r="U133" s="110"/>
      <c r="V133" s="115"/>
      <c r="W133" s="110"/>
      <c r="X133" s="110"/>
      <c r="Y133" s="110"/>
      <c r="Z133" s="104"/>
      <c r="AA133" s="104"/>
    </row>
    <row r="134" spans="1:28" ht="12" x14ac:dyDescent="0.2">
      <c r="A134" s="129" t="s">
        <v>1035</v>
      </c>
      <c r="B134" s="133"/>
      <c r="C134" s="133">
        <v>2384686</v>
      </c>
      <c r="D134" s="133">
        <v>2384686</v>
      </c>
      <c r="E134" s="133"/>
      <c r="F134" s="133"/>
      <c r="G134" s="133"/>
      <c r="H134" s="121"/>
      <c r="I134" s="147">
        <f t="shared" si="3"/>
        <v>0</v>
      </c>
      <c r="J134" s="147">
        <f t="array" ref="J134">SUM(('Отчет по покупателям УТ'!$M$6:$M$5000='Check 1S 62 vs UT'!$A134)*('Отчет по покупателям УТ'!$X$6:$X$5000))</f>
        <v>0</v>
      </c>
      <c r="K134" s="147">
        <f t="shared" si="4"/>
        <v>0</v>
      </c>
      <c r="L134" s="106"/>
      <c r="M134" s="106"/>
      <c r="N134" s="315"/>
      <c r="O134" s="106"/>
      <c r="P134" s="106"/>
      <c r="Q134" s="106"/>
      <c r="R134" s="106"/>
      <c r="S134" s="106"/>
      <c r="T134" s="106"/>
      <c r="U134" s="107"/>
      <c r="V134" s="107"/>
      <c r="W134" s="107"/>
      <c r="X134" s="107"/>
      <c r="Y134" s="107"/>
      <c r="Z134" s="104"/>
      <c r="AA134" s="104"/>
    </row>
    <row r="135" spans="1:28" ht="12" x14ac:dyDescent="0.2">
      <c r="A135" s="129" t="s">
        <v>1036</v>
      </c>
      <c r="B135" s="133">
        <v>2384686</v>
      </c>
      <c r="C135" s="133"/>
      <c r="D135" s="133"/>
      <c r="E135" s="133">
        <v>2384686</v>
      </c>
      <c r="F135" s="133"/>
      <c r="G135" s="133"/>
      <c r="H135" s="119"/>
      <c r="I135" s="147">
        <f t="shared" si="3"/>
        <v>0</v>
      </c>
      <c r="J135" s="147">
        <f t="array" ref="J135">SUM(('Отчет по покупателям УТ'!$M$6:$M$5000='Check 1S 62 vs UT'!$A135)*('Отчет по покупателям УТ'!$X$6:$X$5000))</f>
        <v>0</v>
      </c>
      <c r="K135" s="147">
        <f t="shared" si="4"/>
        <v>0</v>
      </c>
      <c r="L135" s="86"/>
      <c r="M135" s="86"/>
      <c r="N135" s="316"/>
      <c r="O135" s="86"/>
      <c r="P135" s="86"/>
      <c r="Q135" s="86"/>
      <c r="R135" s="86"/>
      <c r="S135" s="86"/>
      <c r="T135" s="86"/>
      <c r="U135" s="110"/>
      <c r="V135" s="110"/>
      <c r="W135" s="110"/>
      <c r="X135" s="110"/>
      <c r="Y135" s="110"/>
      <c r="Z135" s="104"/>
      <c r="AA135" s="104"/>
    </row>
    <row r="136" spans="1:28" ht="12" x14ac:dyDescent="0.2">
      <c r="A136" s="129"/>
      <c r="B136" s="133"/>
      <c r="C136" s="133"/>
      <c r="D136" s="133"/>
      <c r="E136" s="133"/>
      <c r="F136" s="133"/>
      <c r="G136" s="133"/>
      <c r="H136" s="112"/>
      <c r="I136" s="147">
        <f t="shared" si="3"/>
        <v>0</v>
      </c>
      <c r="J136" s="147">
        <f t="array" ref="J136">SUM(('Отчет по покупателям УТ'!$M$6:$M$5000='Check 1S 62 vs UT'!$A136)*('Отчет по покупателям УТ'!$X$6:$X$5000))</f>
        <v>0</v>
      </c>
      <c r="K136" s="147">
        <f t="shared" si="4"/>
        <v>0</v>
      </c>
      <c r="L136" s="86"/>
      <c r="M136" s="86"/>
      <c r="N136" s="316"/>
      <c r="O136" s="86"/>
      <c r="P136" s="86"/>
      <c r="Q136" s="86"/>
      <c r="R136" s="86"/>
      <c r="S136" s="86"/>
      <c r="T136" s="86"/>
      <c r="U136" s="110"/>
      <c r="V136" s="110"/>
      <c r="W136" s="110"/>
      <c r="X136" s="110"/>
      <c r="Y136" s="110"/>
      <c r="Z136" s="104"/>
      <c r="AA136" s="104"/>
    </row>
    <row r="137" spans="1:28" ht="12" x14ac:dyDescent="0.2">
      <c r="A137" s="299"/>
      <c r="B137" s="300"/>
      <c r="C137" s="300"/>
      <c r="D137" s="300"/>
      <c r="E137" s="300"/>
      <c r="F137" s="300"/>
      <c r="G137" s="300"/>
      <c r="H137" s="121"/>
      <c r="I137" s="147">
        <f t="shared" si="3"/>
        <v>0</v>
      </c>
      <c r="J137" s="147">
        <f t="array" ref="J137">SUM(('Отчет по покупателям УТ'!$M$6:$M$5000='Check 1S 62 vs UT'!$A137)*('Отчет по покупателям УТ'!$X$6:$X$5000))</f>
        <v>0</v>
      </c>
      <c r="K137" s="147">
        <f t="shared" si="4"/>
        <v>0</v>
      </c>
      <c r="L137" s="106"/>
      <c r="M137" s="106"/>
      <c r="N137" s="315"/>
      <c r="O137" s="106"/>
      <c r="P137" s="106"/>
      <c r="Q137" s="106"/>
      <c r="R137" s="106"/>
      <c r="S137" s="106"/>
      <c r="T137" s="106"/>
      <c r="U137" s="107"/>
      <c r="V137" s="107"/>
      <c r="W137" s="107"/>
      <c r="X137" s="107"/>
      <c r="Y137" s="107"/>
      <c r="Z137" s="104"/>
      <c r="AA137" s="104"/>
    </row>
    <row r="138" spans="1:28" ht="12" x14ac:dyDescent="0.2">
      <c r="A138" s="299" t="s">
        <v>277</v>
      </c>
      <c r="B138" s="296">
        <v>734007.88</v>
      </c>
      <c r="C138" s="297"/>
      <c r="D138" s="297">
        <v>923123.67</v>
      </c>
      <c r="E138" s="297">
        <v>542490.67000000004</v>
      </c>
      <c r="F138" s="301">
        <v>1114640.8799999999</v>
      </c>
      <c r="G138" s="300"/>
      <c r="H138" s="119"/>
      <c r="I138" s="147">
        <f t="shared" si="3"/>
        <v>1114640.8799999999</v>
      </c>
      <c r="J138" s="147">
        <f t="array" ref="J138">SUM(('Отчет по покупателям УТ'!$M$6:$M$5000='Check 1S 62 vs UT'!$A138)*('Отчет по покупателям УТ'!$X$6:$X$5000))</f>
        <v>1970591.38</v>
      </c>
      <c r="K138" s="147">
        <f t="shared" si="4"/>
        <v>855950.5</v>
      </c>
      <c r="L138" s="86"/>
      <c r="M138" s="86"/>
      <c r="N138" s="316"/>
      <c r="O138" s="86"/>
      <c r="P138" s="86"/>
      <c r="Q138" s="86"/>
      <c r="R138" s="86"/>
      <c r="S138" s="86"/>
      <c r="T138" s="86"/>
      <c r="U138" s="110"/>
      <c r="V138" s="110"/>
      <c r="W138" s="110"/>
      <c r="X138" s="110"/>
      <c r="Y138" s="110"/>
      <c r="Z138" s="104"/>
      <c r="AA138" s="104"/>
    </row>
    <row r="139" spans="1:28" ht="12" x14ac:dyDescent="0.2">
      <c r="A139" s="295" t="s">
        <v>1273</v>
      </c>
      <c r="B139" s="297">
        <v>545103.39</v>
      </c>
      <c r="C139" s="296"/>
      <c r="D139" s="297">
        <v>10413518.630000001</v>
      </c>
      <c r="E139" s="297">
        <v>10307611.26</v>
      </c>
      <c r="F139" s="297">
        <v>651010.76</v>
      </c>
      <c r="G139" s="301"/>
      <c r="H139" s="112"/>
      <c r="I139" s="147">
        <f t="shared" ref="I139:I155" si="5">F139-G139</f>
        <v>651010.76</v>
      </c>
      <c r="J139" s="147">
        <f t="array" ref="J139">SUM(('Отчет по покупателям УТ'!$M$6:$M$5000='Check 1S 62 vs UT'!$A139)*('Отчет по покупателям УТ'!$X$6:$X$5000))</f>
        <v>0</v>
      </c>
      <c r="K139" s="147">
        <f t="shared" ref="K139:K155" si="6">J139-I139</f>
        <v>-651010.76</v>
      </c>
      <c r="L139" s="86"/>
      <c r="M139" s="86"/>
      <c r="N139" s="316"/>
      <c r="O139" s="86"/>
      <c r="P139" s="86"/>
      <c r="Q139" s="86"/>
      <c r="R139" s="86"/>
      <c r="S139" s="86"/>
      <c r="T139" s="86"/>
      <c r="U139" s="110"/>
      <c r="V139" s="110"/>
      <c r="W139" s="110"/>
      <c r="X139" s="110"/>
      <c r="Y139" s="110"/>
      <c r="Z139" s="104"/>
      <c r="AA139" s="104"/>
    </row>
    <row r="140" spans="1:28" ht="12" x14ac:dyDescent="0.2">
      <c r="A140" s="295" t="s">
        <v>94</v>
      </c>
      <c r="B140" s="296"/>
      <c r="C140" s="297">
        <v>7495</v>
      </c>
      <c r="D140" s="296"/>
      <c r="E140" s="296"/>
      <c r="F140" s="296"/>
      <c r="G140" s="298">
        <v>7495</v>
      </c>
      <c r="H140" s="121"/>
      <c r="I140" s="147">
        <f t="shared" si="5"/>
        <v>-7495</v>
      </c>
      <c r="J140" s="147">
        <f t="array" ref="J140">SUM(('Отчет по покупателям УТ'!$M$6:$M$5000='Check 1S 62 vs UT'!$A140)*('Отчет по покупателям УТ'!$X$6:$X$5000))</f>
        <v>-7495</v>
      </c>
      <c r="K140" s="147">
        <f t="shared" si="6"/>
        <v>0</v>
      </c>
      <c r="L140" s="106"/>
      <c r="M140" s="106"/>
      <c r="N140" s="315"/>
      <c r="O140" s="106"/>
      <c r="P140" s="106"/>
      <c r="Q140" s="106"/>
      <c r="R140" s="106"/>
      <c r="S140" s="106"/>
      <c r="T140" s="106"/>
      <c r="U140" s="107"/>
      <c r="V140" s="107"/>
      <c r="W140" s="107"/>
      <c r="X140" s="107"/>
      <c r="Y140" s="107"/>
      <c r="Z140" s="104"/>
      <c r="AA140" s="104"/>
    </row>
    <row r="141" spans="1:28" ht="12" x14ac:dyDescent="0.2">
      <c r="A141" s="129"/>
      <c r="B141" s="133"/>
      <c r="C141" s="133"/>
      <c r="D141" s="133"/>
      <c r="E141" s="133"/>
      <c r="F141" s="133"/>
      <c r="G141" s="133"/>
      <c r="H141" s="119"/>
      <c r="I141" s="147">
        <f t="shared" si="5"/>
        <v>0</v>
      </c>
      <c r="J141" s="147">
        <f t="array" ref="J141">SUM(('Отчет по покупателям УТ'!$M$6:$M$5000='Check 1S 62 vs UT'!$A141)*('Отчет по покупателям УТ'!$X$6:$X$5000))</f>
        <v>0</v>
      </c>
      <c r="K141" s="147">
        <f t="shared" si="6"/>
        <v>0</v>
      </c>
      <c r="L141" s="86"/>
      <c r="M141" s="86"/>
      <c r="N141" s="316"/>
      <c r="O141" s="86"/>
      <c r="P141" s="86"/>
      <c r="Q141" s="86"/>
      <c r="R141" s="86"/>
      <c r="S141" s="86"/>
      <c r="T141" s="86"/>
      <c r="U141" s="110"/>
      <c r="V141" s="110"/>
      <c r="W141" s="110"/>
      <c r="X141" s="110"/>
      <c r="Y141" s="110"/>
      <c r="Z141" s="104"/>
      <c r="AA141" s="104"/>
    </row>
    <row r="142" spans="1:28" ht="12" x14ac:dyDescent="0.2">
      <c r="A142" s="129"/>
      <c r="B142" s="133"/>
      <c r="C142" s="133"/>
      <c r="D142" s="133"/>
      <c r="E142" s="133"/>
      <c r="F142" s="133"/>
      <c r="G142" s="133"/>
      <c r="H142" s="112"/>
      <c r="I142" s="147">
        <f t="shared" si="5"/>
        <v>0</v>
      </c>
      <c r="J142" s="147">
        <f t="array" ref="J142">SUM(('Отчет по покупателям УТ'!$M$6:$M$5000='Check 1S 62 vs UT'!$A142)*('Отчет по покупателям УТ'!$X$6:$X$5000))</f>
        <v>0</v>
      </c>
      <c r="K142" s="147">
        <f t="shared" si="6"/>
        <v>0</v>
      </c>
      <c r="L142" s="86"/>
      <c r="M142" s="86"/>
      <c r="N142" s="316"/>
      <c r="O142" s="86"/>
      <c r="P142" s="86"/>
      <c r="Q142" s="86"/>
      <c r="R142" s="86"/>
      <c r="S142" s="86"/>
      <c r="T142" s="86"/>
      <c r="U142" s="110"/>
      <c r="V142" s="110"/>
      <c r="W142" s="110"/>
      <c r="X142" s="110"/>
      <c r="Y142" s="110"/>
      <c r="Z142" s="104"/>
      <c r="AA142" s="104"/>
    </row>
    <row r="143" spans="1:28" ht="12" x14ac:dyDescent="0.2">
      <c r="A143" s="129"/>
      <c r="B143" s="133"/>
      <c r="C143" s="133"/>
      <c r="D143" s="133"/>
      <c r="E143" s="133"/>
      <c r="F143" s="133"/>
      <c r="G143" s="133"/>
      <c r="H143" s="121"/>
      <c r="I143" s="147">
        <f t="shared" si="5"/>
        <v>0</v>
      </c>
      <c r="J143" s="147">
        <f t="array" ref="J143">SUM(('Отчет по покупателям УТ'!$M$6:$M$5000='Check 1S 62 vs UT'!$A143)*('Отчет по покупателям УТ'!$X$6:$X$5000))</f>
        <v>0</v>
      </c>
      <c r="K143" s="147">
        <f t="shared" si="6"/>
        <v>0</v>
      </c>
      <c r="L143" s="108"/>
      <c r="M143" s="106"/>
      <c r="N143" s="315"/>
      <c r="O143" s="106"/>
      <c r="P143" s="106"/>
      <c r="Q143" s="106"/>
      <c r="R143" s="106"/>
      <c r="S143" s="106"/>
      <c r="T143" s="106"/>
      <c r="U143" s="107"/>
      <c r="V143" s="108"/>
      <c r="W143" s="107"/>
      <c r="X143" s="107"/>
      <c r="Y143" s="109"/>
      <c r="AB143" s="103"/>
    </row>
    <row r="144" spans="1:28" ht="12" x14ac:dyDescent="0.2">
      <c r="A144" s="129"/>
      <c r="B144" s="133"/>
      <c r="C144" s="133"/>
      <c r="D144" s="133"/>
      <c r="E144" s="133"/>
      <c r="F144" s="133"/>
      <c r="G144" s="133"/>
      <c r="H144" s="122"/>
      <c r="I144" s="147">
        <f t="shared" si="5"/>
        <v>0</v>
      </c>
      <c r="J144" s="147">
        <f t="array" ref="J144">SUM(('Отчет по покупателям УТ'!$M$6:$M$5000='Check 1S 62 vs UT'!$A144)*('Отчет по покупателям УТ'!$X$6:$X$5000))</f>
        <v>0</v>
      </c>
      <c r="K144" s="147">
        <f t="shared" si="6"/>
        <v>0</v>
      </c>
      <c r="L144" s="108"/>
      <c r="M144" s="106"/>
      <c r="N144" s="315"/>
      <c r="O144" s="106"/>
      <c r="P144" s="106"/>
      <c r="Q144" s="106"/>
      <c r="R144" s="106"/>
      <c r="S144" s="106"/>
      <c r="T144" s="106"/>
      <c r="U144" s="106"/>
      <c r="V144" s="106"/>
      <c r="W144" s="107"/>
      <c r="X144" s="107"/>
      <c r="Y144" s="107"/>
      <c r="Z144" s="104"/>
      <c r="AA144" s="104"/>
    </row>
    <row r="145" spans="1:25" s="104" customFormat="1" ht="12" x14ac:dyDescent="0.2">
      <c r="A145" s="129"/>
      <c r="B145" s="133"/>
      <c r="C145" s="133"/>
      <c r="D145" s="133"/>
      <c r="E145" s="133"/>
      <c r="F145" s="133"/>
      <c r="G145" s="133"/>
      <c r="H145" s="119"/>
      <c r="I145" s="147">
        <f t="shared" si="5"/>
        <v>0</v>
      </c>
      <c r="J145" s="147">
        <f t="array" ref="J145">SUM(('Отчет по покупателям УТ'!$M$6:$M$5000='Check 1S 62 vs UT'!$A145)*('Отчет по покупателям УТ'!$X$6:$X$5000))</f>
        <v>0</v>
      </c>
      <c r="K145" s="147">
        <f t="shared" si="6"/>
        <v>0</v>
      </c>
      <c r="L145" s="111"/>
      <c r="M145" s="86"/>
      <c r="N145" s="316"/>
      <c r="O145" s="86"/>
      <c r="P145" s="86"/>
      <c r="Q145" s="86"/>
      <c r="R145" s="86"/>
      <c r="S145" s="86"/>
      <c r="T145" s="86"/>
      <c r="U145" s="86"/>
      <c r="V145" s="86"/>
      <c r="W145" s="110"/>
      <c r="X145" s="110"/>
      <c r="Y145" s="110"/>
    </row>
    <row r="146" spans="1:25" s="104" customFormat="1" ht="12" x14ac:dyDescent="0.2">
      <c r="A146" s="129"/>
      <c r="B146" s="133"/>
      <c r="C146" s="133"/>
      <c r="D146" s="133"/>
      <c r="E146" s="133"/>
      <c r="F146" s="133"/>
      <c r="G146" s="133"/>
      <c r="H146" s="112"/>
      <c r="I146" s="147">
        <f t="shared" si="5"/>
        <v>0</v>
      </c>
      <c r="J146" s="147">
        <f t="array" ref="J146">SUM(('Отчет по покупателям УТ'!$M$6:$M$5000='Check 1S 62 vs UT'!$A146)*('Отчет по покупателям УТ'!$X$6:$X$5000))</f>
        <v>0</v>
      </c>
      <c r="K146" s="147">
        <f t="shared" si="6"/>
        <v>0</v>
      </c>
      <c r="L146" s="111"/>
      <c r="M146" s="86"/>
      <c r="N146" s="316"/>
      <c r="O146" s="86"/>
      <c r="P146" s="86"/>
      <c r="Q146" s="86"/>
      <c r="R146" s="86"/>
      <c r="S146" s="86"/>
      <c r="T146" s="86"/>
      <c r="U146" s="86"/>
      <c r="V146" s="86"/>
      <c r="W146" s="110"/>
      <c r="X146" s="110"/>
      <c r="Y146" s="110"/>
    </row>
    <row r="147" spans="1:25" s="104" customFormat="1" ht="12" x14ac:dyDescent="0.2">
      <c r="A147" s="129"/>
      <c r="B147" s="133"/>
      <c r="C147" s="133"/>
      <c r="D147" s="133"/>
      <c r="E147" s="133"/>
      <c r="F147" s="133"/>
      <c r="G147" s="133"/>
      <c r="H147" s="112"/>
      <c r="I147" s="147">
        <f t="shared" si="5"/>
        <v>0</v>
      </c>
      <c r="J147" s="147">
        <f t="array" ref="J147">SUM(('Отчет по покупателям УТ'!$M$6:$M$5000='Check 1S 62 vs UT'!$A147)*('Отчет по покупателям УТ'!$X$6:$X$5000))</f>
        <v>0</v>
      </c>
      <c r="K147" s="147">
        <f t="shared" si="6"/>
        <v>0</v>
      </c>
      <c r="L147" s="111"/>
      <c r="M147" s="86"/>
      <c r="N147" s="316"/>
      <c r="O147" s="86"/>
      <c r="P147" s="86"/>
      <c r="Q147" s="86"/>
      <c r="R147" s="86"/>
      <c r="S147" s="86"/>
      <c r="T147" s="86"/>
      <c r="U147" s="86"/>
      <c r="V147" s="86"/>
      <c r="W147" s="110"/>
      <c r="X147" s="110"/>
      <c r="Y147" s="110"/>
    </row>
    <row r="148" spans="1:25" s="104" customFormat="1" ht="12" x14ac:dyDescent="0.2">
      <c r="A148" s="129"/>
      <c r="B148" s="133"/>
      <c r="C148" s="133"/>
      <c r="D148" s="133"/>
      <c r="E148" s="133"/>
      <c r="F148" s="133"/>
      <c r="G148" s="133"/>
      <c r="H148" s="112"/>
      <c r="I148" s="147">
        <f t="shared" si="5"/>
        <v>0</v>
      </c>
      <c r="J148" s="147">
        <f t="array" ref="J148">SUM(('Отчет по покупателям УТ'!$M$6:$M$5000='Check 1S 62 vs UT'!$A148)*('Отчет по покупателям УТ'!$X$6:$X$5000))</f>
        <v>0</v>
      </c>
      <c r="K148" s="147">
        <f t="shared" si="6"/>
        <v>0</v>
      </c>
      <c r="L148" s="86"/>
      <c r="M148" s="86"/>
      <c r="N148" s="316"/>
      <c r="O148" s="86"/>
      <c r="P148" s="86"/>
      <c r="Q148" s="86"/>
      <c r="R148" s="86"/>
      <c r="S148" s="86"/>
      <c r="T148" s="86"/>
      <c r="U148" s="86"/>
      <c r="V148" s="86"/>
      <c r="W148" s="110"/>
      <c r="X148" s="110"/>
      <c r="Y148" s="110"/>
    </row>
    <row r="149" spans="1:25" s="104" customFormat="1" ht="12" x14ac:dyDescent="0.2">
      <c r="A149" s="129"/>
      <c r="B149" s="133"/>
      <c r="C149" s="133"/>
      <c r="D149" s="133"/>
      <c r="E149" s="133"/>
      <c r="F149" s="133"/>
      <c r="G149" s="133"/>
      <c r="H149" s="112"/>
      <c r="I149" s="147">
        <f t="shared" si="5"/>
        <v>0</v>
      </c>
      <c r="J149" s="147">
        <f t="array" ref="J149">SUM(('Отчет по покупателям УТ'!$M$6:$M$5000='Check 1S 62 vs UT'!$A149)*('Отчет по покупателям УТ'!$X$6:$X$5000))</f>
        <v>0</v>
      </c>
      <c r="K149" s="147">
        <f t="shared" si="6"/>
        <v>0</v>
      </c>
      <c r="L149" s="86"/>
      <c r="M149" s="86"/>
      <c r="N149" s="316"/>
      <c r="O149" s="86"/>
      <c r="P149" s="86"/>
      <c r="Q149" s="86"/>
      <c r="R149" s="86"/>
      <c r="S149" s="86"/>
      <c r="T149" s="86"/>
      <c r="U149" s="86"/>
      <c r="V149" s="86"/>
      <c r="W149" s="110"/>
      <c r="X149" s="110"/>
      <c r="Y149" s="110"/>
    </row>
    <row r="150" spans="1:25" s="104" customFormat="1" ht="12" x14ac:dyDescent="0.2">
      <c r="A150" s="129"/>
      <c r="B150" s="133"/>
      <c r="C150" s="133"/>
      <c r="D150" s="133"/>
      <c r="E150" s="133"/>
      <c r="F150" s="133"/>
      <c r="G150" s="133"/>
      <c r="H150" s="112"/>
      <c r="I150" s="147">
        <f t="shared" si="5"/>
        <v>0</v>
      </c>
      <c r="J150" s="147">
        <f t="array" ref="J150">SUM(('Отчет по покупателям УТ'!$M$6:$M$5000='Check 1S 62 vs UT'!$A150)*('Отчет по покупателям УТ'!$X$6:$X$5000))</f>
        <v>0</v>
      </c>
      <c r="K150" s="147">
        <f t="shared" si="6"/>
        <v>0</v>
      </c>
      <c r="L150" s="86"/>
      <c r="M150" s="86"/>
      <c r="N150" s="316"/>
      <c r="O150" s="86"/>
      <c r="P150" s="86"/>
      <c r="Q150" s="86"/>
      <c r="R150" s="86"/>
      <c r="S150" s="86"/>
      <c r="T150" s="86"/>
      <c r="U150" s="86"/>
      <c r="V150" s="86"/>
      <c r="W150" s="110"/>
      <c r="X150" s="110"/>
      <c r="Y150" s="110"/>
    </row>
    <row r="151" spans="1:25" s="104" customFormat="1" ht="12" x14ac:dyDescent="0.2">
      <c r="A151" s="129"/>
      <c r="B151" s="133"/>
      <c r="C151" s="133"/>
      <c r="D151" s="133"/>
      <c r="E151" s="133"/>
      <c r="F151" s="133"/>
      <c r="G151" s="133"/>
      <c r="H151" s="112"/>
      <c r="I151" s="147">
        <f t="shared" si="5"/>
        <v>0</v>
      </c>
      <c r="J151" s="147">
        <f t="array" ref="J151">SUM(('Отчет по покупателям УТ'!$M$6:$M$5000='Check 1S 62 vs UT'!$A151)*('Отчет по покупателям УТ'!$X$6:$X$5000))</f>
        <v>0</v>
      </c>
      <c r="K151" s="147">
        <f t="shared" si="6"/>
        <v>0</v>
      </c>
      <c r="L151" s="86"/>
      <c r="M151" s="86"/>
      <c r="N151" s="316"/>
      <c r="O151" s="86"/>
      <c r="P151" s="86"/>
      <c r="Q151" s="86"/>
      <c r="R151" s="86"/>
      <c r="S151" s="86"/>
      <c r="T151" s="86"/>
      <c r="U151" s="86"/>
      <c r="V151" s="86"/>
      <c r="W151" s="110"/>
      <c r="X151" s="110"/>
      <c r="Y151" s="110"/>
    </row>
    <row r="152" spans="1:25" s="104" customFormat="1" ht="12" x14ac:dyDescent="0.2">
      <c r="A152" s="129"/>
      <c r="B152" s="133"/>
      <c r="C152" s="133"/>
      <c r="D152" s="133"/>
      <c r="E152" s="133"/>
      <c r="F152" s="133"/>
      <c r="G152" s="133"/>
      <c r="H152" s="112"/>
      <c r="I152" s="147">
        <f t="shared" si="5"/>
        <v>0</v>
      </c>
      <c r="J152" s="147">
        <f t="array" ref="J152">SUM(('Отчет по покупателям УТ'!$M$6:$M$5000='Check 1S 62 vs UT'!$A152)*('Отчет по покупателям УТ'!$X$6:$X$5000))</f>
        <v>0</v>
      </c>
      <c r="K152" s="147">
        <f t="shared" si="6"/>
        <v>0</v>
      </c>
      <c r="L152" s="86"/>
      <c r="M152" s="86"/>
      <c r="N152" s="316"/>
      <c r="O152" s="86"/>
      <c r="P152" s="86"/>
      <c r="Q152" s="86"/>
      <c r="R152" s="86"/>
      <c r="S152" s="86"/>
      <c r="T152" s="86"/>
      <c r="U152" s="86"/>
      <c r="V152" s="86"/>
      <c r="W152" s="110"/>
      <c r="X152" s="110"/>
      <c r="Y152" s="110"/>
    </row>
    <row r="153" spans="1:25" s="104" customFormat="1" ht="12" x14ac:dyDescent="0.2">
      <c r="A153" s="129"/>
      <c r="B153" s="133"/>
      <c r="C153" s="133"/>
      <c r="D153" s="133"/>
      <c r="E153" s="133"/>
      <c r="F153" s="133"/>
      <c r="G153" s="133"/>
      <c r="H153" s="112"/>
      <c r="I153" s="147">
        <f t="shared" si="5"/>
        <v>0</v>
      </c>
      <c r="J153" s="147">
        <f t="array" ref="J153">SUM(('Отчет по покупателям УТ'!$M$6:$M$5000='Check 1S 62 vs UT'!$A153)*('Отчет по покупателям УТ'!$X$6:$X$5000))</f>
        <v>0</v>
      </c>
      <c r="K153" s="147">
        <f t="shared" si="6"/>
        <v>0</v>
      </c>
      <c r="L153" s="86"/>
      <c r="M153" s="86"/>
      <c r="N153" s="316"/>
      <c r="O153" s="86"/>
      <c r="P153" s="86"/>
      <c r="Q153" s="86"/>
      <c r="R153" s="86"/>
      <c r="S153" s="86"/>
      <c r="T153" s="86"/>
      <c r="U153" s="86"/>
      <c r="V153" s="86"/>
      <c r="W153" s="110"/>
      <c r="X153" s="110"/>
      <c r="Y153" s="110"/>
    </row>
    <row r="154" spans="1:25" s="104" customFormat="1" ht="12" x14ac:dyDescent="0.2">
      <c r="A154" s="129"/>
      <c r="B154" s="133"/>
      <c r="C154" s="133"/>
      <c r="D154" s="133"/>
      <c r="E154" s="133"/>
      <c r="F154" s="133"/>
      <c r="G154" s="133"/>
      <c r="H154" s="112"/>
      <c r="I154" s="147">
        <f t="shared" si="5"/>
        <v>0</v>
      </c>
      <c r="J154" s="147">
        <f t="array" ref="J154">SUM(('Отчет по покупателям УТ'!$M$6:$M$5000='Check 1S 62 vs UT'!$A154)*('Отчет по покупателям УТ'!$X$6:$X$5000))</f>
        <v>0</v>
      </c>
      <c r="K154" s="147">
        <f t="shared" si="6"/>
        <v>0</v>
      </c>
      <c r="L154" s="86"/>
      <c r="M154" s="86"/>
      <c r="N154" s="316"/>
      <c r="O154" s="86"/>
      <c r="P154" s="86"/>
      <c r="Q154" s="86"/>
      <c r="R154" s="86"/>
      <c r="S154" s="86"/>
      <c r="T154" s="86"/>
      <c r="U154" s="86"/>
      <c r="V154" s="86"/>
      <c r="W154" s="110"/>
      <c r="X154" s="110"/>
      <c r="Y154" s="110"/>
    </row>
    <row r="155" spans="1:25" s="104" customFormat="1" ht="12" x14ac:dyDescent="0.2">
      <c r="A155" s="129"/>
      <c r="B155" s="133"/>
      <c r="C155" s="133"/>
      <c r="D155" s="133"/>
      <c r="E155" s="133"/>
      <c r="F155" s="133"/>
      <c r="G155" s="133"/>
      <c r="H155" s="112"/>
      <c r="I155" s="147">
        <f t="shared" si="5"/>
        <v>0</v>
      </c>
      <c r="J155" s="147">
        <f t="array" ref="J155">SUM(('Отчет по покупателям УТ'!$M$6:$M$5000='Check 1S 62 vs UT'!$A155)*('Отчет по покупателям УТ'!$X$6:$X$5000))</f>
        <v>0</v>
      </c>
      <c r="K155" s="147">
        <f t="shared" si="6"/>
        <v>0</v>
      </c>
      <c r="L155" s="86"/>
      <c r="M155" s="86"/>
      <c r="N155" s="316"/>
      <c r="O155" s="86"/>
      <c r="P155" s="86"/>
      <c r="Q155" s="86"/>
      <c r="R155" s="86"/>
      <c r="S155" s="86"/>
      <c r="T155" s="86"/>
      <c r="U155" s="86"/>
      <c r="V155" s="86"/>
      <c r="W155" s="110"/>
      <c r="X155" s="110"/>
      <c r="Y155" s="110"/>
    </row>
    <row r="156" spans="1:25" s="104" customFormat="1" ht="12" x14ac:dyDescent="0.2">
      <c r="A156" s="129"/>
      <c r="B156" s="133"/>
      <c r="C156" s="133"/>
      <c r="D156" s="133"/>
      <c r="E156" s="133"/>
      <c r="F156" s="133"/>
      <c r="G156" s="133"/>
      <c r="H156" s="112"/>
      <c r="I156" s="147">
        <f t="shared" ref="I156:I160" si="7">F156-G156</f>
        <v>0</v>
      </c>
      <c r="J156" s="147">
        <f t="array" ref="J156">SUM(('Отчет по покупателям УТ'!$M$6:$M$5000='Check 1S 62 vs UT'!$A156)*('Отчет по покупателям УТ'!$X$6:$X$5000))</f>
        <v>0</v>
      </c>
      <c r="K156" s="147">
        <f t="shared" ref="K156:K160" si="8">J156-I156</f>
        <v>0</v>
      </c>
      <c r="L156" s="86"/>
      <c r="M156" s="86"/>
      <c r="N156" s="316"/>
      <c r="O156" s="86"/>
      <c r="P156" s="86"/>
      <c r="Q156" s="86"/>
      <c r="R156" s="86"/>
      <c r="S156" s="86"/>
      <c r="T156" s="86"/>
      <c r="U156" s="86"/>
      <c r="V156" s="86"/>
      <c r="W156" s="110"/>
      <c r="X156" s="110"/>
      <c r="Y156" s="110"/>
    </row>
    <row r="157" spans="1:25" s="104" customFormat="1" ht="12" x14ac:dyDescent="0.2">
      <c r="A157" s="129"/>
      <c r="B157" s="133"/>
      <c r="C157" s="133"/>
      <c r="D157" s="133"/>
      <c r="E157" s="133"/>
      <c r="F157" s="133"/>
      <c r="G157" s="133"/>
      <c r="H157" s="112"/>
      <c r="I157" s="147">
        <f t="shared" si="7"/>
        <v>0</v>
      </c>
      <c r="J157" s="147">
        <f t="array" ref="J157">SUM(('Отчет по покупателям УТ'!$M$6:$M$5000='Check 1S 62 vs UT'!$A157)*('Отчет по покупателям УТ'!$X$6:$X$5000))</f>
        <v>0</v>
      </c>
      <c r="K157" s="147">
        <f t="shared" si="8"/>
        <v>0</v>
      </c>
      <c r="L157" s="86"/>
      <c r="M157" s="86"/>
      <c r="N157" s="316"/>
      <c r="O157" s="86"/>
      <c r="P157" s="86"/>
      <c r="Q157" s="86"/>
      <c r="R157" s="86"/>
      <c r="S157" s="86"/>
      <c r="T157" s="86"/>
      <c r="U157" s="86"/>
      <c r="V157" s="86"/>
      <c r="W157" s="110"/>
      <c r="X157" s="110"/>
      <c r="Y157" s="110"/>
    </row>
    <row r="158" spans="1:25" s="104" customFormat="1" ht="12" x14ac:dyDescent="0.2">
      <c r="A158" s="129"/>
      <c r="B158" s="133"/>
      <c r="C158" s="133"/>
      <c r="D158" s="133"/>
      <c r="E158" s="133"/>
      <c r="F158" s="133"/>
      <c r="G158" s="133"/>
      <c r="H158" s="112"/>
      <c r="I158" s="147">
        <f t="shared" si="7"/>
        <v>0</v>
      </c>
      <c r="J158" s="147">
        <f t="array" ref="J158">SUM(('Отчет по покупателям УТ'!$M$6:$M$5000='Check 1S 62 vs UT'!$A158)*('Отчет по покупателям УТ'!$X$6:$X$5000))</f>
        <v>0</v>
      </c>
      <c r="K158" s="147">
        <f t="shared" si="8"/>
        <v>0</v>
      </c>
      <c r="L158" s="86"/>
      <c r="M158" s="86"/>
      <c r="N158" s="316"/>
      <c r="O158" s="86"/>
      <c r="P158" s="86"/>
      <c r="Q158" s="86"/>
      <c r="R158" s="86"/>
      <c r="S158" s="86"/>
      <c r="T158" s="86"/>
      <c r="U158" s="86"/>
      <c r="V158" s="86"/>
      <c r="W158" s="110"/>
      <c r="X158" s="110"/>
      <c r="Y158" s="110"/>
    </row>
    <row r="159" spans="1:25" s="104" customFormat="1" x14ac:dyDescent="0.2">
      <c r="A159" s="119"/>
      <c r="B159" s="136"/>
      <c r="C159" s="136"/>
      <c r="D159" s="136"/>
      <c r="E159" s="136"/>
      <c r="F159" s="136"/>
      <c r="G159" s="136"/>
      <c r="H159" s="119"/>
      <c r="I159" s="147">
        <f t="shared" si="7"/>
        <v>0</v>
      </c>
      <c r="J159" s="147">
        <f t="array" ref="J159">SUM(('Отчет по покупателям УТ'!$M$6:$M$5000='Check 1S 62 vs UT'!$A159)*('Отчет по покупателям УТ'!$X$6:$X$5000))</f>
        <v>0</v>
      </c>
      <c r="K159" s="147">
        <f t="shared" si="8"/>
        <v>0</v>
      </c>
      <c r="L159" s="86"/>
      <c r="M159" s="86"/>
      <c r="N159" s="316"/>
      <c r="O159" s="86"/>
      <c r="P159" s="86"/>
      <c r="Q159" s="86"/>
      <c r="R159" s="86"/>
      <c r="S159" s="86"/>
      <c r="T159" s="86"/>
      <c r="U159" s="86"/>
      <c r="V159" s="86"/>
      <c r="W159" s="110"/>
      <c r="X159" s="110"/>
      <c r="Y159" s="110"/>
    </row>
    <row r="160" spans="1:25" s="104" customFormat="1" x14ac:dyDescent="0.2">
      <c r="A160" s="119"/>
      <c r="B160" s="136"/>
      <c r="C160" s="136"/>
      <c r="D160" s="137"/>
      <c r="E160" s="137"/>
      <c r="F160" s="138"/>
      <c r="G160" s="138"/>
      <c r="H160" s="112"/>
      <c r="I160" s="147">
        <f t="shared" si="7"/>
        <v>0</v>
      </c>
      <c r="J160" s="147">
        <f t="array" ref="J160">SUM(('Отчет по покупателям УТ'!$M$6:$M$5000='Check 1S 62 vs UT'!$A160)*('Отчет по покупателям УТ'!$X$6:$X$5000))</f>
        <v>0</v>
      </c>
      <c r="K160" s="147">
        <f t="shared" si="8"/>
        <v>0</v>
      </c>
      <c r="L160" s="86"/>
      <c r="M160" s="86"/>
      <c r="N160" s="316"/>
      <c r="O160" s="86"/>
      <c r="P160" s="86"/>
      <c r="Q160" s="86"/>
      <c r="R160" s="86"/>
      <c r="S160" s="86"/>
      <c r="T160" s="86"/>
      <c r="U160" s="86"/>
      <c r="V160" s="86"/>
      <c r="W160" s="110"/>
      <c r="X160" s="110"/>
      <c r="Y160" s="110"/>
    </row>
    <row r="161" spans="1:27" ht="12.75" x14ac:dyDescent="0.2">
      <c r="A161" s="123" t="s">
        <v>14</v>
      </c>
      <c r="B161" s="135">
        <v>156738988.38999999</v>
      </c>
      <c r="C161" s="135"/>
      <c r="D161" s="135">
        <v>229322771.49000001</v>
      </c>
      <c r="E161" s="135">
        <v>288070594.5</v>
      </c>
      <c r="F161" s="135">
        <v>97991165.379999995</v>
      </c>
      <c r="G161" s="135"/>
      <c r="H161" s="119"/>
      <c r="I161" s="147"/>
      <c r="J161" s="147"/>
      <c r="K161" s="147"/>
      <c r="L161" s="111"/>
      <c r="M161" s="86"/>
      <c r="N161" s="316"/>
      <c r="O161" s="86"/>
      <c r="P161" s="86"/>
      <c r="Q161" s="86"/>
      <c r="R161" s="86"/>
      <c r="S161" s="86"/>
      <c r="T161" s="86"/>
      <c r="U161" s="86"/>
      <c r="V161" s="86"/>
      <c r="W161" s="110"/>
      <c r="X161" s="110"/>
      <c r="Y161" s="110"/>
      <c r="Z161" s="104"/>
      <c r="AA161" s="104"/>
    </row>
    <row r="162" spans="1:27" x14ac:dyDescent="0.2">
      <c r="A162" s="119"/>
      <c r="B162" s="136"/>
      <c r="C162" s="136"/>
      <c r="D162" s="137"/>
      <c r="E162" s="137"/>
      <c r="F162" s="138"/>
      <c r="G162" s="138"/>
      <c r="H162" s="112"/>
      <c r="I162" s="144"/>
      <c r="J162" s="144"/>
      <c r="K162" s="144"/>
      <c r="L162" s="111"/>
      <c r="M162" s="86"/>
      <c r="N162" s="316"/>
      <c r="O162" s="86"/>
      <c r="P162" s="86"/>
      <c r="Q162" s="86"/>
      <c r="R162" s="86"/>
      <c r="S162" s="86"/>
      <c r="T162" s="86"/>
      <c r="U162" s="86"/>
      <c r="V162" s="86"/>
      <c r="W162" s="110"/>
      <c r="X162" s="110"/>
      <c r="Y162" s="110"/>
      <c r="Z162" s="104"/>
      <c r="AA162" s="104"/>
    </row>
    <row r="163" spans="1:27" x14ac:dyDescent="0.2">
      <c r="A163" s="121"/>
      <c r="B163" s="139"/>
      <c r="C163" s="139"/>
      <c r="D163" s="140"/>
      <c r="E163" s="139"/>
      <c r="F163" s="139"/>
      <c r="G163" s="139"/>
      <c r="H163" s="121"/>
      <c r="I163" s="143"/>
      <c r="J163" s="143"/>
      <c r="K163" s="143"/>
      <c r="L163" s="106"/>
      <c r="M163" s="106"/>
      <c r="N163" s="315"/>
      <c r="O163" s="106"/>
      <c r="P163" s="106"/>
      <c r="Q163" s="106"/>
      <c r="R163" s="106"/>
      <c r="S163" s="106"/>
      <c r="T163" s="106"/>
      <c r="U163" s="107"/>
      <c r="V163" s="108"/>
      <c r="W163" s="107"/>
      <c r="X163" s="107"/>
      <c r="Y163" s="107"/>
      <c r="Z163" s="104"/>
      <c r="AA163" s="104"/>
    </row>
    <row r="164" spans="1:27" ht="15.75" x14ac:dyDescent="0.25">
      <c r="A164" s="282" t="s">
        <v>1262</v>
      </c>
      <c r="B164" s="282"/>
      <c r="C164" s="282"/>
      <c r="D164" s="282"/>
      <c r="E164" s="282"/>
      <c r="F164" s="282"/>
      <c r="G164" s="282"/>
      <c r="H164" s="282"/>
      <c r="I164" s="144"/>
      <c r="J164" s="144"/>
      <c r="K164" s="144"/>
      <c r="L164" s="86"/>
      <c r="M164" s="86"/>
      <c r="N164" s="316"/>
      <c r="O164" s="86"/>
      <c r="P164" s="86"/>
      <c r="Q164" s="86"/>
      <c r="R164" s="86"/>
      <c r="S164" s="86"/>
      <c r="T164" s="86"/>
      <c r="U164" s="110"/>
      <c r="V164" s="111"/>
      <c r="W164" s="110"/>
      <c r="X164" s="110"/>
      <c r="Y164" s="110"/>
      <c r="Z164" s="104"/>
      <c r="AA164" s="104"/>
    </row>
    <row r="165" spans="1:27" x14ac:dyDescent="0.2">
      <c r="A165" s="3"/>
      <c r="B165" s="3"/>
      <c r="C165" s="3"/>
      <c r="D165" s="3"/>
      <c r="E165" s="3"/>
      <c r="F165" s="3"/>
      <c r="G165" s="3"/>
      <c r="H165" s="3"/>
      <c r="I165" s="144"/>
      <c r="J165" s="144"/>
      <c r="K165" s="144"/>
      <c r="L165" s="86"/>
      <c r="M165" s="86"/>
      <c r="N165" s="316"/>
      <c r="O165" s="86"/>
      <c r="P165" s="86"/>
      <c r="Q165" s="86"/>
      <c r="R165" s="86"/>
      <c r="S165" s="86"/>
      <c r="T165" s="86"/>
      <c r="U165" s="110"/>
      <c r="V165" s="111"/>
      <c r="W165" s="110"/>
      <c r="X165" s="110"/>
      <c r="Y165" s="110"/>
      <c r="Z165" s="104"/>
      <c r="AA165" s="104"/>
    </row>
    <row r="166" spans="1:27" x14ac:dyDescent="0.2">
      <c r="A166" s="287" t="s">
        <v>772</v>
      </c>
      <c r="B166" s="287" t="s">
        <v>773</v>
      </c>
      <c r="C166" s="287"/>
      <c r="D166" s="287"/>
      <c r="E166" s="287"/>
      <c r="F166" s="287"/>
      <c r="G166" s="287"/>
      <c r="H166" s="287"/>
      <c r="I166" s="143"/>
      <c r="J166" s="143"/>
      <c r="K166" s="143"/>
      <c r="L166" s="106"/>
      <c r="M166" s="106"/>
      <c r="N166" s="315"/>
      <c r="O166" s="106"/>
      <c r="P166" s="106"/>
      <c r="Q166" s="106"/>
      <c r="R166" s="106"/>
      <c r="S166" s="106"/>
      <c r="T166" s="106"/>
      <c r="U166" s="107"/>
      <c r="V166" s="108"/>
      <c r="W166" s="107"/>
      <c r="X166" s="107"/>
      <c r="Y166" s="107"/>
      <c r="Z166" s="104"/>
      <c r="AA166" s="104"/>
    </row>
    <row r="167" spans="1:27" x14ac:dyDescent="0.2">
      <c r="A167" s="3"/>
      <c r="B167" s="3"/>
      <c r="C167" s="3"/>
      <c r="D167" s="3"/>
      <c r="E167" s="3"/>
      <c r="F167" s="3"/>
      <c r="G167" s="3"/>
      <c r="H167" s="3"/>
      <c r="I167" s="144"/>
      <c r="J167" s="144"/>
      <c r="K167" s="144"/>
      <c r="L167" s="86"/>
      <c r="M167" s="86"/>
      <c r="N167" s="316"/>
      <c r="O167" s="86"/>
      <c r="P167" s="86"/>
      <c r="Q167" s="86"/>
      <c r="R167" s="86"/>
      <c r="S167" s="86"/>
      <c r="T167" s="86"/>
      <c r="U167" s="110"/>
      <c r="V167" s="111"/>
      <c r="W167" s="110"/>
      <c r="X167" s="110"/>
      <c r="Y167" s="110"/>
      <c r="Z167" s="104"/>
      <c r="AA167" s="104"/>
    </row>
    <row r="168" spans="1:27" ht="12.75" x14ac:dyDescent="0.2">
      <c r="A168" s="288" t="s">
        <v>774</v>
      </c>
      <c r="B168" s="283" t="s">
        <v>775</v>
      </c>
      <c r="C168" s="283"/>
      <c r="D168" s="283" t="s">
        <v>776</v>
      </c>
      <c r="E168" s="283"/>
      <c r="F168" s="283" t="s">
        <v>777</v>
      </c>
      <c r="G168" s="283"/>
      <c r="H168" s="144"/>
      <c r="I168" s="144"/>
      <c r="J168" s="144"/>
      <c r="K168" s="86"/>
      <c r="L168" s="86"/>
      <c r="M168" s="86"/>
      <c r="N168" s="316"/>
      <c r="O168" s="86"/>
      <c r="P168" s="86"/>
      <c r="Q168" s="86"/>
      <c r="R168" s="86"/>
      <c r="S168" s="86"/>
      <c r="T168" s="110"/>
      <c r="U168" s="111"/>
      <c r="V168" s="110"/>
      <c r="W168" s="110"/>
      <c r="X168" s="110"/>
      <c r="Y168" s="104"/>
      <c r="Z168" s="104"/>
      <c r="AA168" s="104"/>
    </row>
    <row r="169" spans="1:27" ht="12.75" x14ac:dyDescent="0.2">
      <c r="A169" s="289" t="s">
        <v>778</v>
      </c>
      <c r="B169" s="284" t="s">
        <v>779</v>
      </c>
      <c r="C169" s="284" t="s">
        <v>780</v>
      </c>
      <c r="D169" s="284" t="s">
        <v>779</v>
      </c>
      <c r="E169" s="284" t="s">
        <v>780</v>
      </c>
      <c r="F169" s="284" t="s">
        <v>779</v>
      </c>
      <c r="G169" s="284" t="s">
        <v>780</v>
      </c>
      <c r="H169" s="143"/>
      <c r="I169" s="143"/>
      <c r="J169" s="143"/>
      <c r="K169" s="106"/>
      <c r="L169" s="106"/>
      <c r="M169" s="106"/>
      <c r="N169" s="315"/>
      <c r="O169" s="106"/>
      <c r="P169" s="106"/>
      <c r="Q169" s="106"/>
      <c r="R169" s="106"/>
      <c r="S169" s="106"/>
      <c r="T169" s="107"/>
      <c r="U169" s="108"/>
      <c r="V169" s="107"/>
      <c r="W169" s="107"/>
      <c r="X169" s="107"/>
      <c r="Y169" s="104"/>
      <c r="Z169" s="104"/>
      <c r="AA169" s="104"/>
    </row>
    <row r="170" spans="1:27" ht="12.75" x14ac:dyDescent="0.2">
      <c r="A170" s="290"/>
      <c r="B170" s="285"/>
      <c r="C170" s="285"/>
      <c r="D170" s="285"/>
      <c r="E170" s="285"/>
      <c r="F170" s="285"/>
      <c r="G170" s="286"/>
      <c r="H170" s="144"/>
      <c r="I170" s="144"/>
      <c r="J170" s="144"/>
      <c r="K170" s="86"/>
      <c r="L170" s="86"/>
      <c r="M170" s="86"/>
      <c r="N170" s="316"/>
      <c r="O170" s="86"/>
      <c r="P170" s="86"/>
      <c r="Q170" s="86"/>
      <c r="R170" s="86"/>
      <c r="S170" s="86"/>
      <c r="T170" s="110"/>
      <c r="U170" s="111"/>
      <c r="V170" s="110"/>
      <c r="W170" s="110"/>
      <c r="X170" s="110"/>
      <c r="Y170" s="104"/>
      <c r="Z170" s="104"/>
      <c r="AA170" s="104"/>
    </row>
    <row r="171" spans="1:27" ht="12.75" x14ac:dyDescent="0.2">
      <c r="A171" s="291" t="s">
        <v>1263</v>
      </c>
      <c r="B171" s="292">
        <v>43526942</v>
      </c>
      <c r="C171" s="293"/>
      <c r="D171" s="292">
        <v>207082491.96000001</v>
      </c>
      <c r="E171" s="292">
        <v>202975570.13</v>
      </c>
      <c r="F171" s="292">
        <v>47633863.829999998</v>
      </c>
      <c r="G171" s="294"/>
      <c r="H171" s="144"/>
      <c r="I171" s="144"/>
      <c r="J171" s="144"/>
      <c r="K171" s="86"/>
      <c r="L171" s="86"/>
      <c r="M171" s="86"/>
      <c r="N171" s="316"/>
      <c r="O171" s="86"/>
      <c r="P171" s="86"/>
      <c r="Q171" s="86"/>
      <c r="R171" s="86"/>
      <c r="S171" s="86"/>
      <c r="T171" s="110"/>
      <c r="U171" s="111"/>
      <c r="V171" s="110"/>
      <c r="W171" s="110"/>
      <c r="X171" s="110"/>
      <c r="Y171" s="104"/>
      <c r="Z171" s="104"/>
      <c r="AA171" s="104"/>
    </row>
    <row r="172" spans="1:27" ht="12.75" x14ac:dyDescent="0.2">
      <c r="A172" s="291" t="s">
        <v>1264</v>
      </c>
      <c r="B172" s="292">
        <v>753050.27</v>
      </c>
      <c r="C172" s="293"/>
      <c r="D172" s="293"/>
      <c r="E172" s="293"/>
      <c r="F172" s="292">
        <v>753050.27</v>
      </c>
      <c r="G172" s="294"/>
      <c r="H172" s="143"/>
      <c r="I172" s="143"/>
      <c r="J172" s="143"/>
      <c r="K172" s="106"/>
      <c r="L172" s="106"/>
      <c r="M172" s="106"/>
      <c r="N172" s="315"/>
      <c r="O172" s="106"/>
      <c r="P172" s="106"/>
      <c r="Q172" s="106"/>
      <c r="R172" s="106"/>
      <c r="S172" s="106"/>
      <c r="T172" s="107"/>
      <c r="U172" s="108"/>
      <c r="V172" s="107"/>
      <c r="W172" s="107"/>
      <c r="X172" s="107"/>
      <c r="Y172" s="104"/>
      <c r="Z172" s="104"/>
      <c r="AA172" s="104"/>
    </row>
    <row r="173" spans="1:27" ht="12" x14ac:dyDescent="0.2">
      <c r="A173" s="306" t="s">
        <v>1265</v>
      </c>
      <c r="B173" s="332">
        <v>753050.27</v>
      </c>
      <c r="C173" s="331"/>
      <c r="D173" s="331"/>
      <c r="E173" s="331"/>
      <c r="F173" s="332">
        <v>753050.27</v>
      </c>
      <c r="G173" s="333"/>
      <c r="H173" s="144"/>
      <c r="I173" s="144"/>
      <c r="J173" s="144"/>
      <c r="K173" s="86"/>
      <c r="L173" s="86"/>
      <c r="M173" s="86"/>
      <c r="N173" s="316"/>
      <c r="O173" s="86"/>
      <c r="P173" s="86"/>
      <c r="Q173" s="86"/>
      <c r="R173" s="86"/>
      <c r="S173" s="86"/>
      <c r="T173" s="110"/>
      <c r="U173" s="111"/>
      <c r="V173" s="110"/>
      <c r="W173" s="110"/>
      <c r="X173" s="110"/>
      <c r="Y173" s="104"/>
      <c r="Z173" s="104"/>
      <c r="AA173" s="104"/>
    </row>
    <row r="174" spans="1:27" ht="12.75" x14ac:dyDescent="0.2">
      <c r="A174" s="291" t="s">
        <v>1266</v>
      </c>
      <c r="B174" s="292">
        <v>3449132.74</v>
      </c>
      <c r="C174" s="293"/>
      <c r="D174" s="292">
        <v>31793469.52</v>
      </c>
      <c r="E174" s="292">
        <v>27985623.469999999</v>
      </c>
      <c r="F174" s="292">
        <v>7256978.79</v>
      </c>
      <c r="G174" s="294"/>
      <c r="H174" s="144"/>
      <c r="I174" s="144"/>
      <c r="J174" s="144"/>
      <c r="K174" s="86"/>
      <c r="L174" s="86"/>
      <c r="M174" s="86"/>
      <c r="N174" s="316"/>
      <c r="O174" s="86"/>
      <c r="P174" s="86"/>
      <c r="Q174" s="86"/>
      <c r="R174" s="86"/>
      <c r="S174" s="86"/>
      <c r="T174" s="110"/>
      <c r="U174" s="111"/>
      <c r="V174" s="110"/>
      <c r="W174" s="110"/>
      <c r="X174" s="110"/>
      <c r="Y174" s="104"/>
      <c r="Z174" s="104"/>
      <c r="AA174" s="104"/>
    </row>
    <row r="175" spans="1:27" ht="12" x14ac:dyDescent="0.2">
      <c r="A175" s="306" t="s">
        <v>94</v>
      </c>
      <c r="B175" s="331"/>
      <c r="C175" s="332">
        <v>7495</v>
      </c>
      <c r="D175" s="331"/>
      <c r="E175" s="331"/>
      <c r="F175" s="331"/>
      <c r="G175" s="335">
        <v>7495</v>
      </c>
      <c r="H175" s="143"/>
      <c r="I175" s="143"/>
      <c r="J175" s="143"/>
      <c r="K175" s="106"/>
      <c r="L175" s="106"/>
      <c r="M175" s="106"/>
      <c r="N175" s="315"/>
      <c r="O175" s="106"/>
      <c r="P175" s="106"/>
      <c r="Q175" s="106"/>
      <c r="R175" s="106"/>
      <c r="S175" s="106"/>
      <c r="T175" s="107"/>
      <c r="U175" s="108"/>
      <c r="V175" s="107"/>
      <c r="W175" s="107"/>
      <c r="X175" s="107"/>
      <c r="Y175" s="104"/>
      <c r="Z175" s="104"/>
      <c r="AA175" s="104"/>
    </row>
    <row r="176" spans="1:27" ht="12" x14ac:dyDescent="0.2">
      <c r="A176" s="306" t="s">
        <v>1267</v>
      </c>
      <c r="B176" s="331"/>
      <c r="C176" s="331"/>
      <c r="D176" s="332">
        <v>3968965.04</v>
      </c>
      <c r="E176" s="332">
        <v>3968965.04</v>
      </c>
      <c r="F176" s="331"/>
      <c r="G176" s="333"/>
      <c r="H176" s="144"/>
      <c r="I176" s="144"/>
      <c r="J176" s="144"/>
      <c r="K176" s="86"/>
      <c r="L176" s="86"/>
      <c r="M176" s="86"/>
      <c r="N176" s="316"/>
      <c r="O176" s="86"/>
      <c r="P176" s="86"/>
      <c r="Q176" s="86"/>
      <c r="R176" s="86"/>
      <c r="S176" s="86"/>
      <c r="T176" s="110"/>
      <c r="U176" s="111"/>
      <c r="V176" s="110"/>
      <c r="W176" s="110"/>
      <c r="X176" s="110"/>
      <c r="Y176" s="104"/>
      <c r="Z176" s="104"/>
      <c r="AA176" s="104"/>
    </row>
    <row r="177" spans="1:28" ht="12" x14ac:dyDescent="0.2">
      <c r="A177" s="306" t="s">
        <v>1268</v>
      </c>
      <c r="B177" s="332">
        <v>2086209.38</v>
      </c>
      <c r="C177" s="331"/>
      <c r="D177" s="332">
        <v>11889066.449999999</v>
      </c>
      <c r="E177" s="332">
        <v>8567760.7699999996</v>
      </c>
      <c r="F177" s="332">
        <v>5407515.0599999996</v>
      </c>
      <c r="G177" s="333"/>
      <c r="H177" s="144"/>
      <c r="I177" s="144"/>
      <c r="J177" s="144"/>
      <c r="K177" s="86"/>
      <c r="L177" s="86"/>
      <c r="M177" s="86"/>
      <c r="N177" s="316"/>
      <c r="O177" s="86"/>
      <c r="P177" s="86"/>
      <c r="Q177" s="86"/>
      <c r="R177" s="86"/>
      <c r="S177" s="86"/>
      <c r="T177" s="110"/>
      <c r="U177" s="111"/>
      <c r="V177" s="110"/>
      <c r="W177" s="110"/>
      <c r="X177" s="110"/>
      <c r="Y177" s="104"/>
      <c r="Z177" s="104"/>
      <c r="AA177" s="104"/>
    </row>
    <row r="178" spans="1:28" ht="12" x14ac:dyDescent="0.2">
      <c r="A178" s="306" t="s">
        <v>277</v>
      </c>
      <c r="B178" s="332">
        <v>734007.88</v>
      </c>
      <c r="C178" s="331"/>
      <c r="D178" s="332">
        <v>923123.67</v>
      </c>
      <c r="E178" s="332">
        <v>542490.67000000004</v>
      </c>
      <c r="F178" s="334">
        <v>1114640.8799999999</v>
      </c>
      <c r="G178" s="333"/>
      <c r="H178" s="143"/>
      <c r="I178" s="143"/>
      <c r="J178" s="143"/>
      <c r="K178" s="106"/>
      <c r="L178" s="106"/>
      <c r="M178" s="106"/>
      <c r="N178" s="315"/>
      <c r="O178" s="106"/>
      <c r="P178" s="106"/>
      <c r="Q178" s="106"/>
      <c r="R178" s="106"/>
      <c r="S178" s="106"/>
      <c r="T178" s="107"/>
      <c r="U178" s="108"/>
      <c r="V178" s="107"/>
      <c r="W178" s="107"/>
      <c r="X178" s="107"/>
      <c r="Y178" s="104"/>
      <c r="Z178" s="104"/>
      <c r="AA178" s="104"/>
    </row>
    <row r="179" spans="1:28" ht="12" x14ac:dyDescent="0.2">
      <c r="A179" s="306" t="s">
        <v>1269</v>
      </c>
      <c r="B179" s="331"/>
      <c r="C179" s="331"/>
      <c r="D179" s="332">
        <v>153501.31</v>
      </c>
      <c r="E179" s="332">
        <v>153501.31</v>
      </c>
      <c r="F179" s="331"/>
      <c r="G179" s="333"/>
      <c r="H179" s="144"/>
      <c r="I179" s="144"/>
      <c r="J179" s="144"/>
      <c r="K179" s="86"/>
      <c r="L179" s="86"/>
      <c r="M179" s="86"/>
      <c r="N179" s="316"/>
      <c r="O179" s="86"/>
      <c r="P179" s="86"/>
      <c r="Q179" s="86"/>
      <c r="R179" s="86"/>
      <c r="S179" s="86"/>
      <c r="T179" s="110"/>
      <c r="U179" s="111"/>
      <c r="V179" s="110"/>
      <c r="W179" s="110"/>
      <c r="X179" s="110"/>
      <c r="Y179" s="104"/>
      <c r="Z179" s="104"/>
      <c r="AA179" s="104"/>
    </row>
    <row r="180" spans="1:28" ht="12" x14ac:dyDescent="0.2">
      <c r="A180" s="306" t="s">
        <v>1270</v>
      </c>
      <c r="B180" s="332">
        <v>4556.32</v>
      </c>
      <c r="C180" s="331"/>
      <c r="D180" s="331"/>
      <c r="E180" s="331"/>
      <c r="F180" s="332">
        <v>4556.32</v>
      </c>
      <c r="G180" s="333"/>
      <c r="H180" s="144"/>
      <c r="I180" s="144"/>
      <c r="J180" s="144"/>
      <c r="K180" s="86"/>
      <c r="L180" s="86"/>
      <c r="M180" s="86"/>
      <c r="N180" s="316"/>
      <c r="O180" s="86"/>
      <c r="P180" s="86"/>
      <c r="Q180" s="86"/>
      <c r="R180" s="86"/>
      <c r="S180" s="86"/>
      <c r="T180" s="110"/>
      <c r="U180" s="111"/>
      <c r="V180" s="110"/>
      <c r="W180" s="110"/>
      <c r="X180" s="110"/>
      <c r="Y180" s="104"/>
      <c r="Z180" s="104"/>
      <c r="AA180" s="104"/>
    </row>
    <row r="181" spans="1:28" ht="12" x14ac:dyDescent="0.2">
      <c r="A181" s="306" t="s">
        <v>1271</v>
      </c>
      <c r="B181" s="332">
        <v>86750.77</v>
      </c>
      <c r="C181" s="331"/>
      <c r="D181" s="331"/>
      <c r="E181" s="331"/>
      <c r="F181" s="332">
        <v>86750.77</v>
      </c>
      <c r="G181" s="333"/>
      <c r="H181" s="143"/>
      <c r="I181" s="143"/>
      <c r="J181" s="143"/>
      <c r="K181" s="106"/>
      <c r="L181" s="106"/>
      <c r="M181" s="106"/>
      <c r="N181" s="315"/>
      <c r="O181" s="106"/>
      <c r="P181" s="106"/>
      <c r="Q181" s="106"/>
      <c r="R181" s="106"/>
      <c r="S181" s="106"/>
      <c r="T181" s="107"/>
      <c r="U181" s="108"/>
      <c r="V181" s="107"/>
      <c r="W181" s="107"/>
      <c r="X181" s="107"/>
      <c r="Y181" s="104"/>
      <c r="Z181" s="104"/>
      <c r="AA181" s="104"/>
    </row>
    <row r="182" spans="1:28" ht="12" x14ac:dyDescent="0.2">
      <c r="A182" s="306" t="s">
        <v>1272</v>
      </c>
      <c r="B182" s="331"/>
      <c r="C182" s="331"/>
      <c r="D182" s="332">
        <v>4445294.42</v>
      </c>
      <c r="E182" s="332">
        <v>4445294.42</v>
      </c>
      <c r="F182" s="331"/>
      <c r="G182" s="333"/>
      <c r="H182" s="144"/>
      <c r="I182" s="144"/>
      <c r="J182" s="144"/>
      <c r="K182" s="86"/>
      <c r="L182" s="86"/>
      <c r="M182" s="86"/>
      <c r="N182" s="316"/>
      <c r="O182" s="86"/>
      <c r="P182" s="86"/>
      <c r="Q182" s="86"/>
      <c r="R182" s="86"/>
      <c r="S182" s="86"/>
      <c r="T182" s="110"/>
      <c r="U182" s="111"/>
      <c r="V182" s="110"/>
      <c r="W182" s="110"/>
      <c r="X182" s="110"/>
      <c r="Y182" s="104"/>
      <c r="Z182" s="104"/>
      <c r="AA182" s="104"/>
    </row>
    <row r="183" spans="1:28" ht="12" x14ac:dyDescent="0.2">
      <c r="A183" s="306" t="s">
        <v>1273</v>
      </c>
      <c r="B183" s="332">
        <v>545103.39</v>
      </c>
      <c r="C183" s="331"/>
      <c r="D183" s="332">
        <v>10413518.630000001</v>
      </c>
      <c r="E183" s="332">
        <v>10307611.26</v>
      </c>
      <c r="F183" s="334">
        <v>651010.76</v>
      </c>
      <c r="G183" s="333"/>
      <c r="H183" s="144"/>
      <c r="I183" s="144"/>
      <c r="J183" s="144"/>
      <c r="K183" s="86"/>
      <c r="L183" s="86"/>
      <c r="M183" s="86"/>
      <c r="N183" s="316"/>
      <c r="O183" s="86"/>
      <c r="P183" s="86"/>
      <c r="Q183" s="86"/>
      <c r="R183" s="86"/>
      <c r="S183" s="86"/>
      <c r="T183" s="110"/>
      <c r="U183" s="111"/>
      <c r="V183" s="110"/>
      <c r="W183" s="110"/>
      <c r="X183" s="110"/>
      <c r="Y183" s="104"/>
      <c r="Z183" s="104"/>
      <c r="AA183" s="104"/>
    </row>
    <row r="184" spans="1:28" x14ac:dyDescent="0.2">
      <c r="A184" s="121"/>
      <c r="B184" s="139"/>
      <c r="C184" s="139"/>
      <c r="D184" s="139"/>
      <c r="E184" s="139"/>
      <c r="F184" s="139"/>
      <c r="G184" s="139"/>
      <c r="H184" s="121"/>
      <c r="I184" s="143"/>
      <c r="J184" s="143"/>
      <c r="K184" s="143"/>
      <c r="L184" s="106"/>
      <c r="M184" s="106"/>
      <c r="N184" s="315"/>
      <c r="O184" s="106"/>
      <c r="P184" s="106"/>
      <c r="Q184" s="106"/>
      <c r="R184" s="106"/>
      <c r="S184" s="106"/>
      <c r="T184" s="106"/>
      <c r="U184" s="107"/>
      <c r="V184" s="107"/>
      <c r="W184" s="107"/>
      <c r="X184" s="107"/>
      <c r="Y184" s="109"/>
      <c r="AB184" s="103"/>
    </row>
    <row r="185" spans="1:28" x14ac:dyDescent="0.2">
      <c r="A185" s="121"/>
      <c r="B185" s="139"/>
      <c r="C185" s="139"/>
      <c r="D185" s="140"/>
      <c r="E185" s="139"/>
      <c r="F185" s="139"/>
      <c r="G185" s="139"/>
      <c r="H185" s="121"/>
      <c r="I185" s="143"/>
      <c r="J185" s="143"/>
      <c r="K185" s="143"/>
      <c r="L185" s="106"/>
      <c r="M185" s="106"/>
      <c r="N185" s="315"/>
      <c r="O185" s="106"/>
      <c r="P185" s="106"/>
      <c r="Q185" s="106"/>
      <c r="R185" s="106"/>
      <c r="S185" s="106"/>
      <c r="T185" s="106"/>
      <c r="U185" s="107"/>
      <c r="V185" s="107"/>
      <c r="W185" s="107"/>
      <c r="X185" s="107"/>
      <c r="Y185" s="107"/>
      <c r="Z185" s="104"/>
      <c r="AA185" s="104"/>
    </row>
    <row r="186" spans="1:28" x14ac:dyDescent="0.2">
      <c r="A186" s="119"/>
      <c r="B186" s="136"/>
      <c r="C186" s="136"/>
      <c r="D186" s="136"/>
      <c r="E186" s="136"/>
      <c r="F186" s="136"/>
      <c r="G186" s="136"/>
      <c r="H186" s="119"/>
      <c r="I186" s="144"/>
      <c r="J186" s="144"/>
      <c r="K186" s="144"/>
      <c r="L186" s="86"/>
      <c r="M186" s="86"/>
      <c r="N186" s="316"/>
      <c r="O186" s="86"/>
      <c r="P186" s="86"/>
      <c r="Q186" s="86"/>
      <c r="R186" s="86"/>
      <c r="S186" s="86"/>
      <c r="T186" s="86"/>
      <c r="U186" s="110"/>
      <c r="V186" s="110"/>
      <c r="W186" s="110"/>
      <c r="X186" s="110"/>
      <c r="Y186" s="110"/>
      <c r="Z186" s="104"/>
      <c r="AA186" s="104"/>
    </row>
    <row r="187" spans="1:28" x14ac:dyDescent="0.2">
      <c r="A187" s="113"/>
      <c r="B187" s="141"/>
      <c r="C187" s="141"/>
      <c r="D187" s="137"/>
      <c r="E187" s="137"/>
      <c r="F187" s="138"/>
      <c r="G187" s="138"/>
      <c r="H187" s="112"/>
      <c r="I187" s="144"/>
      <c r="J187" s="144"/>
      <c r="K187" s="144"/>
      <c r="L187" s="86"/>
      <c r="M187" s="86"/>
      <c r="N187" s="316"/>
      <c r="O187" s="86"/>
      <c r="P187" s="86"/>
      <c r="Q187" s="86"/>
      <c r="R187" s="86"/>
      <c r="S187" s="86"/>
      <c r="T187" s="86"/>
      <c r="U187" s="110"/>
      <c r="V187" s="110"/>
      <c r="W187" s="110"/>
      <c r="X187" s="110"/>
      <c r="Y187" s="110"/>
      <c r="Z187" s="104"/>
      <c r="AA187" s="104"/>
    </row>
    <row r="188" spans="1:28" x14ac:dyDescent="0.2">
      <c r="A188" s="121"/>
      <c r="B188" s="139"/>
      <c r="C188" s="139"/>
      <c r="D188" s="140"/>
      <c r="E188" s="139"/>
      <c r="F188" s="139"/>
      <c r="G188" s="139"/>
      <c r="H188" s="121"/>
      <c r="I188" s="143"/>
      <c r="J188" s="143"/>
      <c r="K188" s="143"/>
      <c r="L188" s="106"/>
      <c r="M188" s="106"/>
      <c r="N188" s="315"/>
      <c r="O188" s="106"/>
      <c r="P188" s="106"/>
      <c r="Q188" s="106"/>
      <c r="R188" s="106"/>
      <c r="S188" s="106"/>
      <c r="T188" s="106"/>
      <c r="U188" s="107"/>
      <c r="V188" s="114"/>
      <c r="W188" s="107"/>
      <c r="X188" s="107"/>
      <c r="Y188" s="107"/>
      <c r="Z188" s="104"/>
      <c r="AA188" s="104"/>
    </row>
    <row r="189" spans="1:28" x14ac:dyDescent="0.2">
      <c r="A189" s="119"/>
      <c r="B189" s="136"/>
      <c r="C189" s="136"/>
      <c r="D189" s="136"/>
      <c r="E189" s="136"/>
      <c r="F189" s="136"/>
      <c r="G189" s="136"/>
      <c r="H189" s="119"/>
      <c r="I189" s="144"/>
      <c r="J189" s="144"/>
      <c r="K189" s="144"/>
      <c r="L189" s="86"/>
      <c r="M189" s="86"/>
      <c r="N189" s="316"/>
      <c r="O189" s="86"/>
      <c r="P189" s="86"/>
      <c r="Q189" s="86"/>
      <c r="R189" s="86"/>
      <c r="S189" s="86"/>
      <c r="T189" s="86"/>
      <c r="U189" s="110"/>
      <c r="V189" s="115"/>
      <c r="W189" s="110"/>
      <c r="X189" s="110"/>
      <c r="Y189" s="110"/>
      <c r="Z189" s="104"/>
      <c r="AA189" s="104"/>
    </row>
    <row r="190" spans="1:28" x14ac:dyDescent="0.2">
      <c r="A190" s="113"/>
      <c r="B190" s="141"/>
      <c r="C190" s="141"/>
      <c r="D190" s="137"/>
      <c r="E190" s="137"/>
      <c r="F190" s="138"/>
      <c r="G190" s="138"/>
      <c r="H190" s="112"/>
      <c r="I190" s="144"/>
      <c r="J190" s="144"/>
      <c r="K190" s="144"/>
      <c r="L190" s="86"/>
      <c r="M190" s="86"/>
      <c r="N190" s="316"/>
      <c r="O190" s="86"/>
      <c r="P190" s="86"/>
      <c r="Q190" s="86"/>
      <c r="R190" s="86"/>
      <c r="S190" s="86"/>
      <c r="T190" s="86"/>
      <c r="U190" s="110"/>
      <c r="V190" s="115"/>
      <c r="W190" s="110"/>
      <c r="X190" s="110"/>
      <c r="Y190" s="110"/>
      <c r="Z190" s="104"/>
      <c r="AA190" s="104"/>
    </row>
    <row r="191" spans="1:28" x14ac:dyDescent="0.2">
      <c r="A191" s="121"/>
      <c r="B191" s="139"/>
      <c r="C191" s="139"/>
      <c r="D191" s="140"/>
      <c r="E191" s="139"/>
      <c r="F191" s="139"/>
      <c r="G191" s="139"/>
      <c r="H191" s="121"/>
      <c r="I191" s="143"/>
      <c r="J191" s="143"/>
      <c r="K191" s="143"/>
      <c r="L191" s="106"/>
      <c r="M191" s="106"/>
      <c r="N191" s="315"/>
      <c r="O191" s="106"/>
      <c r="P191" s="106"/>
      <c r="Q191" s="106"/>
      <c r="R191" s="106"/>
      <c r="S191" s="106"/>
      <c r="T191" s="106"/>
      <c r="U191" s="107"/>
      <c r="V191" s="107"/>
      <c r="W191" s="107"/>
      <c r="X191" s="107"/>
      <c r="Y191" s="107"/>
      <c r="Z191" s="104"/>
      <c r="AA191" s="104"/>
    </row>
    <row r="192" spans="1:28" x14ac:dyDescent="0.2">
      <c r="A192" s="119"/>
      <c r="B192" s="136"/>
      <c r="C192" s="136"/>
      <c r="D192" s="136"/>
      <c r="E192" s="136"/>
      <c r="F192" s="136"/>
      <c r="G192" s="136"/>
      <c r="H192" s="119"/>
      <c r="I192" s="144"/>
      <c r="J192" s="144"/>
      <c r="K192" s="144"/>
      <c r="L192" s="86"/>
      <c r="M192" s="86"/>
      <c r="N192" s="316"/>
      <c r="O192" s="86"/>
      <c r="P192" s="86"/>
      <c r="Q192" s="86"/>
      <c r="R192" s="86"/>
      <c r="S192" s="86"/>
      <c r="T192" s="86"/>
      <c r="U192" s="110"/>
      <c r="V192" s="110"/>
      <c r="W192" s="110"/>
      <c r="X192" s="110"/>
      <c r="Y192" s="110"/>
      <c r="Z192" s="104"/>
      <c r="AA192" s="104"/>
    </row>
    <row r="193" spans="1:28" x14ac:dyDescent="0.2">
      <c r="A193" s="113"/>
      <c r="B193" s="141"/>
      <c r="C193" s="141"/>
      <c r="D193" s="137"/>
      <c r="E193" s="137"/>
      <c r="F193" s="138"/>
      <c r="G193" s="138"/>
      <c r="H193" s="112"/>
      <c r="I193" s="144"/>
      <c r="J193" s="144"/>
      <c r="K193" s="144"/>
      <c r="L193" s="86"/>
      <c r="M193" s="86"/>
      <c r="N193" s="316"/>
      <c r="O193" s="86"/>
      <c r="P193" s="86"/>
      <c r="Q193" s="86"/>
      <c r="R193" s="86"/>
      <c r="S193" s="86"/>
      <c r="T193" s="86"/>
      <c r="U193" s="110"/>
      <c r="V193" s="110"/>
      <c r="W193" s="110"/>
      <c r="X193" s="110"/>
      <c r="Y193" s="110"/>
      <c r="Z193" s="104"/>
      <c r="AA193" s="104"/>
    </row>
    <row r="194" spans="1:28" x14ac:dyDescent="0.2">
      <c r="A194" s="121"/>
      <c r="B194" s="139"/>
      <c r="C194" s="139"/>
      <c r="D194" s="140"/>
      <c r="E194" s="139"/>
      <c r="F194" s="139"/>
      <c r="G194" s="139"/>
      <c r="H194" s="121"/>
      <c r="I194" s="143"/>
      <c r="J194" s="143"/>
      <c r="K194" s="143"/>
      <c r="L194" s="106"/>
      <c r="M194" s="106"/>
      <c r="N194" s="315"/>
      <c r="O194" s="106"/>
      <c r="P194" s="106"/>
      <c r="Q194" s="106"/>
      <c r="R194" s="106"/>
      <c r="S194" s="106"/>
      <c r="T194" s="106"/>
      <c r="U194" s="107"/>
      <c r="V194" s="107"/>
      <c r="W194" s="107"/>
      <c r="X194" s="107"/>
      <c r="Y194" s="107"/>
      <c r="Z194" s="104"/>
      <c r="AA194" s="104"/>
    </row>
    <row r="195" spans="1:28" x14ac:dyDescent="0.2">
      <c r="A195" s="119"/>
      <c r="B195" s="136"/>
      <c r="C195" s="136"/>
      <c r="D195" s="136"/>
      <c r="E195" s="136"/>
      <c r="F195" s="136"/>
      <c r="G195" s="136"/>
      <c r="H195" s="119"/>
      <c r="I195" s="144"/>
      <c r="J195" s="144"/>
      <c r="K195" s="144"/>
      <c r="L195" s="86"/>
      <c r="M195" s="86"/>
      <c r="N195" s="316"/>
      <c r="O195" s="86"/>
      <c r="P195" s="86"/>
      <c r="Q195" s="86"/>
      <c r="R195" s="86"/>
      <c r="S195" s="86"/>
      <c r="T195" s="86"/>
      <c r="U195" s="110"/>
      <c r="V195" s="110"/>
      <c r="W195" s="110"/>
      <c r="X195" s="110"/>
      <c r="Y195" s="110"/>
      <c r="Z195" s="104"/>
      <c r="AA195" s="104"/>
    </row>
    <row r="196" spans="1:28" x14ac:dyDescent="0.2">
      <c r="A196" s="113"/>
      <c r="B196" s="141"/>
      <c r="C196" s="141"/>
      <c r="D196" s="137"/>
      <c r="E196" s="137"/>
      <c r="F196" s="138"/>
      <c r="G196" s="138"/>
      <c r="H196" s="112"/>
      <c r="I196" s="144"/>
      <c r="J196" s="144"/>
      <c r="K196" s="144"/>
      <c r="L196" s="86"/>
      <c r="M196" s="86"/>
      <c r="N196" s="316"/>
      <c r="O196" s="86"/>
      <c r="P196" s="86"/>
      <c r="Q196" s="86"/>
      <c r="R196" s="86"/>
      <c r="S196" s="86"/>
      <c r="T196" s="86"/>
      <c r="U196" s="110"/>
      <c r="V196" s="110"/>
      <c r="W196" s="110"/>
      <c r="X196" s="110"/>
      <c r="Y196" s="110"/>
      <c r="Z196" s="104"/>
      <c r="AA196" s="104"/>
    </row>
    <row r="197" spans="1:28" x14ac:dyDescent="0.2">
      <c r="A197" s="121"/>
      <c r="B197" s="139"/>
      <c r="C197" s="139"/>
      <c r="D197" s="139"/>
      <c r="E197" s="139"/>
      <c r="F197" s="139"/>
      <c r="G197" s="139"/>
      <c r="H197" s="121"/>
      <c r="I197" s="143"/>
      <c r="J197" s="143"/>
      <c r="K197" s="143"/>
      <c r="L197" s="106"/>
      <c r="M197" s="106"/>
      <c r="N197" s="315"/>
      <c r="O197" s="106"/>
      <c r="P197" s="106"/>
      <c r="Q197" s="106"/>
      <c r="R197" s="106"/>
      <c r="S197" s="106"/>
      <c r="T197" s="106"/>
      <c r="U197" s="107"/>
      <c r="V197" s="114"/>
      <c r="W197" s="107"/>
      <c r="X197" s="107"/>
      <c r="Y197" s="109"/>
      <c r="AB197" s="103"/>
    </row>
    <row r="198" spans="1:28" x14ac:dyDescent="0.2">
      <c r="A198" s="121"/>
      <c r="B198" s="139"/>
      <c r="C198" s="139"/>
      <c r="D198" s="140"/>
      <c r="E198" s="139"/>
      <c r="F198" s="139"/>
      <c r="G198" s="139"/>
      <c r="H198" s="121"/>
      <c r="I198" s="143"/>
      <c r="J198" s="143"/>
      <c r="K198" s="143"/>
      <c r="L198" s="106"/>
      <c r="M198" s="106"/>
      <c r="N198" s="315"/>
      <c r="O198" s="106"/>
      <c r="P198" s="106"/>
      <c r="Q198" s="106"/>
      <c r="R198" s="106"/>
      <c r="S198" s="106"/>
      <c r="T198" s="106"/>
      <c r="U198" s="107"/>
      <c r="V198" s="114"/>
      <c r="W198" s="107"/>
      <c r="X198" s="107"/>
      <c r="Y198" s="107"/>
      <c r="Z198" s="104"/>
      <c r="AA198" s="104"/>
    </row>
    <row r="199" spans="1:28" x14ac:dyDescent="0.2">
      <c r="A199" s="119"/>
      <c r="B199" s="136"/>
      <c r="C199" s="136"/>
      <c r="D199" s="136"/>
      <c r="E199" s="136"/>
      <c r="F199" s="136"/>
      <c r="G199" s="136"/>
      <c r="H199" s="119"/>
      <c r="I199" s="144"/>
      <c r="J199" s="144"/>
      <c r="K199" s="144"/>
      <c r="L199" s="86"/>
      <c r="M199" s="86"/>
      <c r="N199" s="316"/>
      <c r="O199" s="86"/>
      <c r="P199" s="86"/>
      <c r="Q199" s="86"/>
      <c r="R199" s="86"/>
      <c r="S199" s="86"/>
      <c r="T199" s="86"/>
      <c r="U199" s="110"/>
      <c r="V199" s="115"/>
      <c r="W199" s="110"/>
      <c r="X199" s="110"/>
      <c r="Y199" s="110"/>
      <c r="Z199" s="104"/>
      <c r="AA199" s="104"/>
    </row>
    <row r="200" spans="1:28" x14ac:dyDescent="0.2">
      <c r="A200" s="113"/>
      <c r="B200" s="141"/>
      <c r="C200" s="141"/>
      <c r="D200" s="137"/>
      <c r="E200" s="137"/>
      <c r="F200" s="138"/>
      <c r="G200" s="138"/>
      <c r="H200" s="112"/>
      <c r="I200" s="144"/>
      <c r="J200" s="144"/>
      <c r="K200" s="144"/>
      <c r="L200" s="86"/>
      <c r="M200" s="86"/>
      <c r="N200" s="316"/>
      <c r="O200" s="86"/>
      <c r="P200" s="86"/>
      <c r="Q200" s="86"/>
      <c r="R200" s="86"/>
      <c r="S200" s="86"/>
      <c r="T200" s="86"/>
      <c r="U200" s="110"/>
      <c r="V200" s="115"/>
      <c r="W200" s="110"/>
      <c r="X200" s="110"/>
      <c r="Y200" s="110"/>
      <c r="Z200" s="104"/>
      <c r="AA200" s="104"/>
    </row>
    <row r="201" spans="1:28" x14ac:dyDescent="0.2">
      <c r="A201" s="121"/>
      <c r="B201" s="139"/>
      <c r="C201" s="139"/>
      <c r="D201" s="139"/>
      <c r="E201" s="139"/>
      <c r="F201" s="139"/>
      <c r="G201" s="139"/>
      <c r="H201" s="121"/>
      <c r="I201" s="143"/>
      <c r="J201" s="143"/>
      <c r="K201" s="143"/>
      <c r="L201" s="106"/>
      <c r="M201" s="106"/>
      <c r="N201" s="315"/>
      <c r="O201" s="106"/>
      <c r="P201" s="106"/>
      <c r="Q201" s="106"/>
      <c r="R201" s="106"/>
      <c r="S201" s="107"/>
      <c r="T201" s="108"/>
      <c r="U201" s="107"/>
      <c r="V201" s="107"/>
      <c r="W201" s="107"/>
      <c r="X201" s="107"/>
      <c r="Y201" s="109"/>
      <c r="AB201" s="103"/>
    </row>
    <row r="202" spans="1:28" x14ac:dyDescent="0.2">
      <c r="A202" s="121"/>
      <c r="B202" s="139"/>
      <c r="C202" s="139"/>
      <c r="D202" s="140"/>
      <c r="E202" s="139"/>
      <c r="F202" s="139"/>
      <c r="G202" s="139"/>
      <c r="H202" s="121"/>
      <c r="I202" s="143"/>
      <c r="J202" s="143"/>
      <c r="K202" s="143"/>
      <c r="L202" s="106"/>
      <c r="M202" s="106"/>
      <c r="N202" s="315"/>
      <c r="O202" s="106"/>
      <c r="P202" s="106"/>
      <c r="Q202" s="106"/>
      <c r="R202" s="106"/>
      <c r="S202" s="106"/>
      <c r="T202" s="106"/>
      <c r="U202" s="107"/>
      <c r="V202" s="114"/>
      <c r="W202" s="107"/>
      <c r="X202" s="107"/>
      <c r="Y202" s="107"/>
      <c r="Z202" s="104"/>
      <c r="AA202" s="104"/>
    </row>
    <row r="203" spans="1:28" x14ac:dyDescent="0.2">
      <c r="A203" s="119"/>
      <c r="B203" s="136"/>
      <c r="C203" s="136"/>
      <c r="D203" s="136"/>
      <c r="E203" s="136"/>
      <c r="F203" s="136"/>
      <c r="G203" s="136"/>
      <c r="H203" s="119"/>
      <c r="I203" s="144"/>
      <c r="J203" s="144"/>
      <c r="K203" s="144"/>
      <c r="L203" s="86"/>
      <c r="M203" s="86"/>
      <c r="N203" s="316"/>
      <c r="O203" s="86"/>
      <c r="P203" s="86"/>
      <c r="Q203" s="86"/>
      <c r="R203" s="86"/>
      <c r="S203" s="86"/>
      <c r="T203" s="86"/>
      <c r="U203" s="110"/>
      <c r="V203" s="115"/>
      <c r="W203" s="110"/>
      <c r="X203" s="110"/>
      <c r="Y203" s="110"/>
      <c r="Z203" s="104"/>
      <c r="AA203" s="104"/>
    </row>
    <row r="204" spans="1:28" x14ac:dyDescent="0.2">
      <c r="A204" s="113"/>
      <c r="B204" s="141"/>
      <c r="C204" s="141"/>
      <c r="D204" s="137"/>
      <c r="E204" s="137"/>
      <c r="F204" s="138"/>
      <c r="G204" s="138"/>
      <c r="H204" s="112"/>
      <c r="I204" s="144"/>
      <c r="J204" s="144"/>
      <c r="K204" s="144"/>
      <c r="L204" s="86"/>
      <c r="M204" s="86"/>
      <c r="N204" s="316"/>
      <c r="O204" s="86"/>
      <c r="P204" s="86"/>
      <c r="Q204" s="86"/>
      <c r="R204" s="86"/>
      <c r="S204" s="86"/>
      <c r="T204" s="86"/>
      <c r="U204" s="110"/>
      <c r="V204" s="115"/>
      <c r="W204" s="110"/>
      <c r="X204" s="110"/>
      <c r="Y204" s="110"/>
      <c r="Z204" s="104"/>
      <c r="AA204" s="104"/>
    </row>
    <row r="205" spans="1:28" x14ac:dyDescent="0.2">
      <c r="A205" s="121"/>
      <c r="B205" s="139"/>
      <c r="C205" s="139"/>
      <c r="D205" s="140"/>
      <c r="E205" s="139"/>
      <c r="F205" s="139"/>
      <c r="G205" s="139"/>
      <c r="H205" s="121"/>
      <c r="I205" s="143"/>
      <c r="J205" s="143"/>
      <c r="K205" s="143"/>
      <c r="L205" s="106"/>
      <c r="M205" s="106"/>
      <c r="N205" s="315"/>
      <c r="O205" s="106"/>
      <c r="P205" s="106"/>
      <c r="Q205" s="106"/>
      <c r="R205" s="106"/>
      <c r="S205" s="106"/>
      <c r="T205" s="106"/>
      <c r="U205" s="107"/>
      <c r="V205" s="107"/>
      <c r="W205" s="107"/>
      <c r="X205" s="107"/>
      <c r="Y205" s="107"/>
      <c r="Z205" s="104"/>
      <c r="AA205" s="104"/>
    </row>
    <row r="206" spans="1:28" x14ac:dyDescent="0.2">
      <c r="A206" s="119"/>
      <c r="B206" s="136"/>
      <c r="C206" s="136"/>
      <c r="D206" s="136"/>
      <c r="E206" s="136"/>
      <c r="F206" s="136"/>
      <c r="G206" s="136"/>
      <c r="H206" s="119"/>
      <c r="I206" s="144"/>
      <c r="J206" s="144"/>
      <c r="K206" s="144"/>
      <c r="L206" s="86"/>
      <c r="M206" s="86"/>
      <c r="N206" s="316"/>
      <c r="O206" s="86"/>
      <c r="P206" s="86"/>
      <c r="Q206" s="86"/>
      <c r="R206" s="86"/>
      <c r="S206" s="86"/>
      <c r="T206" s="86"/>
      <c r="U206" s="110"/>
      <c r="V206" s="110"/>
      <c r="W206" s="110"/>
      <c r="X206" s="110"/>
      <c r="Y206" s="110"/>
      <c r="Z206" s="104"/>
      <c r="AA206" s="104"/>
    </row>
    <row r="207" spans="1:28" x14ac:dyDescent="0.2">
      <c r="A207" s="113"/>
      <c r="B207" s="141"/>
      <c r="C207" s="141"/>
      <c r="D207" s="137"/>
      <c r="E207" s="137"/>
      <c r="F207" s="138"/>
      <c r="G207" s="138"/>
      <c r="H207" s="112"/>
      <c r="I207" s="144"/>
      <c r="J207" s="144"/>
      <c r="K207" s="144"/>
      <c r="L207" s="86"/>
      <c r="M207" s="86"/>
      <c r="N207" s="316"/>
      <c r="O207" s="86"/>
      <c r="P207" s="86"/>
      <c r="Q207" s="86"/>
      <c r="R207" s="86"/>
      <c r="S207" s="86"/>
      <c r="T207" s="86"/>
      <c r="U207" s="110"/>
      <c r="V207" s="110"/>
      <c r="W207" s="110"/>
      <c r="X207" s="110"/>
      <c r="Y207" s="110"/>
      <c r="Z207" s="104"/>
      <c r="AA207" s="104"/>
    </row>
    <row r="208" spans="1:28" x14ac:dyDescent="0.2">
      <c r="A208" s="121"/>
      <c r="B208" s="139"/>
      <c r="C208" s="139"/>
      <c r="D208" s="140"/>
      <c r="E208" s="139"/>
      <c r="F208" s="139"/>
      <c r="G208" s="139"/>
      <c r="H208" s="121"/>
      <c r="I208" s="143"/>
      <c r="J208" s="143"/>
      <c r="K208" s="143"/>
      <c r="L208" s="106"/>
      <c r="M208" s="106"/>
      <c r="N208" s="315"/>
      <c r="O208" s="106"/>
      <c r="P208" s="106"/>
      <c r="Q208" s="106"/>
      <c r="R208" s="106"/>
      <c r="S208" s="106"/>
      <c r="T208" s="106"/>
      <c r="U208" s="107"/>
      <c r="V208" s="107"/>
      <c r="W208" s="107"/>
      <c r="X208" s="107"/>
      <c r="Y208" s="107"/>
      <c r="Z208" s="104"/>
      <c r="AA208" s="104"/>
    </row>
    <row r="209" spans="1:28" x14ac:dyDescent="0.2">
      <c r="A209" s="119"/>
      <c r="B209" s="136"/>
      <c r="C209" s="136"/>
      <c r="D209" s="136"/>
      <c r="E209" s="136"/>
      <c r="F209" s="136"/>
      <c r="G209" s="136"/>
      <c r="H209" s="119"/>
      <c r="I209" s="144"/>
      <c r="J209" s="144"/>
      <c r="K209" s="144"/>
      <c r="L209" s="86"/>
      <c r="M209" s="86"/>
      <c r="N209" s="316"/>
      <c r="O209" s="86"/>
      <c r="P209" s="86"/>
      <c r="Q209" s="86"/>
      <c r="R209" s="86"/>
      <c r="S209" s="86"/>
      <c r="T209" s="86"/>
      <c r="U209" s="110"/>
      <c r="V209" s="110"/>
      <c r="W209" s="110"/>
      <c r="X209" s="110"/>
      <c r="Y209" s="110"/>
      <c r="Z209" s="104"/>
      <c r="AA209" s="104"/>
    </row>
    <row r="210" spans="1:28" x14ac:dyDescent="0.2">
      <c r="A210" s="113"/>
      <c r="B210" s="141"/>
      <c r="C210" s="141"/>
      <c r="D210" s="137"/>
      <c r="E210" s="137"/>
      <c r="F210" s="138"/>
      <c r="G210" s="138"/>
      <c r="H210" s="112"/>
      <c r="I210" s="144"/>
      <c r="J210" s="144"/>
      <c r="K210" s="144"/>
      <c r="L210" s="86"/>
      <c r="M210" s="86"/>
      <c r="N210" s="316"/>
      <c r="O210" s="86"/>
      <c r="P210" s="86"/>
      <c r="Q210" s="86"/>
      <c r="R210" s="86"/>
      <c r="S210" s="86"/>
      <c r="T210" s="86"/>
      <c r="U210" s="110"/>
      <c r="V210" s="110"/>
      <c r="W210" s="110"/>
      <c r="X210" s="110"/>
      <c r="Y210" s="110"/>
      <c r="Z210" s="104"/>
      <c r="AA210" s="104"/>
    </row>
    <row r="211" spans="1:28" x14ac:dyDescent="0.2">
      <c r="A211" s="121"/>
      <c r="B211" s="139"/>
      <c r="C211" s="139"/>
      <c r="D211" s="140"/>
      <c r="E211" s="139"/>
      <c r="F211" s="139"/>
      <c r="G211" s="139"/>
      <c r="H211" s="121"/>
      <c r="I211" s="143"/>
      <c r="J211" s="143"/>
      <c r="K211" s="143"/>
      <c r="L211" s="106"/>
      <c r="M211" s="106"/>
      <c r="N211" s="315"/>
      <c r="O211" s="106"/>
      <c r="P211" s="106"/>
      <c r="Q211" s="106"/>
      <c r="R211" s="106"/>
      <c r="S211" s="106"/>
      <c r="T211" s="106"/>
      <c r="U211" s="107"/>
      <c r="V211" s="114"/>
      <c r="W211" s="107"/>
      <c r="X211" s="107"/>
      <c r="Y211" s="107"/>
      <c r="Z211" s="104"/>
      <c r="AA211" s="104"/>
    </row>
    <row r="212" spans="1:28" x14ac:dyDescent="0.2">
      <c r="A212" s="119"/>
      <c r="B212" s="136"/>
      <c r="C212" s="136"/>
      <c r="D212" s="136"/>
      <c r="E212" s="136"/>
      <c r="F212" s="136"/>
      <c r="G212" s="136"/>
      <c r="H212" s="119"/>
      <c r="I212" s="144"/>
      <c r="J212" s="144"/>
      <c r="K212" s="144"/>
      <c r="L212" s="86"/>
      <c r="M212" s="86"/>
      <c r="N212" s="316"/>
      <c r="O212" s="86"/>
      <c r="P212" s="86"/>
      <c r="Q212" s="86"/>
      <c r="R212" s="86"/>
      <c r="S212" s="86"/>
      <c r="T212" s="86"/>
      <c r="U212" s="110"/>
      <c r="V212" s="115"/>
      <c r="W212" s="110"/>
      <c r="X212" s="110"/>
      <c r="Y212" s="110"/>
      <c r="Z212" s="104"/>
      <c r="AA212" s="104"/>
    </row>
    <row r="213" spans="1:28" x14ac:dyDescent="0.2">
      <c r="A213" s="113"/>
      <c r="B213" s="141"/>
      <c r="C213" s="141"/>
      <c r="D213" s="137"/>
      <c r="E213" s="137"/>
      <c r="F213" s="138"/>
      <c r="G213" s="138"/>
      <c r="H213" s="112"/>
      <c r="I213" s="144"/>
      <c r="J213" s="144"/>
      <c r="K213" s="144"/>
      <c r="L213" s="86"/>
      <c r="M213" s="86"/>
      <c r="N213" s="316"/>
      <c r="O213" s="86"/>
      <c r="P213" s="86"/>
      <c r="Q213" s="86"/>
      <c r="R213" s="86"/>
      <c r="S213" s="86"/>
      <c r="T213" s="86"/>
      <c r="U213" s="110"/>
      <c r="V213" s="115"/>
      <c r="W213" s="110"/>
      <c r="X213" s="110"/>
      <c r="Y213" s="110"/>
      <c r="Z213" s="104"/>
      <c r="AA213" s="104"/>
    </row>
    <row r="214" spans="1:28" x14ac:dyDescent="0.2">
      <c r="A214" s="121"/>
      <c r="B214" s="139"/>
      <c r="C214" s="139"/>
      <c r="D214" s="140"/>
      <c r="E214" s="139"/>
      <c r="F214" s="139"/>
      <c r="G214" s="139"/>
      <c r="H214" s="121"/>
      <c r="I214" s="143"/>
      <c r="J214" s="143"/>
      <c r="K214" s="143"/>
      <c r="L214" s="106"/>
      <c r="M214" s="106"/>
      <c r="N214" s="315"/>
      <c r="O214" s="106"/>
      <c r="P214" s="106"/>
      <c r="Q214" s="106"/>
      <c r="R214" s="106"/>
      <c r="S214" s="106"/>
      <c r="T214" s="106"/>
      <c r="U214" s="107"/>
      <c r="V214" s="107"/>
      <c r="W214" s="107"/>
      <c r="X214" s="107"/>
      <c r="Y214" s="107"/>
      <c r="Z214" s="104"/>
      <c r="AA214" s="104"/>
    </row>
    <row r="215" spans="1:28" x14ac:dyDescent="0.2">
      <c r="A215" s="119"/>
      <c r="B215" s="136"/>
      <c r="C215" s="136"/>
      <c r="D215" s="136"/>
      <c r="E215" s="136"/>
      <c r="F215" s="136"/>
      <c r="G215" s="136"/>
      <c r="H215" s="119"/>
      <c r="I215" s="144"/>
      <c r="J215" s="144"/>
      <c r="K215" s="144"/>
      <c r="L215" s="86"/>
      <c r="M215" s="86"/>
      <c r="N215" s="316"/>
      <c r="O215" s="86"/>
      <c r="P215" s="86"/>
      <c r="Q215" s="86"/>
      <c r="R215" s="86"/>
      <c r="S215" s="86"/>
      <c r="T215" s="86"/>
      <c r="U215" s="110"/>
      <c r="V215" s="110"/>
      <c r="W215" s="110"/>
      <c r="X215" s="110"/>
      <c r="Y215" s="110"/>
      <c r="Z215" s="104"/>
      <c r="AA215" s="104"/>
    </row>
    <row r="216" spans="1:28" x14ac:dyDescent="0.2">
      <c r="A216" s="113"/>
      <c r="B216" s="141"/>
      <c r="C216" s="141"/>
      <c r="D216" s="137"/>
      <c r="E216" s="137"/>
      <c r="F216" s="138"/>
      <c r="G216" s="138"/>
      <c r="H216" s="112"/>
      <c r="I216" s="144"/>
      <c r="J216" s="144"/>
      <c r="K216" s="144"/>
      <c r="L216" s="86"/>
      <c r="M216" s="86"/>
      <c r="N216" s="316"/>
      <c r="O216" s="86"/>
      <c r="P216" s="86"/>
      <c r="Q216" s="86"/>
      <c r="R216" s="86"/>
      <c r="S216" s="86"/>
      <c r="T216" s="86"/>
      <c r="U216" s="110"/>
      <c r="V216" s="110"/>
      <c r="W216" s="110"/>
      <c r="X216" s="110"/>
      <c r="Y216" s="110"/>
      <c r="Z216" s="104"/>
      <c r="AA216" s="104"/>
    </row>
    <row r="217" spans="1:28" x14ac:dyDescent="0.2">
      <c r="A217" s="121"/>
      <c r="B217" s="139"/>
      <c r="C217" s="139"/>
      <c r="D217" s="140"/>
      <c r="E217" s="139"/>
      <c r="F217" s="139"/>
      <c r="G217" s="139"/>
      <c r="H217" s="121"/>
      <c r="I217" s="143"/>
      <c r="J217" s="143"/>
      <c r="K217" s="143"/>
      <c r="L217" s="106"/>
      <c r="M217" s="106"/>
      <c r="N217" s="315"/>
      <c r="O217" s="106"/>
      <c r="P217" s="106"/>
      <c r="Q217" s="106"/>
      <c r="R217" s="106"/>
      <c r="S217" s="107"/>
      <c r="T217" s="108"/>
      <c r="U217" s="106"/>
      <c r="V217" s="106"/>
      <c r="W217" s="107"/>
      <c r="X217" s="107"/>
      <c r="Y217" s="107"/>
      <c r="Z217" s="104"/>
      <c r="AA217" s="104"/>
    </row>
    <row r="218" spans="1:28" x14ac:dyDescent="0.2">
      <c r="A218" s="119"/>
      <c r="B218" s="136"/>
      <c r="C218" s="136"/>
      <c r="D218" s="136"/>
      <c r="E218" s="136"/>
      <c r="F218" s="136"/>
      <c r="G218" s="136"/>
      <c r="H218" s="119"/>
      <c r="I218" s="144"/>
      <c r="J218" s="144"/>
      <c r="K218" s="144"/>
      <c r="L218" s="86"/>
      <c r="M218" s="86"/>
      <c r="N218" s="316"/>
      <c r="O218" s="86"/>
      <c r="P218" s="86"/>
      <c r="Q218" s="86"/>
      <c r="R218" s="86"/>
      <c r="S218" s="110"/>
      <c r="T218" s="111"/>
      <c r="U218" s="86"/>
      <c r="V218" s="86"/>
      <c r="W218" s="110"/>
      <c r="X218" s="110"/>
      <c r="Y218" s="110"/>
      <c r="Z218" s="104"/>
      <c r="AA218" s="104"/>
    </row>
    <row r="219" spans="1:28" x14ac:dyDescent="0.2">
      <c r="A219" s="119"/>
      <c r="B219" s="136"/>
      <c r="C219" s="136"/>
      <c r="D219" s="137"/>
      <c r="E219" s="137"/>
      <c r="F219" s="138"/>
      <c r="G219" s="138"/>
      <c r="H219" s="112"/>
      <c r="I219" s="144"/>
      <c r="J219" s="144"/>
      <c r="K219" s="144"/>
      <c r="L219" s="86"/>
      <c r="M219" s="86"/>
      <c r="N219" s="316"/>
      <c r="O219" s="86"/>
      <c r="P219" s="86"/>
      <c r="Q219" s="86"/>
      <c r="R219" s="86"/>
      <c r="S219" s="110"/>
      <c r="T219" s="111"/>
      <c r="U219" s="86"/>
      <c r="V219" s="86"/>
      <c r="W219" s="110"/>
      <c r="X219" s="110"/>
      <c r="Y219" s="110"/>
      <c r="Z219" s="104"/>
      <c r="AA219" s="104"/>
    </row>
    <row r="220" spans="1:28" x14ac:dyDescent="0.2">
      <c r="A220" s="121"/>
      <c r="B220" s="139"/>
      <c r="C220" s="139"/>
      <c r="D220" s="139"/>
      <c r="E220" s="139"/>
      <c r="F220" s="139"/>
      <c r="G220" s="139"/>
      <c r="H220" s="121"/>
      <c r="I220" s="143"/>
      <c r="J220" s="143"/>
      <c r="K220" s="143"/>
      <c r="L220" s="106"/>
      <c r="M220" s="106"/>
      <c r="N220" s="315"/>
      <c r="O220" s="106"/>
      <c r="P220" s="106"/>
      <c r="Q220" s="106"/>
      <c r="R220" s="106"/>
      <c r="S220" s="106"/>
      <c r="T220" s="106"/>
      <c r="U220" s="107"/>
      <c r="V220" s="114"/>
      <c r="W220" s="107"/>
      <c r="X220" s="107"/>
      <c r="Y220" s="109"/>
      <c r="AB220" s="103"/>
    </row>
    <row r="221" spans="1:28" x14ac:dyDescent="0.2">
      <c r="A221" s="121"/>
      <c r="B221" s="139"/>
      <c r="C221" s="139"/>
      <c r="D221" s="140"/>
      <c r="E221" s="139"/>
      <c r="F221" s="139"/>
      <c r="G221" s="139"/>
      <c r="H221" s="121"/>
      <c r="I221" s="143"/>
      <c r="J221" s="143"/>
      <c r="K221" s="143"/>
      <c r="L221" s="106"/>
      <c r="M221" s="106"/>
      <c r="N221" s="315"/>
      <c r="O221" s="106"/>
      <c r="P221" s="106"/>
      <c r="Q221" s="106"/>
      <c r="R221" s="106"/>
      <c r="S221" s="106"/>
      <c r="T221" s="106"/>
      <c r="U221" s="107"/>
      <c r="V221" s="114"/>
      <c r="W221" s="107"/>
      <c r="X221" s="107"/>
      <c r="Y221" s="107"/>
      <c r="Z221" s="104"/>
      <c r="AA221" s="104"/>
    </row>
    <row r="222" spans="1:28" x14ac:dyDescent="0.2">
      <c r="A222" s="119"/>
      <c r="B222" s="136"/>
      <c r="C222" s="136"/>
      <c r="D222" s="136"/>
      <c r="E222" s="136"/>
      <c r="F222" s="136"/>
      <c r="G222" s="136"/>
      <c r="H222" s="119"/>
      <c r="I222" s="144"/>
      <c r="J222" s="144"/>
      <c r="K222" s="144"/>
      <c r="L222" s="86"/>
      <c r="M222" s="86"/>
      <c r="N222" s="316"/>
      <c r="O222" s="86"/>
      <c r="P222" s="86"/>
      <c r="Q222" s="86"/>
      <c r="R222" s="86"/>
      <c r="S222" s="86"/>
      <c r="T222" s="86"/>
      <c r="U222" s="110"/>
      <c r="V222" s="115"/>
      <c r="W222" s="110"/>
      <c r="X222" s="110"/>
      <c r="Y222" s="110"/>
      <c r="Z222" s="104"/>
      <c r="AA222" s="104"/>
    </row>
    <row r="223" spans="1:28" x14ac:dyDescent="0.2">
      <c r="A223" s="113"/>
      <c r="B223" s="141"/>
      <c r="C223" s="141"/>
      <c r="D223" s="138"/>
      <c r="E223" s="137"/>
      <c r="F223" s="138"/>
      <c r="G223" s="138"/>
      <c r="H223" s="112"/>
      <c r="I223" s="144"/>
      <c r="J223" s="144"/>
      <c r="K223" s="144"/>
      <c r="L223" s="86"/>
      <c r="M223" s="86"/>
      <c r="N223" s="316"/>
      <c r="O223" s="86"/>
      <c r="P223" s="86"/>
      <c r="Q223" s="86"/>
      <c r="R223" s="86"/>
      <c r="S223" s="86"/>
      <c r="T223" s="86"/>
      <c r="U223" s="110"/>
      <c r="V223" s="115"/>
      <c r="W223" s="110"/>
      <c r="X223" s="110"/>
      <c r="Y223" s="110"/>
      <c r="Z223" s="104"/>
      <c r="AA223" s="104"/>
    </row>
    <row r="224" spans="1:28" x14ac:dyDescent="0.2">
      <c r="A224" s="121"/>
      <c r="B224" s="139"/>
      <c r="C224" s="139"/>
      <c r="D224" s="139"/>
      <c r="E224" s="139"/>
      <c r="F224" s="139"/>
      <c r="G224" s="139"/>
      <c r="H224" s="121"/>
      <c r="I224" s="143"/>
      <c r="J224" s="143"/>
      <c r="K224" s="143"/>
      <c r="L224" s="106"/>
      <c r="M224" s="106"/>
      <c r="N224" s="315"/>
      <c r="O224" s="106"/>
      <c r="P224" s="106"/>
      <c r="Q224" s="106"/>
      <c r="R224" s="106"/>
      <c r="S224" s="106"/>
      <c r="T224" s="106"/>
      <c r="U224" s="107"/>
      <c r="V224" s="107"/>
      <c r="W224" s="107"/>
      <c r="X224" s="107"/>
      <c r="Y224" s="109"/>
      <c r="AB224" s="103"/>
    </row>
    <row r="225" spans="1:28" x14ac:dyDescent="0.2">
      <c r="A225" s="121"/>
      <c r="B225" s="139"/>
      <c r="C225" s="139"/>
      <c r="D225" s="140"/>
      <c r="E225" s="139"/>
      <c r="F225" s="139"/>
      <c r="G225" s="139"/>
      <c r="H225" s="121"/>
      <c r="I225" s="143"/>
      <c r="J225" s="143"/>
      <c r="K225" s="143"/>
      <c r="L225" s="106"/>
      <c r="M225" s="106"/>
      <c r="N225" s="315"/>
      <c r="O225" s="106"/>
      <c r="P225" s="106"/>
      <c r="Q225" s="106"/>
      <c r="R225" s="106"/>
      <c r="S225" s="106"/>
      <c r="T225" s="106"/>
      <c r="U225" s="107"/>
      <c r="V225" s="107"/>
      <c r="W225" s="107"/>
      <c r="X225" s="107"/>
      <c r="Y225" s="107"/>
      <c r="Z225" s="104"/>
      <c r="AA225" s="104"/>
    </row>
    <row r="226" spans="1:28" x14ac:dyDescent="0.2">
      <c r="A226" s="119"/>
      <c r="B226" s="136"/>
      <c r="C226" s="136"/>
      <c r="D226" s="136"/>
      <c r="E226" s="136"/>
      <c r="F226" s="136"/>
      <c r="G226" s="136"/>
      <c r="H226" s="119"/>
      <c r="I226" s="144"/>
      <c r="J226" s="144"/>
      <c r="K226" s="144"/>
      <c r="L226" s="86"/>
      <c r="M226" s="86"/>
      <c r="N226" s="316"/>
      <c r="O226" s="86"/>
      <c r="P226" s="86"/>
      <c r="Q226" s="86"/>
      <c r="R226" s="86"/>
      <c r="S226" s="86"/>
      <c r="T226" s="86"/>
      <c r="U226" s="110"/>
      <c r="V226" s="110"/>
      <c r="W226" s="110"/>
      <c r="X226" s="110"/>
      <c r="Y226" s="110"/>
      <c r="Z226" s="104"/>
      <c r="AA226" s="104"/>
    </row>
    <row r="227" spans="1:28" x14ac:dyDescent="0.2">
      <c r="A227" s="113"/>
      <c r="B227" s="141"/>
      <c r="C227" s="141"/>
      <c r="D227" s="137"/>
      <c r="E227" s="137"/>
      <c r="F227" s="138"/>
      <c r="G227" s="138"/>
      <c r="H227" s="112"/>
      <c r="I227" s="144"/>
      <c r="J227" s="144"/>
      <c r="K227" s="144"/>
      <c r="L227" s="86"/>
      <c r="M227" s="86"/>
      <c r="N227" s="316"/>
      <c r="O227" s="86"/>
      <c r="P227" s="86"/>
      <c r="Q227" s="86"/>
      <c r="R227" s="86"/>
      <c r="S227" s="86"/>
      <c r="T227" s="86"/>
      <c r="U227" s="110"/>
      <c r="V227" s="110"/>
      <c r="W227" s="110"/>
      <c r="X227" s="110"/>
      <c r="Y227" s="110"/>
      <c r="Z227" s="104"/>
      <c r="AA227" s="104"/>
    </row>
    <row r="228" spans="1:28" x14ac:dyDescent="0.2">
      <c r="A228" s="121"/>
      <c r="B228" s="139"/>
      <c r="C228" s="139"/>
      <c r="D228" s="140"/>
      <c r="E228" s="139"/>
      <c r="F228" s="139"/>
      <c r="G228" s="139"/>
      <c r="H228" s="121"/>
      <c r="I228" s="143"/>
      <c r="J228" s="143"/>
      <c r="K228" s="143"/>
      <c r="L228" s="106"/>
      <c r="M228" s="106"/>
      <c r="N228" s="315"/>
      <c r="O228" s="106"/>
      <c r="P228" s="106"/>
      <c r="Q228" s="106"/>
      <c r="R228" s="106"/>
      <c r="S228" s="106"/>
      <c r="T228" s="106"/>
      <c r="U228" s="107"/>
      <c r="V228" s="107"/>
      <c r="W228" s="107"/>
      <c r="X228" s="107"/>
      <c r="Y228" s="107"/>
      <c r="Z228" s="104"/>
      <c r="AA228" s="104"/>
    </row>
    <row r="229" spans="1:28" x14ac:dyDescent="0.2">
      <c r="A229" s="119"/>
      <c r="B229" s="136"/>
      <c r="C229" s="136"/>
      <c r="D229" s="136"/>
      <c r="E229" s="136"/>
      <c r="F229" s="136"/>
      <c r="G229" s="136"/>
      <c r="H229" s="119"/>
      <c r="I229" s="144"/>
      <c r="J229" s="144"/>
      <c r="K229" s="144"/>
      <c r="L229" s="86"/>
      <c r="M229" s="86"/>
      <c r="N229" s="316"/>
      <c r="O229" s="86"/>
      <c r="P229" s="86"/>
      <c r="Q229" s="86"/>
      <c r="R229" s="86"/>
      <c r="S229" s="86"/>
      <c r="T229" s="86"/>
      <c r="U229" s="110"/>
      <c r="V229" s="110"/>
      <c r="W229" s="110"/>
      <c r="X229" s="110"/>
      <c r="Y229" s="110"/>
      <c r="Z229" s="104"/>
      <c r="AA229" s="104"/>
    </row>
    <row r="230" spans="1:28" x14ac:dyDescent="0.2">
      <c r="A230" s="113"/>
      <c r="B230" s="141"/>
      <c r="C230" s="141"/>
      <c r="D230" s="137"/>
      <c r="E230" s="137"/>
      <c r="F230" s="138"/>
      <c r="G230" s="138"/>
      <c r="H230" s="112"/>
      <c r="I230" s="144"/>
      <c r="J230" s="144"/>
      <c r="K230" s="144"/>
      <c r="L230" s="86"/>
      <c r="M230" s="86"/>
      <c r="N230" s="316"/>
      <c r="O230" s="86"/>
      <c r="P230" s="86"/>
      <c r="Q230" s="86"/>
      <c r="R230" s="86"/>
      <c r="S230" s="86"/>
      <c r="T230" s="86"/>
      <c r="U230" s="110"/>
      <c r="V230" s="110"/>
      <c r="W230" s="110"/>
      <c r="X230" s="110"/>
      <c r="Y230" s="110"/>
      <c r="Z230" s="104"/>
      <c r="AA230" s="104"/>
    </row>
    <row r="231" spans="1:28" x14ac:dyDescent="0.2">
      <c r="A231" s="121"/>
      <c r="B231" s="139"/>
      <c r="C231" s="139"/>
      <c r="D231" s="139"/>
      <c r="E231" s="139"/>
      <c r="F231" s="139"/>
      <c r="G231" s="139"/>
      <c r="H231" s="121"/>
      <c r="I231" s="143"/>
      <c r="J231" s="143"/>
      <c r="K231" s="143"/>
      <c r="L231" s="106"/>
      <c r="M231" s="106"/>
      <c r="N231" s="315"/>
      <c r="O231" s="106"/>
      <c r="P231" s="106"/>
      <c r="Q231" s="106"/>
      <c r="R231" s="106"/>
      <c r="S231" s="106"/>
      <c r="T231" s="106"/>
      <c r="U231" s="107"/>
      <c r="V231" s="107"/>
      <c r="W231" s="107"/>
      <c r="X231" s="107"/>
      <c r="Y231" s="109"/>
      <c r="AB231" s="103"/>
    </row>
    <row r="232" spans="1:28" x14ac:dyDescent="0.2">
      <c r="A232" s="121"/>
      <c r="B232" s="139"/>
      <c r="C232" s="139"/>
      <c r="D232" s="140"/>
      <c r="E232" s="139"/>
      <c r="F232" s="139"/>
      <c r="G232" s="139"/>
      <c r="H232" s="121"/>
      <c r="I232" s="143"/>
      <c r="J232" s="143"/>
      <c r="K232" s="143"/>
      <c r="L232" s="106"/>
      <c r="M232" s="106"/>
      <c r="N232" s="315"/>
      <c r="O232" s="106"/>
      <c r="P232" s="106"/>
      <c r="Q232" s="106"/>
      <c r="R232" s="106"/>
      <c r="S232" s="106"/>
      <c r="T232" s="106"/>
      <c r="U232" s="107"/>
      <c r="V232" s="114"/>
      <c r="W232" s="107"/>
      <c r="X232" s="107"/>
      <c r="Y232" s="107"/>
      <c r="Z232" s="104"/>
      <c r="AA232" s="104"/>
    </row>
    <row r="233" spans="1:28" x14ac:dyDescent="0.2">
      <c r="A233" s="119"/>
      <c r="B233" s="136"/>
      <c r="C233" s="136"/>
      <c r="D233" s="136"/>
      <c r="E233" s="136"/>
      <c r="F233" s="136"/>
      <c r="G233" s="136"/>
      <c r="H233" s="119"/>
      <c r="I233" s="144"/>
      <c r="J233" s="144"/>
      <c r="K233" s="144"/>
      <c r="L233" s="86"/>
      <c r="M233" s="86"/>
      <c r="N233" s="316"/>
      <c r="O233" s="86"/>
      <c r="P233" s="86"/>
      <c r="Q233" s="86"/>
      <c r="R233" s="86"/>
      <c r="S233" s="86"/>
      <c r="T233" s="86"/>
      <c r="U233" s="110"/>
      <c r="V233" s="115"/>
      <c r="W233" s="110"/>
      <c r="X233" s="110"/>
      <c r="Y233" s="110"/>
      <c r="Z233" s="104"/>
      <c r="AA233" s="104"/>
    </row>
    <row r="234" spans="1:28" x14ac:dyDescent="0.2">
      <c r="A234" s="113"/>
      <c r="B234" s="141"/>
      <c r="C234" s="141"/>
      <c r="D234" s="138"/>
      <c r="E234" s="137"/>
      <c r="F234" s="138"/>
      <c r="G234" s="138"/>
      <c r="H234" s="112"/>
      <c r="I234" s="144"/>
      <c r="J234" s="144"/>
      <c r="K234" s="144"/>
      <c r="L234" s="86"/>
      <c r="M234" s="86"/>
      <c r="N234" s="316"/>
      <c r="O234" s="86"/>
      <c r="P234" s="86"/>
      <c r="Q234" s="86"/>
      <c r="R234" s="86"/>
      <c r="S234" s="86"/>
      <c r="T234" s="86"/>
      <c r="U234" s="110"/>
      <c r="V234" s="115"/>
      <c r="W234" s="110"/>
      <c r="X234" s="110"/>
      <c r="Y234" s="110"/>
      <c r="Z234" s="104"/>
      <c r="AA234" s="104"/>
    </row>
    <row r="235" spans="1:28" x14ac:dyDescent="0.2">
      <c r="A235" s="121"/>
      <c r="B235" s="139"/>
      <c r="C235" s="139"/>
      <c r="D235" s="140"/>
      <c r="E235" s="139"/>
      <c r="F235" s="139"/>
      <c r="G235" s="139"/>
      <c r="H235" s="121"/>
      <c r="I235" s="143"/>
      <c r="J235" s="143"/>
      <c r="K235" s="143"/>
      <c r="L235" s="106"/>
      <c r="M235" s="106"/>
      <c r="N235" s="315"/>
      <c r="O235" s="106"/>
      <c r="P235" s="106"/>
      <c r="Q235" s="106"/>
      <c r="R235" s="106"/>
      <c r="S235" s="106"/>
      <c r="T235" s="106"/>
      <c r="U235" s="107"/>
      <c r="V235" s="107"/>
      <c r="W235" s="107"/>
      <c r="X235" s="107"/>
      <c r="Y235" s="107"/>
      <c r="Z235" s="104"/>
      <c r="AA235" s="104"/>
    </row>
    <row r="236" spans="1:28" x14ac:dyDescent="0.2">
      <c r="A236" s="119"/>
      <c r="B236" s="136"/>
      <c r="C236" s="136"/>
      <c r="D236" s="136"/>
      <c r="E236" s="136"/>
      <c r="F236" s="136"/>
      <c r="G236" s="136"/>
      <c r="H236" s="119"/>
      <c r="I236" s="144"/>
      <c r="J236" s="144"/>
      <c r="K236" s="144"/>
      <c r="L236" s="86"/>
      <c r="M236" s="86"/>
      <c r="N236" s="316"/>
      <c r="O236" s="86"/>
      <c r="P236" s="86"/>
      <c r="Q236" s="86"/>
      <c r="R236" s="86"/>
      <c r="S236" s="86"/>
      <c r="T236" s="86"/>
      <c r="U236" s="110"/>
      <c r="V236" s="110"/>
      <c r="W236" s="110"/>
      <c r="X236" s="110"/>
      <c r="Y236" s="110"/>
      <c r="Z236" s="104"/>
      <c r="AA236" s="104"/>
    </row>
    <row r="237" spans="1:28" x14ac:dyDescent="0.2">
      <c r="A237" s="113"/>
      <c r="B237" s="141"/>
      <c r="C237" s="141"/>
      <c r="D237" s="138"/>
      <c r="E237" s="137"/>
      <c r="F237" s="138"/>
      <c r="G237" s="138"/>
      <c r="H237" s="112"/>
      <c r="I237" s="144"/>
      <c r="J237" s="144"/>
      <c r="K237" s="144"/>
      <c r="L237" s="86"/>
      <c r="M237" s="86"/>
      <c r="N237" s="316"/>
      <c r="O237" s="86"/>
      <c r="P237" s="86"/>
      <c r="Q237" s="86"/>
      <c r="R237" s="86"/>
      <c r="S237" s="86"/>
      <c r="T237" s="86"/>
      <c r="U237" s="110"/>
      <c r="V237" s="110"/>
      <c r="W237" s="110"/>
      <c r="X237" s="110"/>
      <c r="Y237" s="110"/>
      <c r="Z237" s="104"/>
      <c r="AA237" s="104"/>
    </row>
    <row r="238" spans="1:28" x14ac:dyDescent="0.2">
      <c r="A238" s="121"/>
      <c r="B238" s="139"/>
      <c r="C238" s="139"/>
      <c r="D238" s="139"/>
      <c r="E238" s="139"/>
      <c r="F238" s="139"/>
      <c r="G238" s="139"/>
      <c r="H238" s="121"/>
      <c r="I238" s="143"/>
      <c r="J238" s="143"/>
      <c r="K238" s="143"/>
      <c r="L238" s="106"/>
      <c r="M238" s="106"/>
      <c r="N238" s="315"/>
      <c r="O238" s="106"/>
      <c r="P238" s="106"/>
      <c r="Q238" s="106"/>
      <c r="R238" s="106"/>
      <c r="S238" s="106"/>
      <c r="T238" s="106"/>
      <c r="U238" s="107"/>
      <c r="V238" s="114"/>
      <c r="W238" s="107"/>
      <c r="X238" s="107"/>
      <c r="Y238" s="109"/>
      <c r="AB238" s="103"/>
    </row>
    <row r="239" spans="1:28" x14ac:dyDescent="0.2">
      <c r="A239" s="121"/>
      <c r="B239" s="139"/>
      <c r="C239" s="139"/>
      <c r="D239" s="140"/>
      <c r="E239" s="139"/>
      <c r="F239" s="139"/>
      <c r="G239" s="139"/>
      <c r="H239" s="121"/>
      <c r="I239" s="143"/>
      <c r="J239" s="143"/>
      <c r="K239" s="143"/>
      <c r="L239" s="106"/>
      <c r="M239" s="106"/>
      <c r="N239" s="315"/>
      <c r="O239" s="106"/>
      <c r="P239" s="106"/>
      <c r="Q239" s="106"/>
      <c r="R239" s="106"/>
      <c r="S239" s="106"/>
      <c r="T239" s="106"/>
      <c r="U239" s="107"/>
      <c r="V239" s="114"/>
      <c r="W239" s="107"/>
      <c r="X239" s="107"/>
      <c r="Y239" s="107"/>
      <c r="Z239" s="104"/>
      <c r="AA239" s="104"/>
    </row>
    <row r="240" spans="1:28" x14ac:dyDescent="0.2">
      <c r="A240" s="119"/>
      <c r="B240" s="136"/>
      <c r="C240" s="136"/>
      <c r="D240" s="136"/>
      <c r="E240" s="136"/>
      <c r="F240" s="136"/>
      <c r="G240" s="136"/>
      <c r="H240" s="119"/>
      <c r="I240" s="144"/>
      <c r="J240" s="144"/>
      <c r="K240" s="144"/>
      <c r="L240" s="86"/>
      <c r="M240" s="86"/>
      <c r="N240" s="316"/>
      <c r="O240" s="86"/>
      <c r="P240" s="86"/>
      <c r="Q240" s="86"/>
      <c r="R240" s="86"/>
      <c r="S240" s="86"/>
      <c r="T240" s="86"/>
      <c r="U240" s="110"/>
      <c r="V240" s="115"/>
      <c r="W240" s="110"/>
      <c r="X240" s="110"/>
      <c r="Y240" s="110"/>
      <c r="Z240" s="104"/>
      <c r="AA240" s="104"/>
    </row>
    <row r="241" spans="1:28" x14ac:dyDescent="0.2">
      <c r="A241" s="113"/>
      <c r="B241" s="141"/>
      <c r="C241" s="141"/>
      <c r="D241" s="137"/>
      <c r="E241" s="137"/>
      <c r="F241" s="138"/>
      <c r="G241" s="138"/>
      <c r="H241" s="112"/>
      <c r="I241" s="144"/>
      <c r="J241" s="144"/>
      <c r="K241" s="144"/>
      <c r="L241" s="86"/>
      <c r="M241" s="86"/>
      <c r="N241" s="316"/>
      <c r="O241" s="86"/>
      <c r="P241" s="86"/>
      <c r="Q241" s="86"/>
      <c r="R241" s="86"/>
      <c r="S241" s="86"/>
      <c r="T241" s="86"/>
      <c r="U241" s="110"/>
      <c r="V241" s="115"/>
      <c r="W241" s="110"/>
      <c r="X241" s="110"/>
      <c r="Y241" s="110"/>
      <c r="Z241" s="104"/>
      <c r="AA241" s="104"/>
    </row>
    <row r="242" spans="1:28" x14ac:dyDescent="0.2">
      <c r="A242" s="121"/>
      <c r="B242" s="139"/>
      <c r="C242" s="139"/>
      <c r="D242" s="139"/>
      <c r="E242" s="139"/>
      <c r="F242" s="139"/>
      <c r="G242" s="139"/>
      <c r="H242" s="121"/>
      <c r="I242" s="143"/>
      <c r="J242" s="143"/>
      <c r="K242" s="143"/>
      <c r="L242" s="106"/>
      <c r="M242" s="106"/>
      <c r="N242" s="315"/>
      <c r="O242" s="106"/>
      <c r="P242" s="106"/>
      <c r="Q242" s="106"/>
      <c r="R242" s="106"/>
      <c r="S242" s="106"/>
      <c r="T242" s="106"/>
      <c r="U242" s="107"/>
      <c r="V242" s="107"/>
      <c r="W242" s="107"/>
      <c r="X242" s="107"/>
      <c r="Y242" s="109"/>
      <c r="AB242" s="103"/>
    </row>
    <row r="243" spans="1:28" x14ac:dyDescent="0.2">
      <c r="A243" s="121"/>
      <c r="B243" s="139"/>
      <c r="C243" s="139"/>
      <c r="D243" s="140"/>
      <c r="E243" s="139"/>
      <c r="F243" s="139"/>
      <c r="G243" s="139"/>
      <c r="H243" s="121"/>
      <c r="I243" s="143"/>
      <c r="J243" s="143"/>
      <c r="K243" s="143"/>
      <c r="L243" s="106"/>
      <c r="M243" s="106"/>
      <c r="N243" s="315"/>
      <c r="O243" s="106"/>
      <c r="P243" s="106"/>
      <c r="Q243" s="106"/>
      <c r="R243" s="106"/>
      <c r="S243" s="106"/>
      <c r="T243" s="106"/>
      <c r="U243" s="107"/>
      <c r="V243" s="107"/>
      <c r="W243" s="107"/>
      <c r="X243" s="107"/>
      <c r="Y243" s="107"/>
      <c r="Z243" s="104"/>
      <c r="AA243" s="104"/>
    </row>
    <row r="244" spans="1:28" x14ac:dyDescent="0.2">
      <c r="A244" s="119"/>
      <c r="B244" s="136"/>
      <c r="C244" s="136"/>
      <c r="D244" s="136"/>
      <c r="E244" s="136"/>
      <c r="F244" s="136"/>
      <c r="G244" s="136"/>
      <c r="H244" s="119"/>
      <c r="I244" s="144"/>
      <c r="J244" s="144"/>
      <c r="K244" s="144"/>
      <c r="L244" s="86"/>
      <c r="M244" s="86"/>
      <c r="N244" s="316"/>
      <c r="O244" s="86"/>
      <c r="P244" s="86"/>
      <c r="Q244" s="86"/>
      <c r="R244" s="86"/>
      <c r="S244" s="86"/>
      <c r="T244" s="86"/>
      <c r="U244" s="110"/>
      <c r="V244" s="110"/>
      <c r="W244" s="110"/>
      <c r="X244" s="110"/>
      <c r="Y244" s="110"/>
      <c r="Z244" s="104"/>
      <c r="AA244" s="104"/>
    </row>
    <row r="245" spans="1:28" x14ac:dyDescent="0.2">
      <c r="A245" s="113"/>
      <c r="B245" s="141"/>
      <c r="C245" s="141"/>
      <c r="D245" s="137"/>
      <c r="E245" s="137"/>
      <c r="F245" s="138"/>
      <c r="G245" s="138"/>
      <c r="H245" s="112"/>
      <c r="I245" s="144"/>
      <c r="J245" s="144"/>
      <c r="K245" s="144"/>
      <c r="L245" s="86"/>
      <c r="M245" s="86"/>
      <c r="N245" s="316"/>
      <c r="O245" s="86"/>
      <c r="P245" s="86"/>
      <c r="Q245" s="86"/>
      <c r="R245" s="86"/>
      <c r="S245" s="86"/>
      <c r="T245" s="86"/>
      <c r="U245" s="110"/>
      <c r="V245" s="110"/>
      <c r="W245" s="110"/>
      <c r="X245" s="110"/>
      <c r="Y245" s="110"/>
      <c r="Z245" s="104"/>
      <c r="AA245" s="104"/>
    </row>
    <row r="246" spans="1:28" x14ac:dyDescent="0.2">
      <c r="A246" s="121"/>
      <c r="B246" s="139"/>
      <c r="C246" s="139"/>
      <c r="D246" s="139"/>
      <c r="E246" s="139"/>
      <c r="F246" s="139"/>
      <c r="G246" s="139"/>
      <c r="H246" s="121"/>
      <c r="I246" s="143"/>
      <c r="J246" s="143"/>
      <c r="K246" s="143"/>
      <c r="L246" s="106"/>
      <c r="M246" s="106"/>
      <c r="N246" s="315"/>
      <c r="O246" s="106"/>
      <c r="P246" s="106"/>
      <c r="Q246" s="106"/>
      <c r="R246" s="106"/>
      <c r="S246" s="107"/>
      <c r="T246" s="108"/>
      <c r="U246" s="107"/>
      <c r="V246" s="107"/>
      <c r="W246" s="107"/>
      <c r="X246" s="107"/>
      <c r="Y246" s="109"/>
      <c r="AB246" s="103"/>
    </row>
    <row r="247" spans="1:28" x14ac:dyDescent="0.2">
      <c r="A247" s="121"/>
      <c r="B247" s="139"/>
      <c r="C247" s="139"/>
      <c r="D247" s="140"/>
      <c r="E247" s="139"/>
      <c r="F247" s="139"/>
      <c r="G247" s="139"/>
      <c r="H247" s="121"/>
      <c r="I247" s="143"/>
      <c r="J247" s="143"/>
      <c r="K247" s="143"/>
      <c r="L247" s="106"/>
      <c r="M247" s="106"/>
      <c r="N247" s="315"/>
      <c r="O247" s="106"/>
      <c r="P247" s="106"/>
      <c r="Q247" s="106"/>
      <c r="R247" s="106"/>
      <c r="S247" s="106"/>
      <c r="T247" s="106"/>
      <c r="U247" s="107"/>
      <c r="V247" s="107"/>
      <c r="W247" s="107"/>
      <c r="X247" s="107"/>
      <c r="Y247" s="107"/>
      <c r="Z247" s="104"/>
      <c r="AA247" s="104"/>
    </row>
    <row r="248" spans="1:28" x14ac:dyDescent="0.2">
      <c r="A248" s="119"/>
      <c r="B248" s="136"/>
      <c r="C248" s="136"/>
      <c r="D248" s="136"/>
      <c r="E248" s="136"/>
      <c r="F248" s="136"/>
      <c r="G248" s="136"/>
      <c r="H248" s="119"/>
      <c r="I248" s="144"/>
      <c r="J248" s="144"/>
      <c r="K248" s="144"/>
      <c r="L248" s="86"/>
      <c r="M248" s="86"/>
      <c r="N248" s="316"/>
      <c r="O248" s="86"/>
      <c r="P248" s="86"/>
      <c r="Q248" s="86"/>
      <c r="R248" s="86"/>
      <c r="S248" s="86"/>
      <c r="T248" s="86"/>
      <c r="U248" s="110"/>
      <c r="V248" s="110"/>
      <c r="W248" s="110"/>
      <c r="X248" s="110"/>
      <c r="Y248" s="110"/>
      <c r="Z248" s="104"/>
      <c r="AA248" s="104"/>
    </row>
    <row r="249" spans="1:28" x14ac:dyDescent="0.2">
      <c r="A249" s="113"/>
      <c r="B249" s="141"/>
      <c r="C249" s="141"/>
      <c r="D249" s="137"/>
      <c r="E249" s="137"/>
      <c r="F249" s="138"/>
      <c r="G249" s="138"/>
      <c r="H249" s="112"/>
      <c r="I249" s="144"/>
      <c r="J249" s="144"/>
      <c r="K249" s="144"/>
      <c r="L249" s="86"/>
      <c r="M249" s="86"/>
      <c r="N249" s="316"/>
      <c r="O249" s="86"/>
      <c r="P249" s="86"/>
      <c r="Q249" s="86"/>
      <c r="R249" s="86"/>
      <c r="S249" s="86"/>
      <c r="T249" s="86"/>
      <c r="U249" s="110"/>
      <c r="V249" s="110"/>
      <c r="W249" s="110"/>
      <c r="X249" s="110"/>
      <c r="Y249" s="110"/>
      <c r="Z249" s="104"/>
      <c r="AA249" s="104"/>
    </row>
    <row r="250" spans="1:28" x14ac:dyDescent="0.2">
      <c r="A250" s="121"/>
      <c r="B250" s="139"/>
      <c r="C250" s="139"/>
      <c r="D250" s="140"/>
      <c r="E250" s="139"/>
      <c r="F250" s="139"/>
      <c r="G250" s="139"/>
      <c r="H250" s="121"/>
      <c r="I250" s="143"/>
      <c r="J250" s="143"/>
      <c r="K250" s="143"/>
      <c r="L250" s="106"/>
      <c r="M250" s="106"/>
      <c r="N250" s="315"/>
      <c r="O250" s="106"/>
      <c r="P250" s="106"/>
      <c r="Q250" s="106"/>
      <c r="R250" s="106"/>
      <c r="S250" s="106"/>
      <c r="T250" s="106"/>
      <c r="U250" s="107"/>
      <c r="V250" s="107"/>
      <c r="W250" s="107"/>
      <c r="X250" s="107"/>
      <c r="Y250" s="107"/>
      <c r="Z250" s="104"/>
      <c r="AA250" s="104"/>
    </row>
    <row r="251" spans="1:28" x14ac:dyDescent="0.2">
      <c r="A251" s="119"/>
      <c r="B251" s="136"/>
      <c r="C251" s="136"/>
      <c r="D251" s="136"/>
      <c r="E251" s="136"/>
      <c r="F251" s="136"/>
      <c r="G251" s="136"/>
      <c r="H251" s="119"/>
      <c r="I251" s="144"/>
      <c r="J251" s="144"/>
      <c r="K251" s="144"/>
      <c r="L251" s="86"/>
      <c r="M251" s="86"/>
      <c r="N251" s="316"/>
      <c r="O251" s="86"/>
      <c r="P251" s="86"/>
      <c r="Q251" s="86"/>
      <c r="R251" s="86"/>
      <c r="S251" s="86"/>
      <c r="T251" s="86"/>
      <c r="U251" s="110"/>
      <c r="V251" s="110"/>
      <c r="W251" s="110"/>
      <c r="X251" s="110"/>
      <c r="Y251" s="110"/>
      <c r="Z251" s="104"/>
      <c r="AA251" s="104"/>
    </row>
    <row r="252" spans="1:28" x14ac:dyDescent="0.2">
      <c r="A252" s="113"/>
      <c r="B252" s="141"/>
      <c r="C252" s="141"/>
      <c r="D252" s="137"/>
      <c r="E252" s="137"/>
      <c r="F252" s="138"/>
      <c r="G252" s="138"/>
      <c r="H252" s="112"/>
      <c r="I252" s="144"/>
      <c r="J252" s="144"/>
      <c r="K252" s="144"/>
      <c r="L252" s="86"/>
      <c r="M252" s="86"/>
      <c r="N252" s="316"/>
      <c r="O252" s="86"/>
      <c r="P252" s="86"/>
      <c r="Q252" s="86"/>
      <c r="R252" s="86"/>
      <c r="S252" s="86"/>
      <c r="T252" s="86"/>
      <c r="U252" s="110"/>
      <c r="V252" s="110"/>
      <c r="W252" s="110"/>
      <c r="X252" s="110"/>
      <c r="Y252" s="110"/>
      <c r="Z252" s="104"/>
      <c r="AA252" s="104"/>
    </row>
    <row r="253" spans="1:28" x14ac:dyDescent="0.2">
      <c r="A253" s="121"/>
      <c r="B253" s="139"/>
      <c r="C253" s="139"/>
      <c r="D253" s="140"/>
      <c r="E253" s="139"/>
      <c r="F253" s="139"/>
      <c r="G253" s="139"/>
      <c r="H253" s="121"/>
      <c r="I253" s="143"/>
      <c r="J253" s="143"/>
      <c r="K253" s="143"/>
      <c r="L253" s="106"/>
      <c r="M253" s="106"/>
      <c r="N253" s="315"/>
      <c r="O253" s="106"/>
      <c r="P253" s="106"/>
      <c r="Q253" s="106"/>
      <c r="R253" s="106"/>
      <c r="S253" s="107"/>
      <c r="T253" s="108"/>
      <c r="U253" s="106"/>
      <c r="V253" s="106"/>
      <c r="W253" s="107"/>
      <c r="X253" s="107"/>
      <c r="Y253" s="107"/>
      <c r="Z253" s="104"/>
      <c r="AA253" s="104"/>
    </row>
    <row r="254" spans="1:28" x14ac:dyDescent="0.2">
      <c r="A254" s="119"/>
      <c r="B254" s="136"/>
      <c r="C254" s="136"/>
      <c r="D254" s="136"/>
      <c r="E254" s="136"/>
      <c r="F254" s="136"/>
      <c r="G254" s="136"/>
      <c r="H254" s="119"/>
      <c r="I254" s="144"/>
      <c r="J254" s="144"/>
      <c r="K254" s="144"/>
      <c r="L254" s="86"/>
      <c r="M254" s="86"/>
      <c r="N254" s="316"/>
      <c r="O254" s="86"/>
      <c r="P254" s="86"/>
      <c r="Q254" s="86"/>
      <c r="R254" s="86"/>
      <c r="S254" s="110"/>
      <c r="T254" s="111"/>
      <c r="U254" s="86"/>
      <c r="V254" s="86"/>
      <c r="W254" s="110"/>
      <c r="X254" s="110"/>
      <c r="Y254" s="110"/>
      <c r="Z254" s="104"/>
      <c r="AA254" s="104"/>
    </row>
    <row r="255" spans="1:28" x14ac:dyDescent="0.2">
      <c r="A255" s="119"/>
      <c r="B255" s="136"/>
      <c r="C255" s="136"/>
      <c r="D255" s="137"/>
      <c r="E255" s="137"/>
      <c r="F255" s="138"/>
      <c r="G255" s="138"/>
      <c r="H255" s="112"/>
      <c r="I255" s="144"/>
      <c r="J255" s="144"/>
      <c r="K255" s="144"/>
      <c r="L255" s="86"/>
      <c r="M255" s="86"/>
      <c r="N255" s="316"/>
      <c r="O255" s="86"/>
      <c r="P255" s="86"/>
      <c r="Q255" s="86"/>
      <c r="R255" s="86"/>
      <c r="S255" s="110"/>
      <c r="T255" s="111"/>
      <c r="U255" s="86"/>
      <c r="V255" s="86"/>
      <c r="W255" s="110"/>
      <c r="X255" s="110"/>
      <c r="Y255" s="110"/>
      <c r="Z255" s="104"/>
      <c r="AA255" s="104"/>
    </row>
    <row r="256" spans="1:28" x14ac:dyDescent="0.2">
      <c r="A256" s="121"/>
      <c r="B256" s="139"/>
      <c r="C256" s="139"/>
      <c r="D256" s="139"/>
      <c r="E256" s="139"/>
      <c r="F256" s="139"/>
      <c r="G256" s="139"/>
      <c r="H256" s="121"/>
      <c r="I256" s="143"/>
      <c r="J256" s="143"/>
      <c r="K256" s="143"/>
      <c r="L256" s="106"/>
      <c r="M256" s="106"/>
      <c r="N256" s="315"/>
      <c r="O256" s="106"/>
      <c r="P256" s="106"/>
      <c r="Q256" s="106"/>
      <c r="R256" s="106"/>
      <c r="S256" s="107"/>
      <c r="T256" s="108"/>
      <c r="U256" s="107"/>
      <c r="V256" s="107"/>
      <c r="W256" s="107"/>
      <c r="X256" s="107"/>
      <c r="Y256" s="109"/>
      <c r="AB256" s="103"/>
    </row>
    <row r="257" spans="1:28" x14ac:dyDescent="0.2">
      <c r="A257" s="121"/>
      <c r="B257" s="139"/>
      <c r="C257" s="139"/>
      <c r="D257" s="140"/>
      <c r="E257" s="139"/>
      <c r="F257" s="139"/>
      <c r="G257" s="139"/>
      <c r="H257" s="121"/>
      <c r="I257" s="143"/>
      <c r="J257" s="143"/>
      <c r="K257" s="143"/>
      <c r="L257" s="106"/>
      <c r="M257" s="106"/>
      <c r="N257" s="315"/>
      <c r="O257" s="106"/>
      <c r="P257" s="106"/>
      <c r="Q257" s="106"/>
      <c r="R257" s="106"/>
      <c r="S257" s="106"/>
      <c r="T257" s="106"/>
      <c r="U257" s="107"/>
      <c r="V257" s="114"/>
      <c r="W257" s="107"/>
      <c r="X257" s="107"/>
      <c r="Y257" s="107"/>
      <c r="Z257" s="104"/>
      <c r="AA257" s="104"/>
    </row>
    <row r="258" spans="1:28" x14ac:dyDescent="0.2">
      <c r="A258" s="119"/>
      <c r="B258" s="136"/>
      <c r="C258" s="136"/>
      <c r="D258" s="136"/>
      <c r="E258" s="136"/>
      <c r="F258" s="136"/>
      <c r="G258" s="136"/>
      <c r="H258" s="119"/>
      <c r="I258" s="144"/>
      <c r="J258" s="144"/>
      <c r="K258" s="144"/>
      <c r="L258" s="86"/>
      <c r="M258" s="86"/>
      <c r="N258" s="316"/>
      <c r="O258" s="86"/>
      <c r="P258" s="86"/>
      <c r="Q258" s="86"/>
      <c r="R258" s="86"/>
      <c r="S258" s="86"/>
      <c r="T258" s="86"/>
      <c r="U258" s="110"/>
      <c r="V258" s="115"/>
      <c r="W258" s="110"/>
      <c r="X258" s="110"/>
      <c r="Y258" s="110"/>
      <c r="Z258" s="104"/>
      <c r="AA258" s="104"/>
    </row>
    <row r="259" spans="1:28" x14ac:dyDescent="0.2">
      <c r="A259" s="113"/>
      <c r="B259" s="141"/>
      <c r="C259" s="141"/>
      <c r="D259" s="137"/>
      <c r="E259" s="137"/>
      <c r="F259" s="138"/>
      <c r="G259" s="138"/>
      <c r="H259" s="112"/>
      <c r="I259" s="144"/>
      <c r="J259" s="144"/>
      <c r="K259" s="144"/>
      <c r="L259" s="86"/>
      <c r="M259" s="86"/>
      <c r="N259" s="316"/>
      <c r="O259" s="86"/>
      <c r="P259" s="86"/>
      <c r="Q259" s="86"/>
      <c r="R259" s="86"/>
      <c r="S259" s="86"/>
      <c r="T259" s="86"/>
      <c r="U259" s="110"/>
      <c r="V259" s="115"/>
      <c r="W259" s="110"/>
      <c r="X259" s="110"/>
      <c r="Y259" s="110"/>
      <c r="Z259" s="104"/>
      <c r="AA259" s="104"/>
    </row>
    <row r="260" spans="1:28" x14ac:dyDescent="0.2">
      <c r="A260" s="121"/>
      <c r="B260" s="139"/>
      <c r="C260" s="139"/>
      <c r="D260" s="140"/>
      <c r="E260" s="139"/>
      <c r="F260" s="139"/>
      <c r="G260" s="139"/>
      <c r="H260" s="121"/>
      <c r="I260" s="143"/>
      <c r="J260" s="143"/>
      <c r="K260" s="143"/>
      <c r="L260" s="106"/>
      <c r="M260" s="106"/>
      <c r="N260" s="315"/>
      <c r="O260" s="106"/>
      <c r="P260" s="106"/>
      <c r="Q260" s="106"/>
      <c r="R260" s="106"/>
      <c r="S260" s="106"/>
      <c r="T260" s="106"/>
      <c r="U260" s="107"/>
      <c r="V260" s="107"/>
      <c r="W260" s="107"/>
      <c r="X260" s="107"/>
      <c r="Y260" s="107"/>
      <c r="Z260" s="104"/>
      <c r="AA260" s="104"/>
    </row>
    <row r="261" spans="1:28" x14ac:dyDescent="0.2">
      <c r="A261" s="119"/>
      <c r="B261" s="136"/>
      <c r="C261" s="136"/>
      <c r="D261" s="136"/>
      <c r="E261" s="136"/>
      <c r="F261" s="136"/>
      <c r="G261" s="136"/>
      <c r="H261" s="119"/>
      <c r="I261" s="144"/>
      <c r="J261" s="144"/>
      <c r="K261" s="144"/>
      <c r="L261" s="86"/>
      <c r="M261" s="86"/>
      <c r="N261" s="316"/>
      <c r="O261" s="86"/>
      <c r="P261" s="86"/>
      <c r="Q261" s="86"/>
      <c r="R261" s="86"/>
      <c r="S261" s="86"/>
      <c r="T261" s="86"/>
      <c r="U261" s="110"/>
      <c r="V261" s="110"/>
      <c r="W261" s="110"/>
      <c r="X261" s="110"/>
      <c r="Y261" s="110"/>
      <c r="Z261" s="104"/>
      <c r="AA261" s="104"/>
    </row>
    <row r="262" spans="1:28" x14ac:dyDescent="0.2">
      <c r="A262" s="113"/>
      <c r="B262" s="141"/>
      <c r="C262" s="141"/>
      <c r="D262" s="137"/>
      <c r="E262" s="137"/>
      <c r="F262" s="138"/>
      <c r="G262" s="138"/>
      <c r="H262" s="112"/>
      <c r="I262" s="144"/>
      <c r="J262" s="144"/>
      <c r="K262" s="144"/>
      <c r="L262" s="86"/>
      <c r="M262" s="86"/>
      <c r="N262" s="316"/>
      <c r="O262" s="86"/>
      <c r="P262" s="86"/>
      <c r="Q262" s="86"/>
      <c r="R262" s="86"/>
      <c r="S262" s="86"/>
      <c r="T262" s="86"/>
      <c r="U262" s="110"/>
      <c r="V262" s="110"/>
      <c r="W262" s="110"/>
      <c r="X262" s="110"/>
      <c r="Y262" s="110"/>
      <c r="Z262" s="104"/>
      <c r="AA262" s="104"/>
    </row>
    <row r="263" spans="1:28" x14ac:dyDescent="0.2">
      <c r="A263" s="121"/>
      <c r="B263" s="139"/>
      <c r="C263" s="139"/>
      <c r="D263" s="140"/>
      <c r="E263" s="139"/>
      <c r="F263" s="139"/>
      <c r="G263" s="139"/>
      <c r="H263" s="121"/>
      <c r="I263" s="143"/>
      <c r="J263" s="143"/>
      <c r="K263" s="143"/>
      <c r="L263" s="106"/>
      <c r="M263" s="106"/>
      <c r="N263" s="315"/>
      <c r="O263" s="106"/>
      <c r="P263" s="106"/>
      <c r="Q263" s="106"/>
      <c r="R263" s="106"/>
      <c r="S263" s="106"/>
      <c r="T263" s="106"/>
      <c r="U263" s="107"/>
      <c r="V263" s="114"/>
      <c r="W263" s="107"/>
      <c r="X263" s="107"/>
      <c r="Y263" s="107"/>
      <c r="Z263" s="104"/>
      <c r="AA263" s="104"/>
    </row>
    <row r="264" spans="1:28" x14ac:dyDescent="0.2">
      <c r="A264" s="119"/>
      <c r="B264" s="136"/>
      <c r="C264" s="136"/>
      <c r="D264" s="136"/>
      <c r="E264" s="136"/>
      <c r="F264" s="136"/>
      <c r="G264" s="136"/>
      <c r="H264" s="119"/>
      <c r="I264" s="144"/>
      <c r="J264" s="144"/>
      <c r="K264" s="144"/>
      <c r="L264" s="86"/>
      <c r="M264" s="86"/>
      <c r="N264" s="316"/>
      <c r="O264" s="86"/>
      <c r="P264" s="86"/>
      <c r="Q264" s="86"/>
      <c r="R264" s="86"/>
      <c r="S264" s="86"/>
      <c r="T264" s="86"/>
      <c r="U264" s="110"/>
      <c r="V264" s="115"/>
      <c r="W264" s="110"/>
      <c r="X264" s="110"/>
      <c r="Y264" s="110"/>
      <c r="Z264" s="104"/>
      <c r="AA264" s="104"/>
    </row>
    <row r="265" spans="1:28" x14ac:dyDescent="0.2">
      <c r="A265" s="113"/>
      <c r="B265" s="141"/>
      <c r="C265" s="141"/>
      <c r="D265" s="137"/>
      <c r="E265" s="137"/>
      <c r="F265" s="138"/>
      <c r="G265" s="138"/>
      <c r="H265" s="112"/>
      <c r="I265" s="144"/>
      <c r="J265" s="144"/>
      <c r="K265" s="144"/>
      <c r="L265" s="86"/>
      <c r="M265" s="86"/>
      <c r="N265" s="316"/>
      <c r="O265" s="86"/>
      <c r="P265" s="86"/>
      <c r="Q265" s="86"/>
      <c r="R265" s="86"/>
      <c r="S265" s="86"/>
      <c r="T265" s="86"/>
      <c r="U265" s="110"/>
      <c r="V265" s="115"/>
      <c r="W265" s="110"/>
      <c r="X265" s="110"/>
      <c r="Y265" s="110"/>
      <c r="Z265" s="104"/>
      <c r="AA265" s="104"/>
    </row>
    <row r="266" spans="1:28" x14ac:dyDescent="0.2">
      <c r="A266" s="121"/>
      <c r="B266" s="139"/>
      <c r="C266" s="139"/>
      <c r="D266" s="140"/>
      <c r="E266" s="139"/>
      <c r="F266" s="139"/>
      <c r="G266" s="139"/>
      <c r="H266" s="121"/>
      <c r="I266" s="143"/>
      <c r="J266" s="143"/>
      <c r="K266" s="143"/>
      <c r="L266" s="106"/>
      <c r="M266" s="106"/>
      <c r="N266" s="315"/>
      <c r="O266" s="106"/>
      <c r="P266" s="106"/>
      <c r="Q266" s="106"/>
      <c r="R266" s="106"/>
      <c r="S266" s="107"/>
      <c r="T266" s="108"/>
      <c r="U266" s="106"/>
      <c r="V266" s="106"/>
      <c r="W266" s="107"/>
      <c r="X266" s="107"/>
      <c r="Y266" s="107"/>
      <c r="Z266" s="104"/>
      <c r="AA266" s="104"/>
    </row>
    <row r="267" spans="1:28" x14ac:dyDescent="0.2">
      <c r="A267" s="119"/>
      <c r="B267" s="136"/>
      <c r="C267" s="136"/>
      <c r="D267" s="136"/>
      <c r="E267" s="136"/>
      <c r="F267" s="136"/>
      <c r="G267" s="136"/>
      <c r="H267" s="119"/>
      <c r="I267" s="144"/>
      <c r="J267" s="144"/>
      <c r="K267" s="144"/>
      <c r="L267" s="86"/>
      <c r="M267" s="86"/>
      <c r="N267" s="316"/>
      <c r="O267" s="86"/>
      <c r="P267" s="86"/>
      <c r="Q267" s="86"/>
      <c r="R267" s="86"/>
      <c r="S267" s="110"/>
      <c r="T267" s="111"/>
      <c r="U267" s="86"/>
      <c r="V267" s="86"/>
      <c r="W267" s="110"/>
      <c r="X267" s="110"/>
      <c r="Y267" s="110"/>
      <c r="Z267" s="104"/>
      <c r="AA267" s="104"/>
    </row>
    <row r="268" spans="1:28" x14ac:dyDescent="0.2">
      <c r="A268" s="119"/>
      <c r="B268" s="136"/>
      <c r="C268" s="136"/>
      <c r="D268" s="137"/>
      <c r="E268" s="137"/>
      <c r="F268" s="138"/>
      <c r="G268" s="138"/>
      <c r="H268" s="112"/>
      <c r="I268" s="144"/>
      <c r="J268" s="144"/>
      <c r="K268" s="144"/>
      <c r="L268" s="86"/>
      <c r="M268" s="86"/>
      <c r="N268" s="316"/>
      <c r="O268" s="86"/>
      <c r="P268" s="86"/>
      <c r="Q268" s="86"/>
      <c r="R268" s="86"/>
      <c r="S268" s="110"/>
      <c r="T268" s="111"/>
      <c r="U268" s="86"/>
      <c r="V268" s="86"/>
      <c r="W268" s="110"/>
      <c r="X268" s="110"/>
      <c r="Y268" s="110"/>
      <c r="Z268" s="104"/>
      <c r="AA268" s="104"/>
    </row>
    <row r="269" spans="1:28" x14ac:dyDescent="0.2">
      <c r="A269" s="121"/>
      <c r="B269" s="139"/>
      <c r="C269" s="139"/>
      <c r="D269" s="139"/>
      <c r="E269" s="139"/>
      <c r="F269" s="139"/>
      <c r="G269" s="139"/>
      <c r="H269" s="121"/>
      <c r="I269" s="143"/>
      <c r="J269" s="143"/>
      <c r="K269" s="143"/>
      <c r="L269" s="106"/>
      <c r="M269" s="106"/>
      <c r="N269" s="315"/>
      <c r="O269" s="106"/>
      <c r="P269" s="106"/>
      <c r="Q269" s="106"/>
      <c r="R269" s="106"/>
      <c r="S269" s="106"/>
      <c r="T269" s="106"/>
      <c r="U269" s="107"/>
      <c r="V269" s="114"/>
      <c r="W269" s="107"/>
      <c r="X269" s="107"/>
      <c r="Y269" s="109"/>
      <c r="AB269" s="103"/>
    </row>
    <row r="270" spans="1:28" x14ac:dyDescent="0.2">
      <c r="A270" s="121"/>
      <c r="B270" s="139"/>
      <c r="C270" s="139"/>
      <c r="D270" s="140"/>
      <c r="E270" s="139"/>
      <c r="F270" s="139"/>
      <c r="G270" s="139"/>
      <c r="H270" s="121"/>
      <c r="I270" s="143"/>
      <c r="J270" s="143"/>
      <c r="K270" s="143"/>
      <c r="L270" s="106"/>
      <c r="M270" s="106"/>
      <c r="N270" s="315"/>
      <c r="O270" s="106"/>
      <c r="P270" s="106"/>
      <c r="Q270" s="106"/>
      <c r="R270" s="106"/>
      <c r="S270" s="106"/>
      <c r="T270" s="106"/>
      <c r="U270" s="107"/>
      <c r="V270" s="114"/>
      <c r="W270" s="107"/>
      <c r="X270" s="107"/>
      <c r="Y270" s="107"/>
      <c r="Z270" s="104"/>
      <c r="AA270" s="104"/>
    </row>
    <row r="271" spans="1:28" x14ac:dyDescent="0.2">
      <c r="A271" s="119"/>
      <c r="B271" s="136"/>
      <c r="C271" s="136"/>
      <c r="D271" s="136"/>
      <c r="E271" s="136"/>
      <c r="F271" s="136"/>
      <c r="G271" s="136"/>
      <c r="H271" s="119"/>
      <c r="I271" s="144"/>
      <c r="J271" s="144"/>
      <c r="K271" s="144"/>
      <c r="L271" s="86"/>
      <c r="M271" s="86"/>
      <c r="N271" s="316"/>
      <c r="O271" s="86"/>
      <c r="P271" s="86"/>
      <c r="Q271" s="86"/>
      <c r="R271" s="86"/>
      <c r="S271" s="86"/>
      <c r="T271" s="86"/>
      <c r="U271" s="110"/>
      <c r="V271" s="115"/>
      <c r="W271" s="110"/>
      <c r="X271" s="110"/>
      <c r="Y271" s="110"/>
      <c r="Z271" s="104"/>
      <c r="AA271" s="104"/>
    </row>
    <row r="272" spans="1:28" x14ac:dyDescent="0.2">
      <c r="A272" s="113"/>
      <c r="B272" s="141"/>
      <c r="C272" s="141"/>
      <c r="D272" s="138"/>
      <c r="E272" s="137"/>
      <c r="F272" s="138"/>
      <c r="G272" s="138"/>
      <c r="H272" s="112"/>
      <c r="I272" s="144"/>
      <c r="J272" s="144"/>
      <c r="K272" s="144"/>
      <c r="L272" s="86"/>
      <c r="M272" s="86"/>
      <c r="N272" s="316"/>
      <c r="O272" s="86"/>
      <c r="P272" s="86"/>
      <c r="Q272" s="86"/>
      <c r="R272" s="86"/>
      <c r="S272" s="86"/>
      <c r="T272" s="86"/>
      <c r="U272" s="110"/>
      <c r="V272" s="115"/>
      <c r="W272" s="110"/>
      <c r="X272" s="110"/>
      <c r="Y272" s="110"/>
      <c r="Z272" s="104"/>
      <c r="AA272" s="104"/>
    </row>
    <row r="273" spans="1:28" x14ac:dyDescent="0.2">
      <c r="A273" s="121"/>
      <c r="B273" s="139"/>
      <c r="C273" s="139"/>
      <c r="D273" s="139"/>
      <c r="E273" s="139"/>
      <c r="F273" s="139"/>
      <c r="G273" s="139"/>
      <c r="H273" s="121"/>
      <c r="I273" s="143"/>
      <c r="J273" s="143"/>
      <c r="K273" s="143"/>
      <c r="L273" s="106"/>
      <c r="M273" s="106"/>
      <c r="N273" s="315"/>
      <c r="O273" s="106"/>
      <c r="P273" s="106"/>
      <c r="Q273" s="106"/>
      <c r="R273" s="106"/>
      <c r="S273" s="106"/>
      <c r="T273" s="106"/>
      <c r="U273" s="107"/>
      <c r="V273" s="114"/>
      <c r="W273" s="107"/>
      <c r="X273" s="107"/>
      <c r="Y273" s="109"/>
      <c r="AB273" s="103"/>
    </row>
    <row r="274" spans="1:28" x14ac:dyDescent="0.2">
      <c r="A274" s="121"/>
      <c r="B274" s="139"/>
      <c r="C274" s="139"/>
      <c r="D274" s="140"/>
      <c r="E274" s="139"/>
      <c r="F274" s="139"/>
      <c r="G274" s="139"/>
      <c r="H274" s="121"/>
      <c r="I274" s="143"/>
      <c r="J274" s="143"/>
      <c r="K274" s="143"/>
      <c r="L274" s="106"/>
      <c r="M274" s="106"/>
      <c r="N274" s="315"/>
      <c r="O274" s="106"/>
      <c r="P274" s="106"/>
      <c r="Q274" s="106"/>
      <c r="R274" s="106"/>
      <c r="S274" s="106"/>
      <c r="T274" s="106"/>
      <c r="U274" s="107"/>
      <c r="V274" s="114"/>
      <c r="W274" s="107"/>
      <c r="X274" s="107"/>
      <c r="Y274" s="107"/>
      <c r="Z274" s="104"/>
      <c r="AA274" s="104"/>
    </row>
    <row r="275" spans="1:28" x14ac:dyDescent="0.2">
      <c r="A275" s="119"/>
      <c r="B275" s="136"/>
      <c r="C275" s="136"/>
      <c r="D275" s="136"/>
      <c r="E275" s="136"/>
      <c r="F275" s="136"/>
      <c r="G275" s="136"/>
      <c r="H275" s="119"/>
      <c r="I275" s="144"/>
      <c r="J275" s="144"/>
      <c r="K275" s="144"/>
      <c r="L275" s="86"/>
      <c r="M275" s="86"/>
      <c r="N275" s="316"/>
      <c r="O275" s="86"/>
      <c r="P275" s="86"/>
      <c r="Q275" s="86"/>
      <c r="R275" s="86"/>
      <c r="S275" s="86"/>
      <c r="T275" s="86"/>
      <c r="U275" s="110"/>
      <c r="V275" s="115"/>
      <c r="W275" s="110"/>
      <c r="X275" s="110"/>
      <c r="Y275" s="110"/>
      <c r="Z275" s="104"/>
      <c r="AA275" s="104"/>
    </row>
    <row r="276" spans="1:28" x14ac:dyDescent="0.2">
      <c r="A276" s="113"/>
      <c r="B276" s="141"/>
      <c r="C276" s="141"/>
      <c r="D276" s="137"/>
      <c r="E276" s="137"/>
      <c r="F276" s="138"/>
      <c r="G276" s="138"/>
      <c r="H276" s="112"/>
      <c r="I276" s="144"/>
      <c r="J276" s="144"/>
      <c r="K276" s="144"/>
      <c r="L276" s="86"/>
      <c r="M276" s="86"/>
      <c r="N276" s="316"/>
      <c r="O276" s="86"/>
      <c r="P276" s="86"/>
      <c r="Q276" s="86"/>
      <c r="R276" s="86"/>
      <c r="S276" s="86"/>
      <c r="T276" s="86"/>
      <c r="U276" s="110"/>
      <c r="V276" s="115"/>
      <c r="W276" s="110"/>
      <c r="X276" s="110"/>
      <c r="Y276" s="110"/>
      <c r="Z276" s="104"/>
      <c r="AA276" s="104"/>
    </row>
    <row r="277" spans="1:28" x14ac:dyDescent="0.2">
      <c r="A277" s="121"/>
      <c r="B277" s="139"/>
      <c r="C277" s="139"/>
      <c r="D277" s="139"/>
      <c r="E277" s="139"/>
      <c r="F277" s="139"/>
      <c r="G277" s="139"/>
      <c r="H277" s="121"/>
      <c r="I277" s="143"/>
      <c r="J277" s="143"/>
      <c r="K277" s="143"/>
      <c r="L277" s="106"/>
      <c r="M277" s="106"/>
      <c r="N277" s="315"/>
      <c r="O277" s="106"/>
      <c r="P277" s="106"/>
      <c r="Q277" s="106"/>
      <c r="R277" s="106"/>
      <c r="S277" s="106"/>
      <c r="T277" s="106"/>
      <c r="U277" s="107"/>
      <c r="V277" s="114"/>
      <c r="W277" s="107"/>
      <c r="X277" s="107"/>
      <c r="Y277" s="109"/>
      <c r="AB277" s="103"/>
    </row>
    <row r="278" spans="1:28" x14ac:dyDescent="0.2">
      <c r="A278" s="121"/>
      <c r="B278" s="139"/>
      <c r="C278" s="139"/>
      <c r="D278" s="140"/>
      <c r="E278" s="139"/>
      <c r="F278" s="139"/>
      <c r="G278" s="139"/>
      <c r="H278" s="121"/>
      <c r="I278" s="143"/>
      <c r="J278" s="143"/>
      <c r="K278" s="143"/>
      <c r="L278" s="106"/>
      <c r="M278" s="106"/>
      <c r="N278" s="315"/>
      <c r="O278" s="106"/>
      <c r="P278" s="106"/>
      <c r="Q278" s="106"/>
      <c r="R278" s="106"/>
      <c r="S278" s="106"/>
      <c r="T278" s="106"/>
      <c r="U278" s="107"/>
      <c r="V278" s="114"/>
      <c r="W278" s="107"/>
      <c r="X278" s="107"/>
      <c r="Y278" s="107"/>
      <c r="Z278" s="104"/>
      <c r="AA278" s="104"/>
    </row>
    <row r="279" spans="1:28" x14ac:dyDescent="0.2">
      <c r="A279" s="119"/>
      <c r="B279" s="136"/>
      <c r="C279" s="136"/>
      <c r="D279" s="136"/>
      <c r="E279" s="136"/>
      <c r="F279" s="136"/>
      <c r="G279" s="136"/>
      <c r="H279" s="119"/>
      <c r="I279" s="144"/>
      <c r="J279" s="144"/>
      <c r="K279" s="144"/>
      <c r="L279" s="86"/>
      <c r="M279" s="86"/>
      <c r="N279" s="316"/>
      <c r="O279" s="86"/>
      <c r="P279" s="86"/>
      <c r="Q279" s="86"/>
      <c r="R279" s="86"/>
      <c r="S279" s="86"/>
      <c r="T279" s="86"/>
      <c r="U279" s="110"/>
      <c r="V279" s="115"/>
      <c r="W279" s="110"/>
      <c r="X279" s="110"/>
      <c r="Y279" s="110"/>
      <c r="Z279" s="104"/>
      <c r="AA279" s="104"/>
    </row>
    <row r="280" spans="1:28" x14ac:dyDescent="0.2">
      <c r="A280" s="113"/>
      <c r="B280" s="141"/>
      <c r="C280" s="141"/>
      <c r="D280" s="137"/>
      <c r="E280" s="137"/>
      <c r="F280" s="138"/>
      <c r="G280" s="138"/>
      <c r="H280" s="112"/>
      <c r="I280" s="144"/>
      <c r="J280" s="144"/>
      <c r="K280" s="144"/>
      <c r="L280" s="86"/>
      <c r="M280" s="86"/>
      <c r="N280" s="316"/>
      <c r="O280" s="86"/>
      <c r="P280" s="86"/>
      <c r="Q280" s="86"/>
      <c r="R280" s="86"/>
      <c r="S280" s="86"/>
      <c r="T280" s="86"/>
      <c r="U280" s="110"/>
      <c r="V280" s="115"/>
      <c r="W280" s="110"/>
      <c r="X280" s="110"/>
      <c r="Y280" s="110"/>
      <c r="Z280" s="104"/>
      <c r="AA280" s="104"/>
    </row>
    <row r="281" spans="1:28" x14ac:dyDescent="0.2">
      <c r="A281" s="121"/>
      <c r="B281" s="139"/>
      <c r="C281" s="139"/>
      <c r="D281" s="139"/>
      <c r="E281" s="139"/>
      <c r="F281" s="139"/>
      <c r="G281" s="139"/>
      <c r="H281" s="121"/>
      <c r="I281" s="143"/>
      <c r="J281" s="143"/>
      <c r="K281" s="143"/>
      <c r="L281" s="106"/>
      <c r="M281" s="106"/>
      <c r="N281" s="315"/>
      <c r="O281" s="106"/>
      <c r="P281" s="106"/>
      <c r="Q281" s="106"/>
      <c r="R281" s="106"/>
      <c r="S281" s="106"/>
      <c r="T281" s="106"/>
      <c r="U281" s="107"/>
      <c r="V281" s="107"/>
      <c r="W281" s="107"/>
      <c r="X281" s="107"/>
      <c r="Y281" s="109"/>
      <c r="AB281" s="103"/>
    </row>
    <row r="282" spans="1:28" x14ac:dyDescent="0.2">
      <c r="A282" s="121"/>
      <c r="B282" s="139"/>
      <c r="C282" s="139"/>
      <c r="D282" s="140"/>
      <c r="E282" s="139"/>
      <c r="F282" s="139"/>
      <c r="G282" s="139"/>
      <c r="H282" s="121"/>
      <c r="I282" s="143"/>
      <c r="J282" s="143"/>
      <c r="K282" s="143"/>
      <c r="L282" s="106"/>
      <c r="M282" s="106"/>
      <c r="N282" s="315"/>
      <c r="O282" s="106"/>
      <c r="P282" s="106"/>
      <c r="Q282" s="106"/>
      <c r="R282" s="106"/>
      <c r="S282" s="106"/>
      <c r="T282" s="106"/>
      <c r="U282" s="107"/>
      <c r="V282" s="114"/>
      <c r="W282" s="107"/>
      <c r="X282" s="107"/>
      <c r="Y282" s="107"/>
      <c r="Z282" s="104"/>
      <c r="AA282" s="104"/>
    </row>
    <row r="283" spans="1:28" x14ac:dyDescent="0.2">
      <c r="A283" s="119"/>
      <c r="B283" s="136"/>
      <c r="C283" s="136"/>
      <c r="D283" s="136"/>
      <c r="E283" s="136"/>
      <c r="F283" s="136"/>
      <c r="G283" s="136"/>
      <c r="H283" s="119"/>
      <c r="I283" s="144"/>
      <c r="J283" s="144"/>
      <c r="K283" s="144"/>
      <c r="L283" s="86"/>
      <c r="M283" s="86"/>
      <c r="N283" s="316"/>
      <c r="O283" s="86"/>
      <c r="P283" s="86"/>
      <c r="Q283" s="86"/>
      <c r="R283" s="86"/>
      <c r="S283" s="86"/>
      <c r="T283" s="86"/>
      <c r="U283" s="110"/>
      <c r="V283" s="115"/>
      <c r="W283" s="110"/>
      <c r="X283" s="110"/>
      <c r="Y283" s="110"/>
      <c r="Z283" s="104"/>
      <c r="AA283" s="104"/>
    </row>
    <row r="284" spans="1:28" x14ac:dyDescent="0.2">
      <c r="A284" s="113"/>
      <c r="B284" s="141"/>
      <c r="C284" s="141"/>
      <c r="D284" s="137"/>
      <c r="E284" s="137"/>
      <c r="F284" s="138"/>
      <c r="G284" s="138"/>
      <c r="H284" s="112"/>
      <c r="I284" s="144"/>
      <c r="J284" s="144"/>
      <c r="K284" s="144"/>
      <c r="L284" s="86"/>
      <c r="M284" s="86"/>
      <c r="N284" s="316"/>
      <c r="O284" s="86"/>
      <c r="P284" s="86"/>
      <c r="Q284" s="86"/>
      <c r="R284" s="86"/>
      <c r="S284" s="86"/>
      <c r="T284" s="86"/>
      <c r="U284" s="110"/>
      <c r="V284" s="115"/>
      <c r="W284" s="110"/>
      <c r="X284" s="110"/>
      <c r="Y284" s="110"/>
      <c r="Z284" s="104"/>
      <c r="AA284" s="104"/>
    </row>
    <row r="285" spans="1:28" x14ac:dyDescent="0.2">
      <c r="A285" s="121"/>
      <c r="B285" s="139"/>
      <c r="C285" s="139"/>
      <c r="D285" s="140"/>
      <c r="E285" s="139"/>
      <c r="F285" s="139"/>
      <c r="G285" s="139"/>
      <c r="H285" s="121"/>
      <c r="I285" s="143"/>
      <c r="J285" s="143"/>
      <c r="K285" s="143"/>
      <c r="L285" s="106"/>
      <c r="M285" s="106"/>
      <c r="N285" s="315"/>
      <c r="O285" s="106"/>
      <c r="P285" s="106"/>
      <c r="Q285" s="106"/>
      <c r="R285" s="106"/>
      <c r="S285" s="106"/>
      <c r="T285" s="106"/>
      <c r="U285" s="107"/>
      <c r="V285" s="114"/>
      <c r="W285" s="107"/>
      <c r="X285" s="107"/>
      <c r="Y285" s="107"/>
      <c r="Z285" s="104"/>
      <c r="AA285" s="104"/>
    </row>
    <row r="286" spans="1:28" x14ac:dyDescent="0.2">
      <c r="A286" s="119"/>
      <c r="B286" s="136"/>
      <c r="C286" s="136"/>
      <c r="D286" s="136"/>
      <c r="E286" s="136"/>
      <c r="F286" s="136"/>
      <c r="G286" s="136"/>
      <c r="H286" s="119"/>
      <c r="I286" s="144"/>
      <c r="J286" s="144"/>
      <c r="K286" s="144"/>
      <c r="L286" s="86"/>
      <c r="M286" s="86"/>
      <c r="N286" s="316"/>
      <c r="O286" s="86"/>
      <c r="P286" s="86"/>
      <c r="Q286" s="86"/>
      <c r="R286" s="86"/>
      <c r="S286" s="86"/>
      <c r="T286" s="86"/>
      <c r="U286" s="110"/>
      <c r="V286" s="115"/>
      <c r="W286" s="110"/>
      <c r="X286" s="110"/>
      <c r="Y286" s="110"/>
      <c r="Z286" s="104"/>
      <c r="AA286" s="104"/>
    </row>
    <row r="287" spans="1:28" x14ac:dyDescent="0.2">
      <c r="A287" s="113"/>
      <c r="B287" s="141"/>
      <c r="C287" s="141"/>
      <c r="D287" s="137"/>
      <c r="E287" s="137"/>
      <c r="F287" s="138"/>
      <c r="G287" s="138"/>
      <c r="H287" s="112"/>
      <c r="I287" s="144"/>
      <c r="J287" s="144"/>
      <c r="K287" s="144"/>
      <c r="L287" s="86"/>
      <c r="M287" s="86"/>
      <c r="N287" s="316"/>
      <c r="O287" s="86"/>
      <c r="P287" s="86"/>
      <c r="Q287" s="86"/>
      <c r="R287" s="86"/>
      <c r="S287" s="86"/>
      <c r="T287" s="86"/>
      <c r="U287" s="110"/>
      <c r="V287" s="115"/>
      <c r="W287" s="110"/>
      <c r="X287" s="110"/>
      <c r="Y287" s="110"/>
      <c r="Z287" s="104"/>
      <c r="AA287" s="104"/>
    </row>
    <row r="288" spans="1:28" x14ac:dyDescent="0.2">
      <c r="A288" s="121"/>
      <c r="B288" s="139"/>
      <c r="C288" s="139"/>
      <c r="D288" s="140"/>
      <c r="E288" s="139"/>
      <c r="F288" s="139"/>
      <c r="G288" s="139"/>
      <c r="H288" s="121"/>
      <c r="I288" s="143"/>
      <c r="J288" s="143"/>
      <c r="K288" s="143"/>
      <c r="L288" s="106"/>
      <c r="M288" s="106"/>
      <c r="N288" s="315"/>
      <c r="O288" s="106"/>
      <c r="P288" s="106"/>
      <c r="Q288" s="106"/>
      <c r="R288" s="106"/>
      <c r="S288" s="106"/>
      <c r="T288" s="106"/>
      <c r="U288" s="107"/>
      <c r="V288" s="114"/>
      <c r="W288" s="107"/>
      <c r="X288" s="107"/>
      <c r="Y288" s="107"/>
      <c r="Z288" s="104"/>
      <c r="AA288" s="104"/>
    </row>
    <row r="289" spans="1:28" x14ac:dyDescent="0.2">
      <c r="A289" s="119"/>
      <c r="B289" s="136"/>
      <c r="C289" s="136"/>
      <c r="D289" s="136"/>
      <c r="E289" s="136"/>
      <c r="F289" s="136"/>
      <c r="G289" s="136"/>
      <c r="H289" s="119"/>
      <c r="I289" s="144"/>
      <c r="J289" s="144"/>
      <c r="K289" s="144"/>
      <c r="L289" s="86"/>
      <c r="M289" s="86"/>
      <c r="N289" s="316"/>
      <c r="O289" s="86"/>
      <c r="P289" s="86"/>
      <c r="Q289" s="86"/>
      <c r="R289" s="86"/>
      <c r="S289" s="86"/>
      <c r="T289" s="86"/>
      <c r="U289" s="110"/>
      <c r="V289" s="115"/>
      <c r="W289" s="110"/>
      <c r="X289" s="110"/>
      <c r="Y289" s="110"/>
      <c r="Z289" s="104"/>
      <c r="AA289" s="104"/>
    </row>
    <row r="290" spans="1:28" x14ac:dyDescent="0.2">
      <c r="A290" s="113"/>
      <c r="B290" s="141"/>
      <c r="C290" s="141"/>
      <c r="D290" s="137"/>
      <c r="E290" s="137"/>
      <c r="F290" s="138"/>
      <c r="G290" s="138"/>
      <c r="H290" s="112"/>
      <c r="I290" s="144"/>
      <c r="J290" s="144"/>
      <c r="K290" s="144"/>
      <c r="L290" s="86"/>
      <c r="M290" s="86"/>
      <c r="N290" s="316"/>
      <c r="O290" s="86"/>
      <c r="P290" s="86"/>
      <c r="Q290" s="86"/>
      <c r="R290" s="86"/>
      <c r="S290" s="86"/>
      <c r="T290" s="86"/>
      <c r="U290" s="110"/>
      <c r="V290" s="115"/>
      <c r="W290" s="110"/>
      <c r="X290" s="110"/>
      <c r="Y290" s="110"/>
      <c r="Z290" s="104"/>
      <c r="AA290" s="104"/>
    </row>
    <row r="291" spans="1:28" x14ac:dyDescent="0.2">
      <c r="A291" s="121"/>
      <c r="B291" s="139"/>
      <c r="C291" s="139"/>
      <c r="D291" s="139"/>
      <c r="E291" s="139"/>
      <c r="F291" s="139"/>
      <c r="G291" s="139"/>
      <c r="H291" s="121"/>
      <c r="I291" s="143"/>
      <c r="J291" s="143"/>
      <c r="K291" s="143"/>
      <c r="L291" s="106"/>
      <c r="M291" s="106"/>
      <c r="N291" s="315"/>
      <c r="O291" s="106"/>
      <c r="P291" s="106"/>
      <c r="Q291" s="106"/>
      <c r="R291" s="106"/>
      <c r="S291" s="107"/>
      <c r="T291" s="108"/>
      <c r="U291" s="107"/>
      <c r="V291" s="114"/>
      <c r="W291" s="107"/>
      <c r="X291" s="107"/>
      <c r="Y291" s="109"/>
      <c r="AB291" s="103"/>
    </row>
    <row r="292" spans="1:28" x14ac:dyDescent="0.2">
      <c r="A292" s="121"/>
      <c r="B292" s="139"/>
      <c r="C292" s="139"/>
      <c r="D292" s="140"/>
      <c r="E292" s="139"/>
      <c r="F292" s="139"/>
      <c r="G292" s="139"/>
      <c r="H292" s="121"/>
      <c r="I292" s="143"/>
      <c r="J292" s="143"/>
      <c r="K292" s="143"/>
      <c r="L292" s="106"/>
      <c r="M292" s="106"/>
      <c r="N292" s="315"/>
      <c r="O292" s="106"/>
      <c r="P292" s="106"/>
      <c r="Q292" s="106"/>
      <c r="R292" s="106"/>
      <c r="S292" s="106"/>
      <c r="T292" s="106"/>
      <c r="U292" s="107"/>
      <c r="V292" s="114"/>
      <c r="W292" s="107"/>
      <c r="X292" s="107"/>
      <c r="Y292" s="107"/>
      <c r="Z292" s="104"/>
      <c r="AA292" s="104"/>
    </row>
    <row r="293" spans="1:28" x14ac:dyDescent="0.2">
      <c r="A293" s="119"/>
      <c r="B293" s="136"/>
      <c r="C293" s="136"/>
      <c r="D293" s="136"/>
      <c r="E293" s="136"/>
      <c r="F293" s="136"/>
      <c r="G293" s="136"/>
      <c r="H293" s="119"/>
      <c r="I293" s="144"/>
      <c r="J293" s="144"/>
      <c r="K293" s="144"/>
      <c r="L293" s="86"/>
      <c r="M293" s="86"/>
      <c r="N293" s="316"/>
      <c r="O293" s="86"/>
      <c r="P293" s="86"/>
      <c r="Q293" s="86"/>
      <c r="R293" s="86"/>
      <c r="S293" s="86"/>
      <c r="T293" s="86"/>
      <c r="U293" s="110"/>
      <c r="V293" s="115"/>
      <c r="W293" s="110"/>
      <c r="X293" s="110"/>
      <c r="Y293" s="110"/>
      <c r="Z293" s="104"/>
      <c r="AA293" s="104"/>
    </row>
    <row r="294" spans="1:28" x14ac:dyDescent="0.2">
      <c r="A294" s="113"/>
      <c r="B294" s="141"/>
      <c r="C294" s="141"/>
      <c r="D294" s="137"/>
      <c r="E294" s="137"/>
      <c r="F294" s="138"/>
      <c r="G294" s="138"/>
      <c r="H294" s="112"/>
      <c r="I294" s="144"/>
      <c r="J294" s="144"/>
      <c r="K294" s="144"/>
      <c r="L294" s="86"/>
      <c r="M294" s="86"/>
      <c r="N294" s="316"/>
      <c r="O294" s="86"/>
      <c r="P294" s="86"/>
      <c r="Q294" s="86"/>
      <c r="R294" s="86"/>
      <c r="S294" s="86"/>
      <c r="T294" s="86"/>
      <c r="U294" s="110"/>
      <c r="V294" s="115"/>
      <c r="W294" s="110"/>
      <c r="X294" s="110"/>
      <c r="Y294" s="110"/>
      <c r="Z294" s="104"/>
      <c r="AA294" s="104"/>
    </row>
    <row r="295" spans="1:28" x14ac:dyDescent="0.2">
      <c r="A295" s="121"/>
      <c r="B295" s="139"/>
      <c r="C295" s="139"/>
      <c r="D295" s="140"/>
      <c r="E295" s="139"/>
      <c r="F295" s="139"/>
      <c r="G295" s="139"/>
      <c r="H295" s="121"/>
      <c r="I295" s="143"/>
      <c r="J295" s="143"/>
      <c r="K295" s="143"/>
      <c r="L295" s="106"/>
      <c r="M295" s="106"/>
      <c r="N295" s="315"/>
      <c r="O295" s="106"/>
      <c r="P295" s="106"/>
      <c r="Q295" s="106"/>
      <c r="R295" s="106"/>
      <c r="S295" s="107"/>
      <c r="T295" s="108"/>
      <c r="U295" s="106"/>
      <c r="V295" s="106"/>
      <c r="W295" s="107"/>
      <c r="X295" s="107"/>
      <c r="Y295" s="107"/>
      <c r="Z295" s="104"/>
      <c r="AA295" s="104"/>
    </row>
    <row r="296" spans="1:28" x14ac:dyDescent="0.2">
      <c r="A296" s="119"/>
      <c r="B296" s="136"/>
      <c r="C296" s="136"/>
      <c r="D296" s="136"/>
      <c r="E296" s="136"/>
      <c r="F296" s="136"/>
      <c r="G296" s="136"/>
      <c r="H296" s="119"/>
      <c r="I296" s="144"/>
      <c r="J296" s="144"/>
      <c r="K296" s="144"/>
      <c r="L296" s="86"/>
      <c r="M296" s="86"/>
      <c r="N296" s="316"/>
      <c r="O296" s="86"/>
      <c r="P296" s="86"/>
      <c r="Q296" s="86"/>
      <c r="R296" s="86"/>
      <c r="S296" s="110"/>
      <c r="T296" s="111"/>
      <c r="U296" s="86"/>
      <c r="V296" s="86"/>
      <c r="W296" s="110"/>
      <c r="X296" s="110"/>
      <c r="Y296" s="110"/>
      <c r="Z296" s="104"/>
      <c r="AA296" s="104"/>
    </row>
    <row r="297" spans="1:28" x14ac:dyDescent="0.2">
      <c r="A297" s="119"/>
      <c r="B297" s="136"/>
      <c r="C297" s="136"/>
      <c r="D297" s="137"/>
      <c r="E297" s="137"/>
      <c r="F297" s="138"/>
      <c r="G297" s="138"/>
      <c r="H297" s="112"/>
      <c r="I297" s="144"/>
      <c r="J297" s="144"/>
      <c r="K297" s="144"/>
      <c r="L297" s="86"/>
      <c r="M297" s="86"/>
      <c r="N297" s="316"/>
      <c r="O297" s="86"/>
      <c r="P297" s="86"/>
      <c r="Q297" s="86"/>
      <c r="R297" s="86"/>
      <c r="S297" s="110"/>
      <c r="T297" s="111"/>
      <c r="U297" s="86"/>
      <c r="V297" s="86"/>
      <c r="W297" s="110"/>
      <c r="X297" s="110"/>
      <c r="Y297" s="110"/>
      <c r="Z297" s="104"/>
      <c r="AA297" s="104"/>
    </row>
    <row r="298" spans="1:28" x14ac:dyDescent="0.2">
      <c r="A298" s="121"/>
      <c r="B298" s="139"/>
      <c r="C298" s="139"/>
      <c r="D298" s="139"/>
      <c r="E298" s="139"/>
      <c r="F298" s="139"/>
      <c r="G298" s="139"/>
      <c r="H298" s="121"/>
      <c r="I298" s="143"/>
      <c r="J298" s="143"/>
      <c r="K298" s="143"/>
      <c r="L298" s="106"/>
      <c r="M298" s="106"/>
      <c r="N298" s="315"/>
      <c r="O298" s="106"/>
      <c r="P298" s="106"/>
      <c r="Q298" s="106"/>
      <c r="R298" s="106"/>
      <c r="S298" s="107"/>
      <c r="T298" s="108"/>
      <c r="U298" s="107"/>
      <c r="V298" s="114"/>
      <c r="W298" s="107"/>
      <c r="X298" s="107"/>
      <c r="Y298" s="109"/>
      <c r="AB298" s="103"/>
    </row>
    <row r="299" spans="1:28" x14ac:dyDescent="0.2">
      <c r="A299" s="121"/>
      <c r="B299" s="139"/>
      <c r="C299" s="139"/>
      <c r="D299" s="140"/>
      <c r="E299" s="139"/>
      <c r="F299" s="139"/>
      <c r="G299" s="139"/>
      <c r="H299" s="121"/>
      <c r="I299" s="143"/>
      <c r="J299" s="143"/>
      <c r="K299" s="143"/>
      <c r="L299" s="106"/>
      <c r="M299" s="106"/>
      <c r="N299" s="315"/>
      <c r="O299" s="106"/>
      <c r="P299" s="106"/>
      <c r="Q299" s="106"/>
      <c r="R299" s="106"/>
      <c r="S299" s="106"/>
      <c r="T299" s="106"/>
      <c r="U299" s="107"/>
      <c r="V299" s="114"/>
      <c r="W299" s="107"/>
      <c r="X299" s="107"/>
      <c r="Y299" s="107"/>
      <c r="Z299" s="104"/>
      <c r="AA299" s="104"/>
    </row>
    <row r="300" spans="1:28" x14ac:dyDescent="0.2">
      <c r="A300" s="119"/>
      <c r="B300" s="136"/>
      <c r="C300" s="136"/>
      <c r="D300" s="136"/>
      <c r="E300" s="136"/>
      <c r="F300" s="136"/>
      <c r="G300" s="136"/>
      <c r="H300" s="119"/>
      <c r="I300" s="144"/>
      <c r="J300" s="144"/>
      <c r="K300" s="144"/>
      <c r="L300" s="86"/>
      <c r="M300" s="86"/>
      <c r="N300" s="316"/>
      <c r="O300" s="86"/>
      <c r="P300" s="86"/>
      <c r="Q300" s="86"/>
      <c r="R300" s="86"/>
      <c r="S300" s="86"/>
      <c r="T300" s="86"/>
      <c r="U300" s="110"/>
      <c r="V300" s="115"/>
      <c r="W300" s="110"/>
      <c r="X300" s="110"/>
      <c r="Y300" s="110"/>
      <c r="Z300" s="104"/>
      <c r="AA300" s="104"/>
    </row>
    <row r="301" spans="1:28" x14ac:dyDescent="0.2">
      <c r="A301" s="113"/>
      <c r="B301" s="141"/>
      <c r="C301" s="141"/>
      <c r="D301" s="137"/>
      <c r="E301" s="137"/>
      <c r="F301" s="138"/>
      <c r="G301" s="138"/>
      <c r="H301" s="112"/>
      <c r="I301" s="144"/>
      <c r="J301" s="144"/>
      <c r="K301" s="144"/>
      <c r="L301" s="86"/>
      <c r="M301" s="86"/>
      <c r="N301" s="316"/>
      <c r="O301" s="86"/>
      <c r="P301" s="86"/>
      <c r="Q301" s="86"/>
      <c r="R301" s="86"/>
      <c r="S301" s="86"/>
      <c r="T301" s="86"/>
      <c r="U301" s="110"/>
      <c r="V301" s="115"/>
      <c r="W301" s="110"/>
      <c r="X301" s="110"/>
      <c r="Y301" s="110"/>
      <c r="Z301" s="104"/>
      <c r="AA301" s="104"/>
    </row>
    <row r="302" spans="1:28" x14ac:dyDescent="0.2">
      <c r="A302" s="121"/>
      <c r="B302" s="139"/>
      <c r="C302" s="139"/>
      <c r="D302" s="140"/>
      <c r="E302" s="139"/>
      <c r="F302" s="139"/>
      <c r="G302" s="139"/>
      <c r="H302" s="122"/>
      <c r="I302" s="143"/>
      <c r="J302" s="143"/>
      <c r="K302" s="143"/>
      <c r="L302" s="106"/>
      <c r="M302" s="106"/>
      <c r="N302" s="315"/>
      <c r="O302" s="106"/>
      <c r="P302" s="106"/>
      <c r="Q302" s="106"/>
      <c r="R302" s="106"/>
      <c r="S302" s="107"/>
      <c r="T302" s="108"/>
      <c r="U302" s="106"/>
      <c r="V302" s="106"/>
      <c r="W302" s="107"/>
      <c r="X302" s="107"/>
      <c r="Y302" s="107"/>
      <c r="Z302" s="104"/>
      <c r="AA302" s="104"/>
    </row>
    <row r="303" spans="1:28" x14ac:dyDescent="0.2">
      <c r="A303" s="119"/>
      <c r="B303" s="136"/>
      <c r="C303" s="136"/>
      <c r="D303" s="136"/>
      <c r="E303" s="136"/>
      <c r="F303" s="136"/>
      <c r="G303" s="136"/>
      <c r="H303" s="119"/>
      <c r="I303" s="144"/>
      <c r="J303" s="144"/>
      <c r="K303" s="144"/>
      <c r="L303" s="86"/>
      <c r="M303" s="86"/>
      <c r="N303" s="316"/>
      <c r="O303" s="86"/>
      <c r="P303" s="86"/>
      <c r="Q303" s="86"/>
      <c r="R303" s="86"/>
      <c r="S303" s="110"/>
      <c r="T303" s="111"/>
      <c r="U303" s="86"/>
      <c r="V303" s="86"/>
      <c r="W303" s="110"/>
      <c r="X303" s="110"/>
      <c r="Y303" s="110"/>
      <c r="Z303" s="104"/>
      <c r="AA303" s="104"/>
    </row>
    <row r="304" spans="1:28" x14ac:dyDescent="0.2">
      <c r="A304" s="119"/>
      <c r="B304" s="136"/>
      <c r="C304" s="136"/>
      <c r="D304" s="137"/>
      <c r="E304" s="137"/>
      <c r="F304" s="138"/>
      <c r="G304" s="138"/>
      <c r="H304" s="116"/>
      <c r="I304" s="144"/>
      <c r="J304" s="144"/>
      <c r="K304" s="144"/>
      <c r="L304" s="86"/>
      <c r="M304" s="86"/>
      <c r="N304" s="316"/>
      <c r="O304" s="86"/>
      <c r="P304" s="86"/>
      <c r="Q304" s="86"/>
      <c r="R304" s="86"/>
      <c r="S304" s="110"/>
      <c r="T304" s="111"/>
      <c r="U304" s="86"/>
      <c r="V304" s="86"/>
      <c r="W304" s="110"/>
      <c r="X304" s="110"/>
      <c r="Y304" s="110"/>
      <c r="Z304" s="104"/>
      <c r="AA304" s="104"/>
    </row>
    <row r="305" spans="1:28" x14ac:dyDescent="0.2">
      <c r="A305" s="119"/>
      <c r="B305" s="136"/>
      <c r="C305" s="136"/>
      <c r="D305" s="136"/>
      <c r="E305" s="136"/>
      <c r="F305" s="136"/>
      <c r="G305" s="136"/>
      <c r="H305" s="119"/>
      <c r="I305" s="144"/>
      <c r="J305" s="144"/>
      <c r="K305" s="144"/>
      <c r="L305" s="86"/>
      <c r="M305" s="86"/>
      <c r="N305" s="316"/>
      <c r="O305" s="86"/>
      <c r="P305" s="86"/>
      <c r="Q305" s="86"/>
      <c r="R305" s="86"/>
      <c r="S305" s="115"/>
      <c r="T305" s="111"/>
      <c r="U305" s="86"/>
      <c r="V305" s="86"/>
      <c r="W305" s="115"/>
      <c r="X305" s="115"/>
      <c r="Y305" s="115"/>
      <c r="Z305" s="104"/>
      <c r="AA305" s="104"/>
    </row>
    <row r="306" spans="1:28" x14ac:dyDescent="0.2">
      <c r="A306" s="119"/>
      <c r="B306" s="136"/>
      <c r="C306" s="136"/>
      <c r="D306" s="137"/>
      <c r="E306" s="137"/>
      <c r="F306" s="138"/>
      <c r="G306" s="138"/>
      <c r="H306" s="116"/>
      <c r="I306" s="144"/>
      <c r="J306" s="144"/>
      <c r="K306" s="144"/>
      <c r="L306" s="86"/>
      <c r="M306" s="86"/>
      <c r="N306" s="316"/>
      <c r="O306" s="86"/>
      <c r="P306" s="86"/>
      <c r="Q306" s="86"/>
      <c r="R306" s="86"/>
      <c r="S306" s="115"/>
      <c r="T306" s="111"/>
      <c r="U306" s="86"/>
      <c r="V306" s="86"/>
      <c r="W306" s="115"/>
      <c r="X306" s="115"/>
      <c r="Y306" s="115"/>
      <c r="Z306" s="104"/>
      <c r="AA306" s="104"/>
    </row>
    <row r="307" spans="1:28" x14ac:dyDescent="0.2">
      <c r="A307" s="121"/>
      <c r="B307" s="139"/>
      <c r="C307" s="139"/>
      <c r="D307" s="139"/>
      <c r="E307" s="139"/>
      <c r="F307" s="139"/>
      <c r="G307" s="139"/>
      <c r="H307" s="121"/>
      <c r="I307" s="143"/>
      <c r="J307" s="143"/>
      <c r="K307" s="143"/>
      <c r="L307" s="106"/>
      <c r="M307" s="106"/>
      <c r="N307" s="315"/>
      <c r="O307" s="106"/>
      <c r="P307" s="106"/>
      <c r="Q307" s="106"/>
      <c r="R307" s="106"/>
      <c r="S307" s="106"/>
      <c r="T307" s="106"/>
      <c r="U307" s="107"/>
      <c r="V307" s="114"/>
      <c r="W307" s="107"/>
      <c r="X307" s="107"/>
      <c r="Y307" s="109"/>
      <c r="AB307" s="103"/>
    </row>
    <row r="308" spans="1:28" x14ac:dyDescent="0.2">
      <c r="A308" s="121"/>
      <c r="B308" s="139"/>
      <c r="C308" s="139"/>
      <c r="D308" s="140"/>
      <c r="E308" s="139"/>
      <c r="F308" s="139"/>
      <c r="G308" s="139"/>
      <c r="H308" s="121"/>
      <c r="I308" s="143"/>
      <c r="J308" s="143"/>
      <c r="K308" s="143"/>
      <c r="L308" s="106"/>
      <c r="M308" s="106"/>
      <c r="N308" s="315"/>
      <c r="O308" s="106"/>
      <c r="P308" s="106"/>
      <c r="Q308" s="106"/>
      <c r="R308" s="106"/>
      <c r="S308" s="106"/>
      <c r="T308" s="106"/>
      <c r="U308" s="107"/>
      <c r="V308" s="114"/>
      <c r="W308" s="107"/>
      <c r="X308" s="107"/>
      <c r="Y308" s="107"/>
      <c r="Z308" s="104"/>
      <c r="AA308" s="104"/>
    </row>
    <row r="309" spans="1:28" x14ac:dyDescent="0.2">
      <c r="A309" s="119"/>
      <c r="B309" s="136"/>
      <c r="C309" s="136"/>
      <c r="D309" s="136"/>
      <c r="E309" s="136"/>
      <c r="F309" s="136"/>
      <c r="G309" s="136"/>
      <c r="H309" s="119"/>
      <c r="I309" s="144"/>
      <c r="J309" s="144"/>
      <c r="K309" s="144"/>
      <c r="L309" s="86"/>
      <c r="M309" s="86"/>
      <c r="N309" s="316"/>
      <c r="O309" s="86"/>
      <c r="P309" s="86"/>
      <c r="Q309" s="86"/>
      <c r="R309" s="86"/>
      <c r="S309" s="86"/>
      <c r="T309" s="86"/>
      <c r="U309" s="110"/>
      <c r="V309" s="115"/>
      <c r="W309" s="110"/>
      <c r="X309" s="110"/>
      <c r="Y309" s="110"/>
      <c r="Z309" s="104"/>
      <c r="AA309" s="104"/>
    </row>
    <row r="310" spans="1:28" x14ac:dyDescent="0.2">
      <c r="A310" s="113"/>
      <c r="B310" s="141"/>
      <c r="C310" s="141"/>
      <c r="D310" s="138"/>
      <c r="E310" s="137"/>
      <c r="F310" s="138"/>
      <c r="G310" s="138"/>
      <c r="H310" s="112"/>
      <c r="I310" s="144"/>
      <c r="J310" s="144"/>
      <c r="K310" s="144"/>
      <c r="L310" s="86"/>
      <c r="M310" s="86"/>
      <c r="N310" s="316"/>
      <c r="O310" s="86"/>
      <c r="P310" s="86"/>
      <c r="Q310" s="86"/>
      <c r="R310" s="86"/>
      <c r="S310" s="86"/>
      <c r="T310" s="86"/>
      <c r="U310" s="110"/>
      <c r="V310" s="115"/>
      <c r="W310" s="110"/>
      <c r="X310" s="110"/>
      <c r="Y310" s="110"/>
      <c r="Z310" s="104"/>
      <c r="AA310" s="104"/>
    </row>
    <row r="311" spans="1:28" x14ac:dyDescent="0.2">
      <c r="A311" s="121"/>
      <c r="B311" s="139"/>
      <c r="C311" s="139"/>
      <c r="D311" s="139"/>
      <c r="E311" s="139"/>
      <c r="F311" s="139"/>
      <c r="G311" s="139"/>
      <c r="H311" s="121"/>
      <c r="I311" s="143"/>
      <c r="J311" s="143"/>
      <c r="K311" s="143"/>
      <c r="L311" s="106"/>
      <c r="M311" s="106"/>
      <c r="N311" s="315"/>
      <c r="O311" s="106"/>
      <c r="P311" s="106"/>
      <c r="Q311" s="106"/>
      <c r="R311" s="106"/>
      <c r="S311" s="106"/>
      <c r="T311" s="106"/>
      <c r="U311" s="107"/>
      <c r="V311" s="107"/>
      <c r="W311" s="107"/>
      <c r="X311" s="107"/>
      <c r="Y311" s="109"/>
      <c r="AB311" s="103"/>
    </row>
    <row r="312" spans="1:28" x14ac:dyDescent="0.2">
      <c r="A312" s="121"/>
      <c r="B312" s="139"/>
      <c r="C312" s="139"/>
      <c r="D312" s="140"/>
      <c r="E312" s="139"/>
      <c r="F312" s="139"/>
      <c r="G312" s="139"/>
      <c r="H312" s="121"/>
      <c r="I312" s="143"/>
      <c r="J312" s="143"/>
      <c r="K312" s="143"/>
      <c r="L312" s="106"/>
      <c r="M312" s="106"/>
      <c r="N312" s="315"/>
      <c r="O312" s="106"/>
      <c r="P312" s="106"/>
      <c r="Q312" s="106"/>
      <c r="R312" s="106"/>
      <c r="S312" s="106"/>
      <c r="T312" s="106"/>
      <c r="U312" s="107"/>
      <c r="V312" s="107"/>
      <c r="W312" s="107"/>
      <c r="X312" s="107"/>
      <c r="Y312" s="107"/>
      <c r="Z312" s="104"/>
      <c r="AA312" s="104"/>
    </row>
    <row r="313" spans="1:28" x14ac:dyDescent="0.2">
      <c r="A313" s="119"/>
      <c r="B313" s="136"/>
      <c r="C313" s="136"/>
      <c r="D313" s="136"/>
      <c r="E313" s="136"/>
      <c r="F313" s="136"/>
      <c r="G313" s="136"/>
      <c r="H313" s="119"/>
      <c r="I313" s="144"/>
      <c r="J313" s="144"/>
      <c r="K313" s="144"/>
      <c r="L313" s="86"/>
      <c r="M313" s="86"/>
      <c r="N313" s="316"/>
      <c r="O313" s="86"/>
      <c r="P313" s="86"/>
      <c r="Q313" s="86"/>
      <c r="R313" s="86"/>
      <c r="S313" s="86"/>
      <c r="T313" s="86"/>
      <c r="U313" s="110"/>
      <c r="V313" s="110"/>
      <c r="W313" s="110"/>
      <c r="X313" s="110"/>
      <c r="Y313" s="110"/>
      <c r="Z313" s="104"/>
      <c r="AA313" s="104"/>
    </row>
    <row r="314" spans="1:28" x14ac:dyDescent="0.2">
      <c r="A314" s="113"/>
      <c r="B314" s="141"/>
      <c r="C314" s="141"/>
      <c r="D314" s="137"/>
      <c r="E314" s="137"/>
      <c r="F314" s="138"/>
      <c r="G314" s="138"/>
      <c r="H314" s="112"/>
      <c r="I314" s="144"/>
      <c r="J314" s="144"/>
      <c r="K314" s="144"/>
      <c r="L314" s="86"/>
      <c r="M314" s="86"/>
      <c r="N314" s="316"/>
      <c r="O314" s="86"/>
      <c r="P314" s="86"/>
      <c r="Q314" s="86"/>
      <c r="R314" s="86"/>
      <c r="S314" s="86"/>
      <c r="T314" s="86"/>
      <c r="U314" s="110"/>
      <c r="V314" s="110"/>
      <c r="W314" s="110"/>
      <c r="X314" s="110"/>
      <c r="Y314" s="110"/>
      <c r="Z314" s="104"/>
      <c r="AA314" s="104"/>
    </row>
    <row r="315" spans="1:28" x14ac:dyDescent="0.2">
      <c r="A315" s="121"/>
      <c r="B315" s="139"/>
      <c r="C315" s="139"/>
      <c r="D315" s="139"/>
      <c r="E315" s="139"/>
      <c r="F315" s="139"/>
      <c r="G315" s="139"/>
      <c r="H315" s="121"/>
      <c r="I315" s="143"/>
      <c r="J315" s="143"/>
      <c r="K315" s="143"/>
      <c r="L315" s="106"/>
      <c r="M315" s="106"/>
      <c r="N315" s="315"/>
      <c r="O315" s="106"/>
      <c r="P315" s="106"/>
      <c r="Q315" s="106"/>
      <c r="R315" s="106"/>
      <c r="S315" s="107"/>
      <c r="T315" s="108"/>
      <c r="U315" s="106"/>
      <c r="V315" s="106"/>
      <c r="W315" s="107"/>
      <c r="X315" s="107"/>
      <c r="Y315" s="109"/>
      <c r="AB315" s="103"/>
    </row>
    <row r="316" spans="1:28" x14ac:dyDescent="0.2">
      <c r="A316" s="121"/>
      <c r="B316" s="139"/>
      <c r="C316" s="139"/>
      <c r="D316" s="140"/>
      <c r="E316" s="139"/>
      <c r="F316" s="139"/>
      <c r="G316" s="139"/>
      <c r="H316" s="121"/>
      <c r="I316" s="143"/>
      <c r="J316" s="143"/>
      <c r="K316" s="143"/>
      <c r="L316" s="106"/>
      <c r="M316" s="106"/>
      <c r="N316" s="315"/>
      <c r="O316" s="106"/>
      <c r="P316" s="106"/>
      <c r="Q316" s="106"/>
      <c r="R316" s="106"/>
      <c r="S316" s="107"/>
      <c r="T316" s="108"/>
      <c r="U316" s="106"/>
      <c r="V316" s="106"/>
      <c r="W316" s="107"/>
      <c r="X316" s="107"/>
      <c r="Y316" s="107"/>
      <c r="Z316" s="104"/>
      <c r="AA316" s="104"/>
    </row>
    <row r="317" spans="1:28" x14ac:dyDescent="0.2">
      <c r="A317" s="119"/>
      <c r="B317" s="136"/>
      <c r="C317" s="136"/>
      <c r="D317" s="136"/>
      <c r="E317" s="136"/>
      <c r="F317" s="136"/>
      <c r="G317" s="136"/>
      <c r="H317" s="119"/>
      <c r="I317" s="144"/>
      <c r="J317" s="144"/>
      <c r="K317" s="144"/>
      <c r="L317" s="86"/>
      <c r="M317" s="86"/>
      <c r="N317" s="316"/>
      <c r="O317" s="86"/>
      <c r="P317" s="86"/>
      <c r="Q317" s="86"/>
      <c r="R317" s="86"/>
      <c r="S317" s="110"/>
      <c r="T317" s="111"/>
      <c r="U317" s="86"/>
      <c r="V317" s="86"/>
      <c r="W317" s="110"/>
      <c r="X317" s="110"/>
      <c r="Y317" s="110"/>
      <c r="Z317" s="104"/>
      <c r="AA317" s="104"/>
    </row>
    <row r="318" spans="1:28" x14ac:dyDescent="0.2">
      <c r="A318" s="119"/>
      <c r="B318" s="136"/>
      <c r="C318" s="136"/>
      <c r="D318" s="137"/>
      <c r="E318" s="137"/>
      <c r="F318" s="138"/>
      <c r="G318" s="138"/>
      <c r="H318" s="112"/>
      <c r="I318" s="144"/>
      <c r="J318" s="144"/>
      <c r="K318" s="144"/>
      <c r="L318" s="86"/>
      <c r="M318" s="86"/>
      <c r="N318" s="316"/>
      <c r="O318" s="86"/>
      <c r="P318" s="86"/>
      <c r="Q318" s="86"/>
      <c r="R318" s="86"/>
      <c r="S318" s="110"/>
      <c r="T318" s="111"/>
      <c r="U318" s="86"/>
      <c r="V318" s="86"/>
      <c r="W318" s="110"/>
      <c r="X318" s="110"/>
      <c r="Y318" s="110"/>
      <c r="Z318" s="104"/>
      <c r="AA318" s="104"/>
    </row>
    <row r="319" spans="1:28" x14ac:dyDescent="0.2">
      <c r="A319" s="121"/>
      <c r="B319" s="139"/>
      <c r="C319" s="139"/>
      <c r="D319" s="139"/>
      <c r="E319" s="139"/>
      <c r="F319" s="139"/>
      <c r="G319" s="139"/>
      <c r="H319" s="121"/>
      <c r="I319" s="143"/>
      <c r="J319" s="143"/>
      <c r="K319" s="143"/>
      <c r="L319" s="106"/>
      <c r="M319" s="106"/>
      <c r="N319" s="315"/>
      <c r="O319" s="106"/>
      <c r="P319" s="106"/>
      <c r="Q319" s="106"/>
      <c r="R319" s="106"/>
      <c r="S319" s="106"/>
      <c r="T319" s="106"/>
      <c r="U319" s="107"/>
      <c r="V319" s="107"/>
      <c r="W319" s="107"/>
      <c r="X319" s="107"/>
      <c r="Y319" s="109"/>
      <c r="AB319" s="103"/>
    </row>
    <row r="320" spans="1:28" x14ac:dyDescent="0.2">
      <c r="A320" s="121"/>
      <c r="B320" s="139"/>
      <c r="C320" s="139"/>
      <c r="D320" s="140"/>
      <c r="E320" s="139"/>
      <c r="F320" s="139"/>
      <c r="G320" s="139"/>
      <c r="H320" s="121"/>
      <c r="I320" s="143"/>
      <c r="J320" s="143"/>
      <c r="K320" s="143"/>
      <c r="L320" s="106"/>
      <c r="M320" s="106"/>
      <c r="N320" s="315"/>
      <c r="O320" s="106"/>
      <c r="P320" s="106"/>
      <c r="Q320" s="106"/>
      <c r="R320" s="106"/>
      <c r="S320" s="106"/>
      <c r="T320" s="106"/>
      <c r="U320" s="107"/>
      <c r="V320" s="107"/>
      <c r="W320" s="107"/>
      <c r="X320" s="107"/>
      <c r="Y320" s="107"/>
      <c r="Z320" s="104"/>
      <c r="AA320" s="104"/>
    </row>
    <row r="321" spans="1:28" x14ac:dyDescent="0.2">
      <c r="A321" s="119"/>
      <c r="B321" s="136"/>
      <c r="C321" s="136"/>
      <c r="D321" s="136"/>
      <c r="E321" s="136"/>
      <c r="F321" s="136"/>
      <c r="G321" s="136"/>
      <c r="H321" s="119"/>
      <c r="I321" s="144"/>
      <c r="J321" s="144"/>
      <c r="K321" s="144"/>
      <c r="L321" s="86"/>
      <c r="M321" s="86"/>
      <c r="N321" s="316"/>
      <c r="O321" s="86"/>
      <c r="P321" s="86"/>
      <c r="Q321" s="86"/>
      <c r="R321" s="86"/>
      <c r="S321" s="86"/>
      <c r="T321" s="86"/>
      <c r="U321" s="110"/>
      <c r="V321" s="110"/>
      <c r="W321" s="110"/>
      <c r="X321" s="110"/>
      <c r="Y321" s="110"/>
      <c r="Z321" s="104"/>
      <c r="AA321" s="104"/>
    </row>
    <row r="322" spans="1:28" x14ac:dyDescent="0.2">
      <c r="A322" s="113"/>
      <c r="B322" s="141"/>
      <c r="C322" s="141"/>
      <c r="D322" s="137"/>
      <c r="E322" s="137"/>
      <c r="F322" s="138"/>
      <c r="G322" s="138"/>
      <c r="H322" s="112"/>
      <c r="I322" s="144"/>
      <c r="J322" s="144"/>
      <c r="K322" s="144"/>
      <c r="L322" s="86"/>
      <c r="M322" s="86"/>
      <c r="N322" s="316"/>
      <c r="O322" s="86"/>
      <c r="P322" s="86"/>
      <c r="Q322" s="86"/>
      <c r="R322" s="86"/>
      <c r="S322" s="86"/>
      <c r="T322" s="86"/>
      <c r="U322" s="110"/>
      <c r="V322" s="110"/>
      <c r="W322" s="110"/>
      <c r="X322" s="110"/>
      <c r="Y322" s="110"/>
      <c r="Z322" s="104"/>
      <c r="AA322" s="104"/>
    </row>
    <row r="323" spans="1:28" x14ac:dyDescent="0.2">
      <c r="A323" s="121"/>
      <c r="B323" s="139"/>
      <c r="C323" s="139"/>
      <c r="D323" s="139"/>
      <c r="E323" s="139"/>
      <c r="F323" s="139"/>
      <c r="G323" s="139"/>
      <c r="H323" s="121"/>
      <c r="I323" s="143"/>
      <c r="J323" s="143"/>
      <c r="K323" s="143"/>
      <c r="L323" s="106"/>
      <c r="M323" s="106"/>
      <c r="N323" s="315"/>
      <c r="O323" s="106"/>
      <c r="P323" s="106"/>
      <c r="Q323" s="106"/>
      <c r="R323" s="106"/>
      <c r="S323" s="107"/>
      <c r="T323" s="108"/>
      <c r="U323" s="107"/>
      <c r="V323" s="114"/>
      <c r="W323" s="107"/>
      <c r="X323" s="107"/>
      <c r="Y323" s="109"/>
      <c r="AB323" s="103"/>
    </row>
    <row r="324" spans="1:28" x14ac:dyDescent="0.2">
      <c r="A324" s="121"/>
      <c r="B324" s="139"/>
      <c r="C324" s="139"/>
      <c r="D324" s="140"/>
      <c r="E324" s="139"/>
      <c r="F324" s="139"/>
      <c r="G324" s="139"/>
      <c r="H324" s="121"/>
      <c r="I324" s="143"/>
      <c r="J324" s="143"/>
      <c r="K324" s="143"/>
      <c r="L324" s="106"/>
      <c r="M324" s="106"/>
      <c r="N324" s="315"/>
      <c r="O324" s="106"/>
      <c r="P324" s="106"/>
      <c r="Q324" s="106"/>
      <c r="R324" s="106"/>
      <c r="S324" s="106"/>
      <c r="T324" s="106"/>
      <c r="U324" s="107"/>
      <c r="V324" s="114"/>
      <c r="W324" s="107"/>
      <c r="X324" s="107"/>
      <c r="Y324" s="107"/>
      <c r="Z324" s="104"/>
      <c r="AA324" s="104"/>
    </row>
    <row r="325" spans="1:28" x14ac:dyDescent="0.2">
      <c r="A325" s="119"/>
      <c r="B325" s="136"/>
      <c r="C325" s="136"/>
      <c r="D325" s="136"/>
      <c r="E325" s="136"/>
      <c r="F325" s="136"/>
      <c r="G325" s="136"/>
      <c r="H325" s="119"/>
      <c r="I325" s="144"/>
      <c r="J325" s="144"/>
      <c r="K325" s="144"/>
      <c r="L325" s="86"/>
      <c r="M325" s="86"/>
      <c r="N325" s="316"/>
      <c r="O325" s="86"/>
      <c r="P325" s="86"/>
      <c r="Q325" s="86"/>
      <c r="R325" s="86"/>
      <c r="S325" s="86"/>
      <c r="T325" s="86"/>
      <c r="U325" s="110"/>
      <c r="V325" s="115"/>
      <c r="W325" s="110"/>
      <c r="X325" s="110"/>
      <c r="Y325" s="110"/>
      <c r="Z325" s="104"/>
      <c r="AA325" s="104"/>
    </row>
    <row r="326" spans="1:28" x14ac:dyDescent="0.2">
      <c r="A326" s="113"/>
      <c r="B326" s="141"/>
      <c r="C326" s="141"/>
      <c r="D326" s="137"/>
      <c r="E326" s="137"/>
      <c r="F326" s="138"/>
      <c r="G326" s="138"/>
      <c r="H326" s="112"/>
      <c r="I326" s="144"/>
      <c r="J326" s="144"/>
      <c r="K326" s="144"/>
      <c r="L326" s="86"/>
      <c r="M326" s="86"/>
      <c r="N326" s="316"/>
      <c r="O326" s="86"/>
      <c r="P326" s="86"/>
      <c r="Q326" s="86"/>
      <c r="R326" s="86"/>
      <c r="S326" s="86"/>
      <c r="T326" s="86"/>
      <c r="U326" s="110"/>
      <c r="V326" s="115"/>
      <c r="W326" s="110"/>
      <c r="X326" s="110"/>
      <c r="Y326" s="110"/>
      <c r="Z326" s="104"/>
      <c r="AA326" s="104"/>
    </row>
    <row r="327" spans="1:28" x14ac:dyDescent="0.2">
      <c r="A327" s="121"/>
      <c r="B327" s="139"/>
      <c r="C327" s="139"/>
      <c r="D327" s="140"/>
      <c r="E327" s="139"/>
      <c r="F327" s="139"/>
      <c r="G327" s="139"/>
      <c r="H327" s="121"/>
      <c r="I327" s="143"/>
      <c r="J327" s="143"/>
      <c r="K327" s="143"/>
      <c r="L327" s="106"/>
      <c r="M327" s="106"/>
      <c r="N327" s="315"/>
      <c r="O327" s="106"/>
      <c r="P327" s="106"/>
      <c r="Q327" s="106"/>
      <c r="R327" s="106"/>
      <c r="S327" s="107"/>
      <c r="T327" s="108"/>
      <c r="U327" s="106"/>
      <c r="V327" s="106"/>
      <c r="W327" s="108"/>
      <c r="X327" s="108"/>
      <c r="Y327" s="108"/>
      <c r="Z327" s="104"/>
      <c r="AA327" s="104"/>
    </row>
    <row r="328" spans="1:28" x14ac:dyDescent="0.2">
      <c r="A328" s="119"/>
      <c r="B328" s="136"/>
      <c r="C328" s="136"/>
      <c r="D328" s="136"/>
      <c r="E328" s="136"/>
      <c r="F328" s="136"/>
      <c r="G328" s="136"/>
      <c r="H328" s="119"/>
      <c r="I328" s="144"/>
      <c r="J328" s="144"/>
      <c r="K328" s="144"/>
      <c r="L328" s="86"/>
      <c r="M328" s="86"/>
      <c r="N328" s="316"/>
      <c r="O328" s="86"/>
      <c r="P328" s="86"/>
      <c r="Q328" s="86"/>
      <c r="R328" s="86"/>
      <c r="S328" s="110"/>
      <c r="T328" s="111"/>
      <c r="U328" s="86"/>
      <c r="V328" s="86"/>
      <c r="W328" s="110"/>
      <c r="X328" s="110"/>
      <c r="Y328" s="110"/>
      <c r="Z328" s="104"/>
      <c r="AA328" s="104"/>
    </row>
    <row r="329" spans="1:28" x14ac:dyDescent="0.2">
      <c r="A329" s="119"/>
      <c r="B329" s="136"/>
      <c r="C329" s="136"/>
      <c r="D329" s="137"/>
      <c r="E329" s="137"/>
      <c r="F329" s="138"/>
      <c r="G329" s="138"/>
      <c r="H329" s="112"/>
      <c r="I329" s="144"/>
      <c r="J329" s="144"/>
      <c r="K329" s="144"/>
      <c r="L329" s="86"/>
      <c r="M329" s="86"/>
      <c r="N329" s="316"/>
      <c r="O329" s="86"/>
      <c r="P329" s="86"/>
      <c r="Q329" s="86"/>
      <c r="R329" s="86"/>
      <c r="S329" s="110"/>
      <c r="T329" s="111"/>
      <c r="U329" s="86"/>
      <c r="V329" s="86"/>
      <c r="W329" s="110"/>
      <c r="X329" s="110"/>
      <c r="Y329" s="110"/>
      <c r="Z329" s="104"/>
      <c r="AA329" s="104"/>
    </row>
    <row r="330" spans="1:28" x14ac:dyDescent="0.2">
      <c r="A330" s="119"/>
      <c r="B330" s="136"/>
      <c r="C330" s="136"/>
      <c r="D330" s="136"/>
      <c r="E330" s="136"/>
      <c r="F330" s="136"/>
      <c r="G330" s="136"/>
      <c r="H330" s="119"/>
      <c r="I330" s="144"/>
      <c r="J330" s="144"/>
      <c r="K330" s="144"/>
      <c r="L330" s="86"/>
      <c r="M330" s="86"/>
      <c r="N330" s="316"/>
      <c r="O330" s="86"/>
      <c r="P330" s="86"/>
      <c r="Q330" s="86"/>
      <c r="R330" s="86"/>
      <c r="S330" s="86"/>
      <c r="T330" s="86"/>
      <c r="U330" s="86"/>
      <c r="V330" s="86"/>
      <c r="W330" s="110"/>
      <c r="X330" s="110"/>
      <c r="Y330" s="110"/>
      <c r="Z330" s="104"/>
      <c r="AA330" s="104"/>
    </row>
    <row r="331" spans="1:28" x14ac:dyDescent="0.2">
      <c r="A331" s="119"/>
      <c r="B331" s="136"/>
      <c r="C331" s="136"/>
      <c r="D331" s="137"/>
      <c r="E331" s="137"/>
      <c r="F331" s="138"/>
      <c r="G331" s="138"/>
      <c r="H331" s="112"/>
      <c r="I331" s="144"/>
      <c r="J331" s="144"/>
      <c r="K331" s="144"/>
      <c r="L331" s="86"/>
      <c r="M331" s="86"/>
      <c r="N331" s="316"/>
      <c r="O331" s="86"/>
      <c r="P331" s="86"/>
      <c r="Q331" s="86"/>
      <c r="R331" s="86"/>
      <c r="S331" s="86"/>
      <c r="T331" s="86"/>
      <c r="U331" s="86"/>
      <c r="V331" s="86"/>
      <c r="W331" s="110"/>
      <c r="X331" s="110"/>
      <c r="Y331" s="110"/>
      <c r="Z331" s="104"/>
      <c r="AA331" s="104"/>
    </row>
    <row r="332" spans="1:28" x14ac:dyDescent="0.2">
      <c r="A332" s="119"/>
      <c r="B332" s="136"/>
      <c r="C332" s="136"/>
      <c r="D332" s="136"/>
      <c r="E332" s="136"/>
      <c r="F332" s="136"/>
      <c r="G332" s="136"/>
      <c r="H332" s="119"/>
      <c r="I332" s="144"/>
      <c r="J332" s="144"/>
      <c r="K332" s="144"/>
      <c r="L332" s="86"/>
      <c r="M332" s="86"/>
      <c r="N332" s="316"/>
      <c r="O332" s="86"/>
      <c r="P332" s="86"/>
      <c r="Q332" s="86"/>
      <c r="R332" s="86"/>
      <c r="S332" s="86"/>
      <c r="T332" s="86"/>
      <c r="U332" s="86"/>
      <c r="V332" s="86"/>
      <c r="W332" s="110"/>
      <c r="X332" s="110"/>
      <c r="Y332" s="110"/>
      <c r="Z332" s="104"/>
      <c r="AA332" s="104"/>
    </row>
    <row r="333" spans="1:28" x14ac:dyDescent="0.2">
      <c r="A333" s="119"/>
      <c r="B333" s="136"/>
      <c r="C333" s="136"/>
      <c r="D333" s="137"/>
      <c r="E333" s="137"/>
      <c r="F333" s="138"/>
      <c r="G333" s="138"/>
      <c r="H333" s="112"/>
      <c r="I333" s="144"/>
      <c r="J333" s="144"/>
      <c r="K333" s="144"/>
      <c r="L333" s="86"/>
      <c r="M333" s="86"/>
      <c r="N333" s="316"/>
      <c r="O333" s="86"/>
      <c r="P333" s="86"/>
      <c r="Q333" s="86"/>
      <c r="R333" s="86"/>
      <c r="S333" s="86"/>
      <c r="T333" s="86"/>
      <c r="U333" s="86"/>
      <c r="V333" s="86"/>
      <c r="W333" s="110"/>
      <c r="X333" s="110"/>
      <c r="Y333" s="110"/>
      <c r="Z333" s="104"/>
      <c r="AA333" s="104"/>
    </row>
    <row r="334" spans="1:28" x14ac:dyDescent="0.2">
      <c r="A334" s="121"/>
      <c r="B334" s="139"/>
      <c r="C334" s="139"/>
      <c r="D334" s="139"/>
      <c r="E334" s="139"/>
      <c r="F334" s="139"/>
      <c r="G334" s="139"/>
      <c r="H334" s="121"/>
      <c r="I334" s="143"/>
      <c r="J334" s="143"/>
      <c r="K334" s="143"/>
      <c r="L334" s="106"/>
      <c r="M334" s="106"/>
      <c r="N334" s="315"/>
      <c r="O334" s="106"/>
      <c r="P334" s="106"/>
      <c r="Q334" s="106"/>
      <c r="R334" s="106"/>
      <c r="S334" s="106"/>
      <c r="T334" s="106"/>
      <c r="U334" s="107"/>
      <c r="V334" s="107"/>
      <c r="W334" s="107"/>
      <c r="X334" s="107"/>
      <c r="Y334" s="109"/>
      <c r="AB334" s="103"/>
    </row>
    <row r="335" spans="1:28" x14ac:dyDescent="0.2">
      <c r="A335" s="121"/>
      <c r="B335" s="139"/>
      <c r="C335" s="139"/>
      <c r="D335" s="140"/>
      <c r="E335" s="139"/>
      <c r="F335" s="139"/>
      <c r="G335" s="139"/>
      <c r="H335" s="121"/>
      <c r="I335" s="143"/>
      <c r="J335" s="143"/>
      <c r="K335" s="143"/>
      <c r="L335" s="106"/>
      <c r="M335" s="106"/>
      <c r="N335" s="315"/>
      <c r="O335" s="106"/>
      <c r="P335" s="106"/>
      <c r="Q335" s="106"/>
      <c r="R335" s="106"/>
      <c r="S335" s="106"/>
      <c r="T335" s="106"/>
      <c r="U335" s="107"/>
      <c r="V335" s="107"/>
      <c r="W335" s="107"/>
      <c r="X335" s="107"/>
      <c r="Y335" s="107"/>
      <c r="Z335" s="104"/>
      <c r="AA335" s="104"/>
    </row>
    <row r="336" spans="1:28" x14ac:dyDescent="0.2">
      <c r="A336" s="119"/>
      <c r="B336" s="136"/>
      <c r="C336" s="136"/>
      <c r="D336" s="136"/>
      <c r="E336" s="136"/>
      <c r="F336" s="136"/>
      <c r="G336" s="136"/>
      <c r="H336" s="119"/>
      <c r="I336" s="144"/>
      <c r="J336" s="144"/>
      <c r="K336" s="144"/>
      <c r="L336" s="86"/>
      <c r="M336" s="86"/>
      <c r="N336" s="316"/>
      <c r="O336" s="86"/>
      <c r="P336" s="86"/>
      <c r="Q336" s="86"/>
      <c r="R336" s="86"/>
      <c r="S336" s="86"/>
      <c r="T336" s="86"/>
      <c r="U336" s="110"/>
      <c r="V336" s="110"/>
      <c r="W336" s="110"/>
      <c r="X336" s="110"/>
      <c r="Y336" s="110"/>
      <c r="Z336" s="104"/>
      <c r="AA336" s="104"/>
    </row>
    <row r="337" spans="1:28" x14ac:dyDescent="0.2">
      <c r="A337" s="113"/>
      <c r="B337" s="141"/>
      <c r="C337" s="141"/>
      <c r="D337" s="137"/>
      <c r="E337" s="137"/>
      <c r="F337" s="138"/>
      <c r="G337" s="138"/>
      <c r="H337" s="112"/>
      <c r="I337" s="144"/>
      <c r="J337" s="144"/>
      <c r="K337" s="144"/>
      <c r="L337" s="86"/>
      <c r="M337" s="86"/>
      <c r="N337" s="316"/>
      <c r="O337" s="86"/>
      <c r="P337" s="86"/>
      <c r="Q337" s="86"/>
      <c r="R337" s="86"/>
      <c r="S337" s="86"/>
      <c r="T337" s="86"/>
      <c r="U337" s="110"/>
      <c r="V337" s="110"/>
      <c r="W337" s="110"/>
      <c r="X337" s="110"/>
      <c r="Y337" s="110"/>
      <c r="Z337" s="104"/>
      <c r="AA337" s="104"/>
    </row>
    <row r="338" spans="1:28" x14ac:dyDescent="0.2">
      <c r="A338" s="121"/>
      <c r="B338" s="139"/>
      <c r="C338" s="139"/>
      <c r="D338" s="140"/>
      <c r="E338" s="139"/>
      <c r="F338" s="139"/>
      <c r="G338" s="139"/>
      <c r="H338" s="121"/>
      <c r="I338" s="143"/>
      <c r="J338" s="143"/>
      <c r="K338" s="143"/>
      <c r="L338" s="106"/>
      <c r="M338" s="106"/>
      <c r="N338" s="315"/>
      <c r="O338" s="106"/>
      <c r="P338" s="106"/>
      <c r="Q338" s="106"/>
      <c r="R338" s="106"/>
      <c r="S338" s="106"/>
      <c r="T338" s="106"/>
      <c r="U338" s="107"/>
      <c r="V338" s="114"/>
      <c r="W338" s="107"/>
      <c r="X338" s="107"/>
      <c r="Y338" s="107"/>
      <c r="Z338" s="104"/>
      <c r="AA338" s="104"/>
    </row>
    <row r="339" spans="1:28" x14ac:dyDescent="0.2">
      <c r="A339" s="119"/>
      <c r="B339" s="136"/>
      <c r="C339" s="136"/>
      <c r="D339" s="136"/>
      <c r="E339" s="136"/>
      <c r="F339" s="136"/>
      <c r="G339" s="136"/>
      <c r="H339" s="119"/>
      <c r="I339" s="144"/>
      <c r="J339" s="144"/>
      <c r="K339" s="144"/>
      <c r="L339" s="86"/>
      <c r="M339" s="86"/>
      <c r="N339" s="316"/>
      <c r="O339" s="86"/>
      <c r="P339" s="86"/>
      <c r="Q339" s="86"/>
      <c r="R339" s="86"/>
      <c r="S339" s="86"/>
      <c r="T339" s="86"/>
      <c r="U339" s="110"/>
      <c r="V339" s="115"/>
      <c r="W339" s="110"/>
      <c r="X339" s="110"/>
      <c r="Y339" s="110"/>
      <c r="Z339" s="104"/>
      <c r="AA339" s="104"/>
    </row>
    <row r="340" spans="1:28" x14ac:dyDescent="0.2">
      <c r="A340" s="113"/>
      <c r="B340" s="141"/>
      <c r="C340" s="141"/>
      <c r="D340" s="138"/>
      <c r="E340" s="137"/>
      <c r="F340" s="138"/>
      <c r="G340" s="138"/>
      <c r="H340" s="112"/>
      <c r="I340" s="144"/>
      <c r="J340" s="144"/>
      <c r="K340" s="144"/>
      <c r="L340" s="86"/>
      <c r="M340" s="86"/>
      <c r="N340" s="316"/>
      <c r="O340" s="86"/>
      <c r="P340" s="86"/>
      <c r="Q340" s="86"/>
      <c r="R340" s="86"/>
      <c r="S340" s="86"/>
      <c r="T340" s="86"/>
      <c r="U340" s="110"/>
      <c r="V340" s="115"/>
      <c r="W340" s="110"/>
      <c r="X340" s="110"/>
      <c r="Y340" s="110"/>
      <c r="Z340" s="104"/>
      <c r="AA340" s="104"/>
    </row>
    <row r="341" spans="1:28" x14ac:dyDescent="0.2">
      <c r="A341" s="121"/>
      <c r="B341" s="139"/>
      <c r="C341" s="139"/>
      <c r="D341" s="139"/>
      <c r="E341" s="139"/>
      <c r="F341" s="139"/>
      <c r="G341" s="139"/>
      <c r="H341" s="121"/>
      <c r="I341" s="143"/>
      <c r="J341" s="143"/>
      <c r="K341" s="143"/>
      <c r="L341" s="106"/>
      <c r="M341" s="106"/>
      <c r="N341" s="315"/>
      <c r="O341" s="106"/>
      <c r="P341" s="106"/>
      <c r="Q341" s="106"/>
      <c r="R341" s="106"/>
      <c r="S341" s="106"/>
      <c r="T341" s="106"/>
      <c r="U341" s="107"/>
      <c r="V341" s="114"/>
      <c r="W341" s="107"/>
      <c r="X341" s="107"/>
      <c r="Y341" s="109"/>
      <c r="AB341" s="103"/>
    </row>
    <row r="342" spans="1:28" x14ac:dyDescent="0.2">
      <c r="A342" s="121"/>
      <c r="B342" s="139"/>
      <c r="C342" s="139"/>
      <c r="D342" s="140"/>
      <c r="E342" s="139"/>
      <c r="F342" s="139"/>
      <c r="G342" s="139"/>
      <c r="H342" s="121"/>
      <c r="I342" s="143"/>
      <c r="J342" s="143"/>
      <c r="K342" s="143"/>
      <c r="L342" s="106"/>
      <c r="M342" s="106"/>
      <c r="N342" s="315"/>
      <c r="O342" s="106"/>
      <c r="P342" s="106"/>
      <c r="Q342" s="106"/>
      <c r="R342" s="106"/>
      <c r="S342" s="106"/>
      <c r="T342" s="106"/>
      <c r="U342" s="107"/>
      <c r="V342" s="114"/>
      <c r="W342" s="107"/>
      <c r="X342" s="107"/>
      <c r="Y342" s="107"/>
      <c r="Z342" s="104"/>
      <c r="AA342" s="104"/>
    </row>
    <row r="343" spans="1:28" x14ac:dyDescent="0.2">
      <c r="A343" s="119"/>
      <c r="B343" s="136"/>
      <c r="C343" s="136"/>
      <c r="D343" s="136"/>
      <c r="E343" s="136"/>
      <c r="F343" s="136"/>
      <c r="G343" s="136"/>
      <c r="H343" s="119"/>
      <c r="I343" s="144"/>
      <c r="J343" s="144"/>
      <c r="K343" s="144"/>
      <c r="L343" s="86"/>
      <c r="M343" s="86"/>
      <c r="N343" s="316"/>
      <c r="O343" s="86"/>
      <c r="P343" s="86"/>
      <c r="Q343" s="86"/>
      <c r="R343" s="86"/>
      <c r="S343" s="86"/>
      <c r="T343" s="86"/>
      <c r="U343" s="110"/>
      <c r="V343" s="115"/>
      <c r="W343" s="110"/>
      <c r="X343" s="110"/>
      <c r="Y343" s="110"/>
      <c r="Z343" s="104"/>
      <c r="AA343" s="104"/>
    </row>
    <row r="344" spans="1:28" x14ac:dyDescent="0.2">
      <c r="A344" s="113"/>
      <c r="B344" s="141"/>
      <c r="C344" s="141"/>
      <c r="D344" s="137"/>
      <c r="E344" s="137"/>
      <c r="F344" s="138"/>
      <c r="G344" s="138"/>
      <c r="H344" s="112"/>
      <c r="I344" s="144"/>
      <c r="J344" s="144"/>
      <c r="K344" s="144"/>
      <c r="L344" s="86"/>
      <c r="M344" s="86"/>
      <c r="N344" s="316"/>
      <c r="O344" s="86"/>
      <c r="P344" s="86"/>
      <c r="Q344" s="86"/>
      <c r="R344" s="86"/>
      <c r="S344" s="86"/>
      <c r="T344" s="86"/>
      <c r="U344" s="110"/>
      <c r="V344" s="115"/>
      <c r="W344" s="110"/>
      <c r="X344" s="110"/>
      <c r="Y344" s="110"/>
      <c r="Z344" s="104"/>
      <c r="AA344" s="104"/>
    </row>
    <row r="345" spans="1:28" x14ac:dyDescent="0.2">
      <c r="A345" s="121"/>
      <c r="B345" s="139"/>
      <c r="C345" s="139"/>
      <c r="D345" s="139"/>
      <c r="E345" s="139"/>
      <c r="F345" s="139"/>
      <c r="G345" s="139"/>
      <c r="H345" s="121"/>
      <c r="I345" s="143"/>
      <c r="J345" s="143"/>
      <c r="K345" s="143"/>
      <c r="L345" s="106"/>
      <c r="M345" s="106"/>
      <c r="N345" s="315"/>
      <c r="O345" s="106"/>
      <c r="P345" s="106"/>
      <c r="Q345" s="106"/>
      <c r="R345" s="106"/>
      <c r="S345" s="106"/>
      <c r="T345" s="106"/>
      <c r="U345" s="107"/>
      <c r="V345" s="107"/>
      <c r="W345" s="107"/>
      <c r="X345" s="107"/>
      <c r="Y345" s="109"/>
      <c r="AB345" s="103"/>
    </row>
    <row r="346" spans="1:28" x14ac:dyDescent="0.2">
      <c r="A346" s="121"/>
      <c r="B346" s="139"/>
      <c r="C346" s="139"/>
      <c r="D346" s="140"/>
      <c r="E346" s="139"/>
      <c r="F346" s="139"/>
      <c r="G346" s="139"/>
      <c r="H346" s="121"/>
      <c r="I346" s="143"/>
      <c r="J346" s="143"/>
      <c r="K346" s="143"/>
      <c r="L346" s="106"/>
      <c r="M346" s="106"/>
      <c r="N346" s="315"/>
      <c r="O346" s="106"/>
      <c r="P346" s="106"/>
      <c r="Q346" s="106"/>
      <c r="R346" s="106"/>
      <c r="S346" s="106"/>
      <c r="T346" s="106"/>
      <c r="U346" s="107"/>
      <c r="V346" s="107"/>
      <c r="W346" s="107"/>
      <c r="X346" s="107"/>
      <c r="Y346" s="107"/>
      <c r="Z346" s="104"/>
      <c r="AA346" s="104"/>
    </row>
    <row r="347" spans="1:28" x14ac:dyDescent="0.2">
      <c r="A347" s="119"/>
      <c r="B347" s="136"/>
      <c r="C347" s="136"/>
      <c r="D347" s="136"/>
      <c r="E347" s="136"/>
      <c r="F347" s="136"/>
      <c r="G347" s="136"/>
      <c r="H347" s="119"/>
      <c r="I347" s="144"/>
      <c r="J347" s="144"/>
      <c r="K347" s="144"/>
      <c r="L347" s="86"/>
      <c r="M347" s="86"/>
      <c r="N347" s="316"/>
      <c r="O347" s="86"/>
      <c r="P347" s="86"/>
      <c r="Q347" s="86"/>
      <c r="R347" s="86"/>
      <c r="S347" s="86"/>
      <c r="T347" s="86"/>
      <c r="U347" s="110"/>
      <c r="V347" s="110"/>
      <c r="W347" s="110"/>
      <c r="X347" s="110"/>
      <c r="Y347" s="110"/>
      <c r="Z347" s="104"/>
      <c r="AA347" s="104"/>
    </row>
    <row r="348" spans="1:28" x14ac:dyDescent="0.2">
      <c r="A348" s="113"/>
      <c r="B348" s="141"/>
      <c r="C348" s="141"/>
      <c r="D348" s="137"/>
      <c r="E348" s="137"/>
      <c r="F348" s="138"/>
      <c r="G348" s="138"/>
      <c r="H348" s="112"/>
      <c r="I348" s="144"/>
      <c r="J348" s="144"/>
      <c r="K348" s="144"/>
      <c r="L348" s="86"/>
      <c r="M348" s="86"/>
      <c r="N348" s="316"/>
      <c r="O348" s="86"/>
      <c r="P348" s="86"/>
      <c r="Q348" s="86"/>
      <c r="R348" s="86"/>
      <c r="S348" s="86"/>
      <c r="T348" s="86"/>
      <c r="U348" s="110"/>
      <c r="V348" s="110"/>
      <c r="W348" s="110"/>
      <c r="X348" s="110"/>
      <c r="Y348" s="110"/>
      <c r="Z348" s="104"/>
      <c r="AA348" s="104"/>
    </row>
    <row r="349" spans="1:28" x14ac:dyDescent="0.2">
      <c r="A349" s="121"/>
      <c r="B349" s="139"/>
      <c r="C349" s="139"/>
      <c r="D349" s="139"/>
      <c r="E349" s="139"/>
      <c r="F349" s="139"/>
      <c r="G349" s="139"/>
      <c r="H349" s="121"/>
      <c r="I349" s="143"/>
      <c r="J349" s="143"/>
      <c r="K349" s="143"/>
      <c r="L349" s="106"/>
      <c r="M349" s="106"/>
      <c r="N349" s="315"/>
      <c r="O349" s="106"/>
      <c r="P349" s="106"/>
      <c r="Q349" s="106"/>
      <c r="R349" s="106"/>
      <c r="S349" s="106"/>
      <c r="T349" s="106"/>
      <c r="U349" s="107"/>
      <c r="V349" s="107"/>
      <c r="W349" s="107"/>
      <c r="X349" s="107"/>
      <c r="Y349" s="109"/>
      <c r="AB349" s="103"/>
    </row>
    <row r="350" spans="1:28" x14ac:dyDescent="0.2">
      <c r="A350" s="121"/>
      <c r="B350" s="139"/>
      <c r="C350" s="139"/>
      <c r="D350" s="140"/>
      <c r="E350" s="139"/>
      <c r="F350" s="139"/>
      <c r="G350" s="139"/>
      <c r="H350" s="121"/>
      <c r="I350" s="143"/>
      <c r="J350" s="143"/>
      <c r="K350" s="143"/>
      <c r="L350" s="106"/>
      <c r="M350" s="106"/>
      <c r="N350" s="315"/>
      <c r="O350" s="106"/>
      <c r="P350" s="106"/>
      <c r="Q350" s="106"/>
      <c r="R350" s="106"/>
      <c r="S350" s="106"/>
      <c r="T350" s="106"/>
      <c r="U350" s="107"/>
      <c r="V350" s="107"/>
      <c r="W350" s="107"/>
      <c r="X350" s="107"/>
      <c r="Y350" s="107"/>
      <c r="Z350" s="104"/>
      <c r="AA350" s="104"/>
    </row>
    <row r="351" spans="1:28" x14ac:dyDescent="0.2">
      <c r="A351" s="119"/>
      <c r="B351" s="136"/>
      <c r="C351" s="136"/>
      <c r="D351" s="136"/>
      <c r="E351" s="136"/>
      <c r="F351" s="136"/>
      <c r="G351" s="136"/>
      <c r="H351" s="119"/>
      <c r="I351" s="144"/>
      <c r="J351" s="144"/>
      <c r="K351" s="144"/>
      <c r="L351" s="86"/>
      <c r="M351" s="86"/>
      <c r="N351" s="316"/>
      <c r="O351" s="86"/>
      <c r="P351" s="86"/>
      <c r="Q351" s="86"/>
      <c r="R351" s="86"/>
      <c r="S351" s="86"/>
      <c r="T351" s="86"/>
      <c r="U351" s="110"/>
      <c r="V351" s="110"/>
      <c r="W351" s="110"/>
      <c r="X351" s="110"/>
      <c r="Y351" s="110"/>
      <c r="Z351" s="104"/>
      <c r="AA351" s="104"/>
    </row>
    <row r="352" spans="1:28" x14ac:dyDescent="0.2">
      <c r="A352" s="113"/>
      <c r="B352" s="141"/>
      <c r="C352" s="141"/>
      <c r="D352" s="137"/>
      <c r="E352" s="137"/>
      <c r="F352" s="138"/>
      <c r="G352" s="138"/>
      <c r="H352" s="112"/>
      <c r="I352" s="144"/>
      <c r="J352" s="144"/>
      <c r="K352" s="144"/>
      <c r="L352" s="86"/>
      <c r="M352" s="86"/>
      <c r="N352" s="316"/>
      <c r="O352" s="86"/>
      <c r="P352" s="86"/>
      <c r="Q352" s="86"/>
      <c r="R352" s="86"/>
      <c r="S352" s="86"/>
      <c r="T352" s="86"/>
      <c r="U352" s="110"/>
      <c r="V352" s="110"/>
      <c r="W352" s="110"/>
      <c r="X352" s="110"/>
      <c r="Y352" s="110"/>
      <c r="Z352" s="104"/>
      <c r="AA352" s="104"/>
    </row>
    <row r="353" spans="1:28" x14ac:dyDescent="0.2">
      <c r="A353" s="121"/>
      <c r="B353" s="139"/>
      <c r="C353" s="139"/>
      <c r="D353" s="140"/>
      <c r="E353" s="139"/>
      <c r="F353" s="139"/>
      <c r="G353" s="139"/>
      <c r="H353" s="121"/>
      <c r="I353" s="143"/>
      <c r="J353" s="143"/>
      <c r="K353" s="143"/>
      <c r="L353" s="106"/>
      <c r="M353" s="106"/>
      <c r="N353" s="315"/>
      <c r="O353" s="106"/>
      <c r="P353" s="106"/>
      <c r="Q353" s="106"/>
      <c r="R353" s="106"/>
      <c r="S353" s="106"/>
      <c r="T353" s="106"/>
      <c r="U353" s="107"/>
      <c r="V353" s="114"/>
      <c r="W353" s="107"/>
      <c r="X353" s="107"/>
      <c r="Y353" s="107"/>
      <c r="Z353" s="104"/>
      <c r="AA353" s="104"/>
    </row>
    <row r="354" spans="1:28" x14ac:dyDescent="0.2">
      <c r="A354" s="119"/>
      <c r="B354" s="136"/>
      <c r="C354" s="136"/>
      <c r="D354" s="136"/>
      <c r="E354" s="136"/>
      <c r="F354" s="136"/>
      <c r="G354" s="136"/>
      <c r="H354" s="119"/>
      <c r="I354" s="144"/>
      <c r="J354" s="144"/>
      <c r="K354" s="144"/>
      <c r="L354" s="86"/>
      <c r="M354" s="86"/>
      <c r="N354" s="316"/>
      <c r="O354" s="86"/>
      <c r="P354" s="86"/>
      <c r="Q354" s="86"/>
      <c r="R354" s="86"/>
      <c r="S354" s="86"/>
      <c r="T354" s="86"/>
      <c r="U354" s="110"/>
      <c r="V354" s="115"/>
      <c r="W354" s="110"/>
      <c r="X354" s="110"/>
      <c r="Y354" s="110"/>
      <c r="Z354" s="104"/>
      <c r="AA354" s="104"/>
    </row>
    <row r="355" spans="1:28" x14ac:dyDescent="0.2">
      <c r="A355" s="113"/>
      <c r="B355" s="141"/>
      <c r="C355" s="141"/>
      <c r="D355" s="138"/>
      <c r="E355" s="137"/>
      <c r="F355" s="138"/>
      <c r="G355" s="138"/>
      <c r="H355" s="112"/>
      <c r="I355" s="144"/>
      <c r="J355" s="144"/>
      <c r="K355" s="144"/>
      <c r="L355" s="86"/>
      <c r="M355" s="86"/>
      <c r="N355" s="316"/>
      <c r="O355" s="86"/>
      <c r="P355" s="86"/>
      <c r="Q355" s="86"/>
      <c r="R355" s="86"/>
      <c r="S355" s="86"/>
      <c r="T355" s="86"/>
      <c r="U355" s="110"/>
      <c r="V355" s="115"/>
      <c r="W355" s="110"/>
      <c r="X355" s="110"/>
      <c r="Y355" s="110"/>
      <c r="Z355" s="104"/>
      <c r="AA355" s="104"/>
    </row>
    <row r="356" spans="1:28" x14ac:dyDescent="0.2">
      <c r="A356" s="121"/>
      <c r="B356" s="139"/>
      <c r="C356" s="139"/>
      <c r="D356" s="139"/>
      <c r="E356" s="139"/>
      <c r="F356" s="139"/>
      <c r="G356" s="139"/>
      <c r="H356" s="121"/>
      <c r="I356" s="143"/>
      <c r="J356" s="143"/>
      <c r="K356" s="143"/>
      <c r="L356" s="106"/>
      <c r="M356" s="106"/>
      <c r="N356" s="315"/>
      <c r="O356" s="106"/>
      <c r="P356" s="106"/>
      <c r="Q356" s="106"/>
      <c r="R356" s="106"/>
      <c r="S356" s="106"/>
      <c r="T356" s="106"/>
      <c r="U356" s="107"/>
      <c r="V356" s="114"/>
      <c r="W356" s="107"/>
      <c r="X356" s="107"/>
      <c r="Y356" s="109"/>
      <c r="AB356" s="103"/>
    </row>
    <row r="357" spans="1:28" x14ac:dyDescent="0.2">
      <c r="A357" s="121"/>
      <c r="B357" s="139"/>
      <c r="C357" s="139"/>
      <c r="D357" s="140"/>
      <c r="E357" s="139"/>
      <c r="F357" s="139"/>
      <c r="G357" s="139"/>
      <c r="H357" s="121"/>
      <c r="I357" s="143"/>
      <c r="J357" s="143"/>
      <c r="K357" s="143"/>
      <c r="L357" s="106"/>
      <c r="M357" s="106"/>
      <c r="N357" s="315"/>
      <c r="O357" s="106"/>
      <c r="P357" s="106"/>
      <c r="Q357" s="106"/>
      <c r="R357" s="106"/>
      <c r="S357" s="106"/>
      <c r="T357" s="106"/>
      <c r="U357" s="107"/>
      <c r="V357" s="114"/>
      <c r="W357" s="107"/>
      <c r="X357" s="107"/>
      <c r="Y357" s="107"/>
      <c r="Z357" s="104"/>
      <c r="AA357" s="104"/>
    </row>
    <row r="358" spans="1:28" x14ac:dyDescent="0.2">
      <c r="A358" s="119"/>
      <c r="B358" s="136"/>
      <c r="C358" s="136"/>
      <c r="D358" s="136"/>
      <c r="E358" s="136"/>
      <c r="F358" s="136"/>
      <c r="G358" s="136"/>
      <c r="H358" s="119"/>
      <c r="I358" s="144"/>
      <c r="J358" s="144"/>
      <c r="K358" s="144"/>
      <c r="L358" s="86"/>
      <c r="M358" s="86"/>
      <c r="N358" s="316"/>
      <c r="O358" s="86"/>
      <c r="P358" s="86"/>
      <c r="Q358" s="86"/>
      <c r="R358" s="86"/>
      <c r="S358" s="86"/>
      <c r="T358" s="86"/>
      <c r="U358" s="110"/>
      <c r="V358" s="115"/>
      <c r="W358" s="110"/>
      <c r="X358" s="110"/>
      <c r="Y358" s="110"/>
      <c r="Z358" s="104"/>
      <c r="AA358" s="104"/>
    </row>
    <row r="359" spans="1:28" x14ac:dyDescent="0.2">
      <c r="A359" s="113"/>
      <c r="B359" s="141"/>
      <c r="C359" s="141"/>
      <c r="D359" s="137"/>
      <c r="E359" s="137"/>
      <c r="F359" s="138"/>
      <c r="G359" s="138"/>
      <c r="H359" s="112"/>
      <c r="I359" s="144"/>
      <c r="J359" s="144"/>
      <c r="K359" s="144"/>
      <c r="L359" s="86"/>
      <c r="M359" s="86"/>
      <c r="N359" s="316"/>
      <c r="O359" s="86"/>
      <c r="P359" s="86"/>
      <c r="Q359" s="86"/>
      <c r="R359" s="86"/>
      <c r="S359" s="86"/>
      <c r="T359" s="86"/>
      <c r="U359" s="110"/>
      <c r="V359" s="115"/>
      <c r="W359" s="110"/>
      <c r="X359" s="110"/>
      <c r="Y359" s="110"/>
      <c r="Z359" s="104"/>
      <c r="AA359" s="104"/>
    </row>
    <row r="360" spans="1:28" x14ac:dyDescent="0.2">
      <c r="A360" s="121"/>
      <c r="B360" s="139"/>
      <c r="C360" s="139"/>
      <c r="D360" s="139"/>
      <c r="E360" s="139"/>
      <c r="F360" s="139"/>
      <c r="G360" s="139"/>
      <c r="H360" s="121"/>
      <c r="I360" s="143"/>
      <c r="J360" s="143"/>
      <c r="K360" s="143"/>
      <c r="L360" s="106"/>
      <c r="M360" s="106"/>
      <c r="N360" s="315"/>
      <c r="O360" s="106"/>
      <c r="P360" s="106"/>
      <c r="Q360" s="106"/>
      <c r="R360" s="106"/>
      <c r="S360" s="106"/>
      <c r="T360" s="106"/>
      <c r="U360" s="114"/>
      <c r="V360" s="114"/>
      <c r="W360" s="114"/>
      <c r="X360" s="114"/>
      <c r="Y360" s="109"/>
      <c r="AB360" s="103"/>
    </row>
    <row r="361" spans="1:28" x14ac:dyDescent="0.2">
      <c r="A361" s="121"/>
      <c r="B361" s="139"/>
      <c r="C361" s="139"/>
      <c r="D361" s="140"/>
      <c r="E361" s="139"/>
      <c r="F361" s="139"/>
      <c r="G361" s="139"/>
      <c r="H361" s="121"/>
      <c r="I361" s="143"/>
      <c r="J361" s="143"/>
      <c r="K361" s="143"/>
      <c r="L361" s="106"/>
      <c r="M361" s="106"/>
      <c r="N361" s="315"/>
      <c r="O361" s="106"/>
      <c r="P361" s="106"/>
      <c r="Q361" s="106"/>
      <c r="R361" s="106"/>
      <c r="S361" s="106"/>
      <c r="T361" s="106"/>
      <c r="U361" s="114"/>
      <c r="V361" s="114"/>
      <c r="W361" s="114"/>
      <c r="X361" s="114"/>
      <c r="Y361" s="114"/>
      <c r="Z361" s="104"/>
      <c r="AA361" s="104"/>
    </row>
    <row r="362" spans="1:28" x14ac:dyDescent="0.2">
      <c r="A362" s="119"/>
      <c r="B362" s="136"/>
      <c r="C362" s="136"/>
      <c r="D362" s="136"/>
      <c r="E362" s="136"/>
      <c r="F362" s="136"/>
      <c r="G362" s="136"/>
      <c r="H362" s="119"/>
      <c r="I362" s="144"/>
      <c r="J362" s="144"/>
      <c r="K362" s="144"/>
      <c r="L362" s="86"/>
      <c r="M362" s="86"/>
      <c r="N362" s="316"/>
      <c r="O362" s="86"/>
      <c r="P362" s="86"/>
      <c r="Q362" s="86"/>
      <c r="R362" s="86"/>
      <c r="S362" s="86"/>
      <c r="T362" s="86"/>
      <c r="U362" s="115"/>
      <c r="V362" s="115"/>
      <c r="W362" s="115"/>
      <c r="X362" s="115"/>
      <c r="Y362" s="115"/>
      <c r="Z362" s="104"/>
      <c r="AA362" s="104"/>
    </row>
    <row r="363" spans="1:28" x14ac:dyDescent="0.2">
      <c r="A363" s="113"/>
      <c r="B363" s="141"/>
      <c r="C363" s="141"/>
      <c r="D363" s="137"/>
      <c r="E363" s="137"/>
      <c r="F363" s="138"/>
      <c r="G363" s="138"/>
      <c r="H363" s="112"/>
      <c r="I363" s="144"/>
      <c r="J363" s="144"/>
      <c r="K363" s="144"/>
      <c r="L363" s="86"/>
      <c r="M363" s="86"/>
      <c r="N363" s="316"/>
      <c r="O363" s="86"/>
      <c r="P363" s="86"/>
      <c r="Q363" s="86"/>
      <c r="R363" s="86"/>
      <c r="S363" s="86"/>
      <c r="T363" s="86"/>
      <c r="U363" s="115"/>
      <c r="V363" s="115"/>
      <c r="W363" s="115"/>
      <c r="X363" s="115"/>
      <c r="Y363" s="115"/>
      <c r="Z363" s="104"/>
      <c r="AA363" s="104"/>
    </row>
    <row r="364" spans="1:28" x14ac:dyDescent="0.2">
      <c r="A364" s="121"/>
      <c r="B364" s="139"/>
      <c r="C364" s="139"/>
      <c r="D364" s="139"/>
      <c r="E364" s="139"/>
      <c r="F364" s="139"/>
      <c r="G364" s="139"/>
      <c r="H364" s="121"/>
      <c r="I364" s="143"/>
      <c r="J364" s="143"/>
      <c r="K364" s="143"/>
      <c r="L364" s="106"/>
      <c r="M364" s="106"/>
      <c r="N364" s="315"/>
      <c r="O364" s="106"/>
      <c r="P364" s="106"/>
      <c r="Q364" s="106"/>
      <c r="R364" s="106"/>
      <c r="S364" s="106"/>
      <c r="T364" s="106"/>
      <c r="U364" s="107"/>
      <c r="V364" s="107"/>
      <c r="W364" s="107"/>
      <c r="X364" s="107"/>
      <c r="Y364" s="109"/>
      <c r="AB364" s="103"/>
    </row>
    <row r="365" spans="1:28" x14ac:dyDescent="0.2">
      <c r="A365" s="121"/>
      <c r="B365" s="139"/>
      <c r="C365" s="139"/>
      <c r="D365" s="140"/>
      <c r="E365" s="139"/>
      <c r="F365" s="139"/>
      <c r="G365" s="139"/>
      <c r="H365" s="121"/>
      <c r="I365" s="143"/>
      <c r="J365" s="143"/>
      <c r="K365" s="143"/>
      <c r="L365" s="106"/>
      <c r="M365" s="106"/>
      <c r="N365" s="315"/>
      <c r="O365" s="106"/>
      <c r="P365" s="106"/>
      <c r="Q365" s="106"/>
      <c r="R365" s="106"/>
      <c r="S365" s="106"/>
      <c r="T365" s="106"/>
      <c r="U365" s="107"/>
      <c r="V365" s="107"/>
      <c r="W365" s="107"/>
      <c r="X365" s="107"/>
      <c r="Y365" s="107"/>
      <c r="Z365" s="104"/>
      <c r="AA365" s="104"/>
    </row>
    <row r="366" spans="1:28" x14ac:dyDescent="0.2">
      <c r="A366" s="119"/>
      <c r="B366" s="136"/>
      <c r="C366" s="136"/>
      <c r="D366" s="136"/>
      <c r="E366" s="136"/>
      <c r="F366" s="136"/>
      <c r="G366" s="136"/>
      <c r="H366" s="119"/>
      <c r="I366" s="144"/>
      <c r="J366" s="144"/>
      <c r="K366" s="144"/>
      <c r="L366" s="86"/>
      <c r="M366" s="86"/>
      <c r="N366" s="316"/>
      <c r="O366" s="86"/>
      <c r="P366" s="86"/>
      <c r="Q366" s="86"/>
      <c r="R366" s="86"/>
      <c r="S366" s="86"/>
      <c r="T366" s="86"/>
      <c r="U366" s="110"/>
      <c r="V366" s="110"/>
      <c r="W366" s="110"/>
      <c r="X366" s="110"/>
      <c r="Y366" s="110"/>
      <c r="Z366" s="104"/>
      <c r="AA366" s="104"/>
    </row>
    <row r="367" spans="1:28" x14ac:dyDescent="0.2">
      <c r="A367" s="113"/>
      <c r="B367" s="141"/>
      <c r="C367" s="141"/>
      <c r="D367" s="137"/>
      <c r="E367" s="137"/>
      <c r="F367" s="138"/>
      <c r="G367" s="138"/>
      <c r="H367" s="112"/>
      <c r="I367" s="144"/>
      <c r="J367" s="144"/>
      <c r="K367" s="144"/>
      <c r="L367" s="86"/>
      <c r="M367" s="86"/>
      <c r="N367" s="316"/>
      <c r="O367" s="86"/>
      <c r="P367" s="86"/>
      <c r="Q367" s="86"/>
      <c r="R367" s="86"/>
      <c r="S367" s="86"/>
      <c r="T367" s="86"/>
      <c r="U367" s="110"/>
      <c r="V367" s="110"/>
      <c r="W367" s="110"/>
      <c r="X367" s="110"/>
      <c r="Y367" s="110"/>
      <c r="Z367" s="104"/>
      <c r="AA367" s="104"/>
    </row>
    <row r="368" spans="1:28" x14ac:dyDescent="0.2">
      <c r="A368" s="121"/>
      <c r="B368" s="139"/>
      <c r="C368" s="139"/>
      <c r="D368" s="139"/>
      <c r="E368" s="139"/>
      <c r="F368" s="139"/>
      <c r="G368" s="139"/>
      <c r="H368" s="121"/>
      <c r="I368" s="143"/>
      <c r="J368" s="143"/>
      <c r="K368" s="143"/>
      <c r="L368" s="106"/>
      <c r="M368" s="106"/>
      <c r="N368" s="315"/>
      <c r="O368" s="106"/>
      <c r="P368" s="106"/>
      <c r="Q368" s="106"/>
      <c r="R368" s="106"/>
      <c r="S368" s="107"/>
      <c r="T368" s="108"/>
      <c r="U368" s="107"/>
      <c r="V368" s="107"/>
      <c r="W368" s="107"/>
      <c r="X368" s="107"/>
      <c r="Y368" s="109"/>
      <c r="AB368" s="103"/>
    </row>
    <row r="369" spans="1:28" x14ac:dyDescent="0.2">
      <c r="A369" s="121"/>
      <c r="B369" s="139"/>
      <c r="C369" s="139"/>
      <c r="D369" s="140"/>
      <c r="E369" s="139"/>
      <c r="F369" s="139"/>
      <c r="G369" s="139"/>
      <c r="H369" s="121"/>
      <c r="I369" s="143"/>
      <c r="J369" s="143"/>
      <c r="K369" s="143"/>
      <c r="L369" s="106"/>
      <c r="M369" s="106"/>
      <c r="N369" s="315"/>
      <c r="O369" s="106"/>
      <c r="P369" s="106"/>
      <c r="Q369" s="106"/>
      <c r="R369" s="106"/>
      <c r="S369" s="106"/>
      <c r="T369" s="106"/>
      <c r="U369" s="107"/>
      <c r="V369" s="107"/>
      <c r="W369" s="107"/>
      <c r="X369" s="107"/>
      <c r="Y369" s="107"/>
      <c r="Z369" s="104"/>
      <c r="AA369" s="104"/>
    </row>
    <row r="370" spans="1:28" x14ac:dyDescent="0.2">
      <c r="A370" s="119"/>
      <c r="B370" s="136"/>
      <c r="C370" s="136"/>
      <c r="D370" s="136"/>
      <c r="E370" s="136"/>
      <c r="F370" s="136"/>
      <c r="G370" s="136"/>
      <c r="H370" s="119"/>
      <c r="I370" s="144"/>
      <c r="J370" s="144"/>
      <c r="K370" s="144"/>
      <c r="L370" s="86"/>
      <c r="M370" s="86"/>
      <c r="N370" s="316"/>
      <c r="O370" s="86"/>
      <c r="P370" s="86"/>
      <c r="Q370" s="86"/>
      <c r="R370" s="86"/>
      <c r="S370" s="86"/>
      <c r="T370" s="86"/>
      <c r="U370" s="110"/>
      <c r="V370" s="110"/>
      <c r="W370" s="110"/>
      <c r="X370" s="110"/>
      <c r="Y370" s="110"/>
      <c r="Z370" s="104"/>
      <c r="AA370" s="104"/>
    </row>
    <row r="371" spans="1:28" x14ac:dyDescent="0.2">
      <c r="A371" s="113"/>
      <c r="B371" s="141"/>
      <c r="C371" s="141"/>
      <c r="D371" s="137"/>
      <c r="E371" s="137"/>
      <c r="F371" s="138"/>
      <c r="G371" s="138"/>
      <c r="H371" s="112"/>
      <c r="I371" s="144"/>
      <c r="J371" s="144"/>
      <c r="K371" s="144"/>
      <c r="L371" s="86"/>
      <c r="M371" s="86"/>
      <c r="N371" s="316"/>
      <c r="O371" s="86"/>
      <c r="P371" s="86"/>
      <c r="Q371" s="86"/>
      <c r="R371" s="86"/>
      <c r="S371" s="86"/>
      <c r="T371" s="86"/>
      <c r="U371" s="110"/>
      <c r="V371" s="110"/>
      <c r="W371" s="110"/>
      <c r="X371" s="110"/>
      <c r="Y371" s="110"/>
      <c r="Z371" s="104"/>
      <c r="AA371" s="104"/>
    </row>
    <row r="372" spans="1:28" x14ac:dyDescent="0.2">
      <c r="A372" s="121"/>
      <c r="B372" s="139"/>
      <c r="C372" s="139"/>
      <c r="D372" s="140"/>
      <c r="E372" s="139"/>
      <c r="F372" s="139"/>
      <c r="G372" s="139"/>
      <c r="H372" s="121"/>
      <c r="I372" s="143"/>
      <c r="J372" s="143"/>
      <c r="K372" s="143"/>
      <c r="L372" s="106"/>
      <c r="M372" s="106"/>
      <c r="N372" s="315"/>
      <c r="O372" s="106"/>
      <c r="P372" s="106"/>
      <c r="Q372" s="106"/>
      <c r="R372" s="106"/>
      <c r="S372" s="106"/>
      <c r="T372" s="106"/>
      <c r="U372" s="107"/>
      <c r="V372" s="107"/>
      <c r="W372" s="107"/>
      <c r="X372" s="107"/>
      <c r="Y372" s="107"/>
      <c r="Z372" s="104"/>
      <c r="AA372" s="104"/>
    </row>
    <row r="373" spans="1:28" x14ac:dyDescent="0.2">
      <c r="A373" s="119"/>
      <c r="B373" s="136"/>
      <c r="C373" s="136"/>
      <c r="D373" s="136"/>
      <c r="E373" s="136"/>
      <c r="F373" s="136"/>
      <c r="G373" s="136"/>
      <c r="H373" s="119"/>
      <c r="I373" s="144"/>
      <c r="J373" s="144"/>
      <c r="K373" s="144"/>
      <c r="L373" s="86"/>
      <c r="M373" s="86"/>
      <c r="N373" s="316"/>
      <c r="O373" s="86"/>
      <c r="P373" s="86"/>
      <c r="Q373" s="86"/>
      <c r="R373" s="86"/>
      <c r="S373" s="86"/>
      <c r="T373" s="86"/>
      <c r="U373" s="110"/>
      <c r="V373" s="110"/>
      <c r="W373" s="110"/>
      <c r="X373" s="110"/>
      <c r="Y373" s="110"/>
      <c r="Z373" s="104"/>
      <c r="AA373" s="104"/>
    </row>
    <row r="374" spans="1:28" x14ac:dyDescent="0.2">
      <c r="A374" s="113"/>
      <c r="B374" s="141"/>
      <c r="C374" s="141"/>
      <c r="D374" s="137"/>
      <c r="E374" s="137"/>
      <c r="F374" s="138"/>
      <c r="G374" s="138"/>
      <c r="H374" s="112"/>
      <c r="I374" s="144"/>
      <c r="J374" s="144"/>
      <c r="K374" s="144"/>
      <c r="L374" s="86"/>
      <c r="M374" s="86"/>
      <c r="N374" s="316"/>
      <c r="O374" s="86"/>
      <c r="P374" s="86"/>
      <c r="Q374" s="86"/>
      <c r="R374" s="86"/>
      <c r="S374" s="86"/>
      <c r="T374" s="86"/>
      <c r="U374" s="110"/>
      <c r="V374" s="110"/>
      <c r="W374" s="110"/>
      <c r="X374" s="110"/>
      <c r="Y374" s="110"/>
      <c r="Z374" s="104"/>
      <c r="AA374" s="104"/>
    </row>
    <row r="375" spans="1:28" x14ac:dyDescent="0.2">
      <c r="A375" s="121"/>
      <c r="B375" s="139"/>
      <c r="C375" s="139"/>
      <c r="D375" s="140"/>
      <c r="E375" s="139"/>
      <c r="F375" s="139"/>
      <c r="G375" s="139"/>
      <c r="H375" s="121"/>
      <c r="I375" s="143"/>
      <c r="J375" s="143"/>
      <c r="K375" s="143"/>
      <c r="L375" s="106"/>
      <c r="M375" s="106"/>
      <c r="N375" s="315"/>
      <c r="O375" s="106"/>
      <c r="P375" s="106"/>
      <c r="Q375" s="106"/>
      <c r="R375" s="106"/>
      <c r="S375" s="107"/>
      <c r="T375" s="108"/>
      <c r="U375" s="106"/>
      <c r="V375" s="106"/>
      <c r="W375" s="107"/>
      <c r="X375" s="107"/>
      <c r="Y375" s="107"/>
      <c r="Z375" s="104"/>
      <c r="AA375" s="104"/>
    </row>
    <row r="376" spans="1:28" x14ac:dyDescent="0.2">
      <c r="A376" s="119"/>
      <c r="B376" s="136"/>
      <c r="C376" s="136"/>
      <c r="D376" s="136"/>
      <c r="E376" s="136"/>
      <c r="F376" s="136"/>
      <c r="G376" s="136"/>
      <c r="H376" s="119"/>
      <c r="I376" s="144"/>
      <c r="J376" s="144"/>
      <c r="K376" s="144"/>
      <c r="L376" s="86"/>
      <c r="M376" s="86"/>
      <c r="N376" s="316"/>
      <c r="O376" s="86"/>
      <c r="P376" s="86"/>
      <c r="Q376" s="86"/>
      <c r="R376" s="86"/>
      <c r="S376" s="110"/>
      <c r="T376" s="111"/>
      <c r="U376" s="86"/>
      <c r="V376" s="86"/>
      <c r="W376" s="110"/>
      <c r="X376" s="110"/>
      <c r="Y376" s="110"/>
      <c r="Z376" s="104"/>
      <c r="AA376" s="104"/>
    </row>
    <row r="377" spans="1:28" x14ac:dyDescent="0.2">
      <c r="A377" s="119"/>
      <c r="B377" s="136"/>
      <c r="C377" s="136"/>
      <c r="D377" s="137"/>
      <c r="E377" s="137"/>
      <c r="F377" s="138"/>
      <c r="G377" s="138"/>
      <c r="H377" s="112"/>
      <c r="I377" s="144"/>
      <c r="J377" s="144"/>
      <c r="K377" s="144"/>
      <c r="L377" s="86"/>
      <c r="M377" s="86"/>
      <c r="N377" s="316"/>
      <c r="O377" s="86"/>
      <c r="P377" s="86"/>
      <c r="Q377" s="86"/>
      <c r="R377" s="86"/>
      <c r="S377" s="110"/>
      <c r="T377" s="111"/>
      <c r="U377" s="86"/>
      <c r="V377" s="86"/>
      <c r="W377" s="110"/>
      <c r="X377" s="110"/>
      <c r="Y377" s="110"/>
      <c r="Z377" s="104"/>
      <c r="AA377" s="104"/>
    </row>
    <row r="378" spans="1:28" x14ac:dyDescent="0.2">
      <c r="A378" s="121"/>
      <c r="B378" s="139"/>
      <c r="C378" s="139"/>
      <c r="D378" s="139"/>
      <c r="E378" s="139"/>
      <c r="F378" s="139"/>
      <c r="G378" s="139"/>
      <c r="H378" s="121"/>
      <c r="I378" s="143"/>
      <c r="J378" s="143"/>
      <c r="K378" s="143"/>
      <c r="L378" s="106"/>
      <c r="M378" s="106"/>
      <c r="N378" s="315"/>
      <c r="O378" s="106"/>
      <c r="P378" s="106"/>
      <c r="Q378" s="106"/>
      <c r="R378" s="106"/>
      <c r="S378" s="107"/>
      <c r="T378" s="108"/>
      <c r="U378" s="106"/>
      <c r="V378" s="106"/>
      <c r="W378" s="107"/>
      <c r="X378" s="107"/>
      <c r="Y378" s="109"/>
      <c r="AB378" s="103"/>
    </row>
    <row r="379" spans="1:28" x14ac:dyDescent="0.2">
      <c r="A379" s="121"/>
      <c r="B379" s="139"/>
      <c r="C379" s="139"/>
      <c r="D379" s="140"/>
      <c r="E379" s="139"/>
      <c r="F379" s="139"/>
      <c r="G379" s="139"/>
      <c r="H379" s="121"/>
      <c r="I379" s="143"/>
      <c r="J379" s="143"/>
      <c r="K379" s="143"/>
      <c r="L379" s="106"/>
      <c r="M379" s="106"/>
      <c r="N379" s="315"/>
      <c r="O379" s="106"/>
      <c r="P379" s="106"/>
      <c r="Q379" s="106"/>
      <c r="R379" s="106"/>
      <c r="S379" s="107"/>
      <c r="T379" s="108"/>
      <c r="U379" s="106"/>
      <c r="V379" s="106"/>
      <c r="W379" s="107"/>
      <c r="X379" s="107"/>
      <c r="Y379" s="107"/>
      <c r="Z379" s="104"/>
      <c r="AA379" s="104"/>
    </row>
    <row r="380" spans="1:28" x14ac:dyDescent="0.2">
      <c r="A380" s="119"/>
      <c r="B380" s="136"/>
      <c r="C380" s="136"/>
      <c r="D380" s="136"/>
      <c r="E380" s="136"/>
      <c r="F380" s="136"/>
      <c r="G380" s="136"/>
      <c r="H380" s="119"/>
      <c r="I380" s="144"/>
      <c r="J380" s="144"/>
      <c r="K380" s="144"/>
      <c r="L380" s="86"/>
      <c r="M380" s="86"/>
      <c r="N380" s="316"/>
      <c r="O380" s="86"/>
      <c r="P380" s="86"/>
      <c r="Q380" s="86"/>
      <c r="R380" s="86"/>
      <c r="S380" s="110"/>
      <c r="T380" s="111"/>
      <c r="U380" s="86"/>
      <c r="V380" s="86"/>
      <c r="W380" s="110"/>
      <c r="X380" s="110"/>
      <c r="Y380" s="110"/>
      <c r="Z380" s="104"/>
      <c r="AA380" s="104"/>
    </row>
    <row r="381" spans="1:28" x14ac:dyDescent="0.2">
      <c r="A381" s="119"/>
      <c r="B381" s="136"/>
      <c r="C381" s="136"/>
      <c r="D381" s="137"/>
      <c r="E381" s="137"/>
      <c r="F381" s="138"/>
      <c r="G381" s="138"/>
      <c r="H381" s="112"/>
      <c r="I381" s="144"/>
      <c r="J381" s="144"/>
      <c r="K381" s="144"/>
      <c r="L381" s="86"/>
      <c r="M381" s="86"/>
      <c r="N381" s="316"/>
      <c r="O381" s="86"/>
      <c r="P381" s="86"/>
      <c r="Q381" s="86"/>
      <c r="R381" s="86"/>
      <c r="S381" s="110"/>
      <c r="T381" s="111"/>
      <c r="U381" s="86"/>
      <c r="V381" s="86"/>
      <c r="W381" s="110"/>
      <c r="X381" s="110"/>
      <c r="Y381" s="110"/>
      <c r="Z381" s="104"/>
      <c r="AA381" s="104"/>
    </row>
    <row r="382" spans="1:28" x14ac:dyDescent="0.2">
      <c r="A382" s="121"/>
      <c r="B382" s="139"/>
      <c r="C382" s="139"/>
      <c r="D382" s="139"/>
      <c r="E382" s="139"/>
      <c r="F382" s="139"/>
      <c r="G382" s="139"/>
      <c r="H382" s="121"/>
      <c r="I382" s="143"/>
      <c r="J382" s="143"/>
      <c r="K382" s="143"/>
      <c r="L382" s="106"/>
      <c r="M382" s="106"/>
      <c r="N382" s="315"/>
      <c r="O382" s="106"/>
      <c r="P382" s="106"/>
      <c r="Q382" s="106"/>
      <c r="R382" s="106"/>
      <c r="S382" s="106"/>
      <c r="T382" s="106"/>
      <c r="U382" s="107"/>
      <c r="V382" s="107"/>
      <c r="W382" s="107"/>
      <c r="X382" s="107"/>
      <c r="Y382" s="109"/>
      <c r="AB382" s="103"/>
    </row>
    <row r="383" spans="1:28" x14ac:dyDescent="0.2">
      <c r="A383" s="121"/>
      <c r="B383" s="139"/>
      <c r="C383" s="139"/>
      <c r="D383" s="140"/>
      <c r="E383" s="139"/>
      <c r="F383" s="139"/>
      <c r="G383" s="139"/>
      <c r="H383" s="122"/>
      <c r="I383" s="143"/>
      <c r="J383" s="143"/>
      <c r="K383" s="143"/>
      <c r="L383" s="106"/>
      <c r="M383" s="106"/>
      <c r="N383" s="315"/>
      <c r="O383" s="106"/>
      <c r="P383" s="106"/>
      <c r="Q383" s="106"/>
      <c r="R383" s="106"/>
      <c r="S383" s="106"/>
      <c r="T383" s="106"/>
      <c r="U383" s="106"/>
      <c r="V383" s="106"/>
      <c r="W383" s="107"/>
      <c r="X383" s="107"/>
      <c r="Y383" s="107"/>
      <c r="Z383" s="104"/>
      <c r="AA383" s="104"/>
    </row>
    <row r="384" spans="1:28" x14ac:dyDescent="0.2">
      <c r="A384" s="119"/>
      <c r="B384" s="136"/>
      <c r="C384" s="136"/>
      <c r="D384" s="136"/>
      <c r="E384" s="136"/>
      <c r="F384" s="136"/>
      <c r="G384" s="136"/>
      <c r="H384" s="119"/>
      <c r="I384" s="144"/>
      <c r="J384" s="144"/>
      <c r="K384" s="144"/>
      <c r="L384" s="86"/>
      <c r="M384" s="86"/>
      <c r="N384" s="316"/>
      <c r="O384" s="86"/>
      <c r="P384" s="86"/>
      <c r="Q384" s="86"/>
      <c r="R384" s="86"/>
      <c r="S384" s="86"/>
      <c r="T384" s="86"/>
      <c r="U384" s="86"/>
      <c r="V384" s="86"/>
      <c r="W384" s="110"/>
      <c r="X384" s="110"/>
      <c r="Y384" s="110"/>
      <c r="Z384" s="104"/>
      <c r="AA384" s="104"/>
    </row>
    <row r="385" spans="1:28" x14ac:dyDescent="0.2">
      <c r="A385" s="119"/>
      <c r="B385" s="136"/>
      <c r="C385" s="136"/>
      <c r="D385" s="137"/>
      <c r="E385" s="137"/>
      <c r="F385" s="138"/>
      <c r="G385" s="138"/>
      <c r="H385" s="112"/>
      <c r="I385" s="144"/>
      <c r="J385" s="144"/>
      <c r="K385" s="144"/>
      <c r="L385" s="86"/>
      <c r="M385" s="86"/>
      <c r="N385" s="316"/>
      <c r="O385" s="86"/>
      <c r="P385" s="86"/>
      <c r="Q385" s="86"/>
      <c r="R385" s="86"/>
      <c r="S385" s="86"/>
      <c r="T385" s="86"/>
      <c r="U385" s="86"/>
      <c r="V385" s="86"/>
      <c r="W385" s="110"/>
      <c r="X385" s="110"/>
      <c r="Y385" s="110"/>
      <c r="Z385" s="104"/>
      <c r="AA385" s="104"/>
    </row>
    <row r="386" spans="1:28" x14ac:dyDescent="0.2">
      <c r="A386" s="119"/>
      <c r="B386" s="136"/>
      <c r="C386" s="136"/>
      <c r="D386" s="137"/>
      <c r="E386" s="137"/>
      <c r="F386" s="138"/>
      <c r="G386" s="138"/>
      <c r="H386" s="112"/>
      <c r="I386" s="144"/>
      <c r="J386" s="144"/>
      <c r="K386" s="144"/>
      <c r="L386" s="86"/>
      <c r="M386" s="86"/>
      <c r="N386" s="316"/>
      <c r="O386" s="86"/>
      <c r="P386" s="86"/>
      <c r="Q386" s="86"/>
      <c r="R386" s="86"/>
      <c r="S386" s="86"/>
      <c r="T386" s="86"/>
      <c r="U386" s="86"/>
      <c r="V386" s="86"/>
      <c r="W386" s="110"/>
      <c r="X386" s="110"/>
      <c r="Y386" s="110"/>
      <c r="Z386" s="104"/>
      <c r="AA386" s="104"/>
    </row>
    <row r="387" spans="1:28" x14ac:dyDescent="0.2">
      <c r="A387" s="119"/>
      <c r="B387" s="136"/>
      <c r="C387" s="136"/>
      <c r="D387" s="137"/>
      <c r="E387" s="137"/>
      <c r="F387" s="138"/>
      <c r="G387" s="138"/>
      <c r="H387" s="112"/>
      <c r="I387" s="144"/>
      <c r="J387" s="144"/>
      <c r="K387" s="144"/>
      <c r="L387" s="86"/>
      <c r="M387" s="86"/>
      <c r="N387" s="316"/>
      <c r="O387" s="86"/>
      <c r="P387" s="86"/>
      <c r="Q387" s="86"/>
      <c r="R387" s="86"/>
      <c r="S387" s="86"/>
      <c r="T387" s="86"/>
      <c r="U387" s="86"/>
      <c r="V387" s="86"/>
      <c r="W387" s="110"/>
      <c r="X387" s="110"/>
      <c r="Y387" s="110"/>
      <c r="Z387" s="104"/>
      <c r="AA387" s="104"/>
    </row>
    <row r="388" spans="1:28" x14ac:dyDescent="0.2">
      <c r="A388" s="119"/>
      <c r="B388" s="136"/>
      <c r="C388" s="136"/>
      <c r="D388" s="136"/>
      <c r="E388" s="136"/>
      <c r="F388" s="136"/>
      <c r="G388" s="136"/>
      <c r="H388" s="119"/>
      <c r="I388" s="144"/>
      <c r="J388" s="144"/>
      <c r="K388" s="144"/>
      <c r="L388" s="86"/>
      <c r="M388" s="86"/>
      <c r="N388" s="316"/>
      <c r="O388" s="86"/>
      <c r="P388" s="86"/>
      <c r="Q388" s="86"/>
      <c r="R388" s="86"/>
      <c r="S388" s="86"/>
      <c r="T388" s="86"/>
      <c r="U388" s="86"/>
      <c r="V388" s="86"/>
      <c r="W388" s="110"/>
      <c r="X388" s="110"/>
      <c r="Y388" s="110"/>
      <c r="Z388" s="104"/>
      <c r="AA388" s="104"/>
    </row>
    <row r="389" spans="1:28" x14ac:dyDescent="0.2">
      <c r="A389" s="119"/>
      <c r="B389" s="136"/>
      <c r="C389" s="136"/>
      <c r="D389" s="137"/>
      <c r="E389" s="137"/>
      <c r="F389" s="138"/>
      <c r="G389" s="138"/>
      <c r="H389" s="112"/>
      <c r="I389" s="144"/>
      <c r="J389" s="144"/>
      <c r="K389" s="144"/>
      <c r="L389" s="86"/>
      <c r="M389" s="86"/>
      <c r="N389" s="316"/>
      <c r="O389" s="86"/>
      <c r="P389" s="86"/>
      <c r="Q389" s="86"/>
      <c r="R389" s="86"/>
      <c r="S389" s="86"/>
      <c r="T389" s="86"/>
      <c r="U389" s="86"/>
      <c r="V389" s="86"/>
      <c r="W389" s="110"/>
      <c r="X389" s="110"/>
      <c r="Y389" s="110"/>
      <c r="Z389" s="104"/>
      <c r="AA389" s="104"/>
    </row>
    <row r="390" spans="1:28" x14ac:dyDescent="0.2">
      <c r="A390" s="121"/>
      <c r="B390" s="139"/>
      <c r="C390" s="139"/>
      <c r="D390" s="140"/>
      <c r="E390" s="139"/>
      <c r="F390" s="139"/>
      <c r="G390" s="139"/>
      <c r="H390" s="121"/>
      <c r="I390" s="143"/>
      <c r="J390" s="143"/>
      <c r="K390" s="143"/>
      <c r="L390" s="106"/>
      <c r="M390" s="106"/>
      <c r="N390" s="315"/>
      <c r="O390" s="106"/>
      <c r="P390" s="106"/>
      <c r="Q390" s="106"/>
      <c r="R390" s="106"/>
      <c r="S390" s="106"/>
      <c r="T390" s="106"/>
      <c r="U390" s="107"/>
      <c r="V390" s="107"/>
      <c r="W390" s="107"/>
      <c r="X390" s="107"/>
      <c r="Y390" s="107"/>
      <c r="Z390" s="104"/>
      <c r="AA390" s="104"/>
    </row>
    <row r="391" spans="1:28" x14ac:dyDescent="0.2">
      <c r="A391" s="119"/>
      <c r="B391" s="136"/>
      <c r="C391" s="136"/>
      <c r="D391" s="136"/>
      <c r="E391" s="136"/>
      <c r="F391" s="136"/>
      <c r="G391" s="136"/>
      <c r="H391" s="119"/>
      <c r="I391" s="144"/>
      <c r="J391" s="144"/>
      <c r="K391" s="144"/>
      <c r="L391" s="86"/>
      <c r="M391" s="86"/>
      <c r="N391" s="316"/>
      <c r="O391" s="86"/>
      <c r="P391" s="86"/>
      <c r="Q391" s="86"/>
      <c r="R391" s="86"/>
      <c r="S391" s="86"/>
      <c r="T391" s="86"/>
      <c r="U391" s="110"/>
      <c r="V391" s="110"/>
      <c r="W391" s="110"/>
      <c r="X391" s="110"/>
      <c r="Y391" s="110"/>
      <c r="Z391" s="104"/>
      <c r="AA391" s="104"/>
    </row>
    <row r="392" spans="1:28" x14ac:dyDescent="0.2">
      <c r="A392" s="113"/>
      <c r="B392" s="141"/>
      <c r="C392" s="141"/>
      <c r="D392" s="137"/>
      <c r="E392" s="137"/>
      <c r="F392" s="138"/>
      <c r="G392" s="138"/>
      <c r="H392" s="112"/>
      <c r="I392" s="144"/>
      <c r="J392" s="144"/>
      <c r="K392" s="144"/>
      <c r="L392" s="86"/>
      <c r="M392" s="86"/>
      <c r="N392" s="316"/>
      <c r="O392" s="86"/>
      <c r="P392" s="86"/>
      <c r="Q392" s="86"/>
      <c r="R392" s="86"/>
      <c r="S392" s="86"/>
      <c r="T392" s="86"/>
      <c r="U392" s="110"/>
      <c r="V392" s="110"/>
      <c r="W392" s="110"/>
      <c r="X392" s="110"/>
      <c r="Y392" s="110"/>
      <c r="Z392" s="104"/>
      <c r="AA392" s="104"/>
    </row>
    <row r="393" spans="1:28" x14ac:dyDescent="0.2">
      <c r="A393" s="121"/>
      <c r="B393" s="139"/>
      <c r="C393" s="139"/>
      <c r="D393" s="140"/>
      <c r="E393" s="139"/>
      <c r="F393" s="139"/>
      <c r="G393" s="139"/>
      <c r="H393" s="121"/>
      <c r="I393" s="143"/>
      <c r="J393" s="143"/>
      <c r="K393" s="143"/>
      <c r="L393" s="106"/>
      <c r="M393" s="106"/>
      <c r="N393" s="315"/>
      <c r="O393" s="106"/>
      <c r="P393" s="106"/>
      <c r="Q393" s="106"/>
      <c r="R393" s="106"/>
      <c r="S393" s="106"/>
      <c r="T393" s="106"/>
      <c r="U393" s="107"/>
      <c r="V393" s="107"/>
      <c r="W393" s="107"/>
      <c r="X393" s="107"/>
      <c r="Y393" s="107"/>
      <c r="Z393" s="104"/>
      <c r="AA393" s="104"/>
    </row>
    <row r="394" spans="1:28" x14ac:dyDescent="0.2">
      <c r="A394" s="119"/>
      <c r="B394" s="136"/>
      <c r="C394" s="136"/>
      <c r="D394" s="136"/>
      <c r="E394" s="136"/>
      <c r="F394" s="136"/>
      <c r="G394" s="136"/>
      <c r="H394" s="119"/>
      <c r="I394" s="144"/>
      <c r="J394" s="144"/>
      <c r="K394" s="144"/>
      <c r="L394" s="86"/>
      <c r="M394" s="86"/>
      <c r="N394" s="316"/>
      <c r="O394" s="86"/>
      <c r="P394" s="86"/>
      <c r="Q394" s="86"/>
      <c r="R394" s="86"/>
      <c r="S394" s="86"/>
      <c r="T394" s="86"/>
      <c r="U394" s="110"/>
      <c r="V394" s="110"/>
      <c r="W394" s="110"/>
      <c r="X394" s="110"/>
      <c r="Y394" s="110"/>
      <c r="Z394" s="104"/>
      <c r="AA394" s="104"/>
    </row>
    <row r="395" spans="1:28" x14ac:dyDescent="0.2">
      <c r="A395" s="113"/>
      <c r="B395" s="141"/>
      <c r="C395" s="141"/>
      <c r="D395" s="137"/>
      <c r="E395" s="137"/>
      <c r="F395" s="138"/>
      <c r="G395" s="138"/>
      <c r="H395" s="112"/>
      <c r="I395" s="144"/>
      <c r="J395" s="144"/>
      <c r="K395" s="144"/>
      <c r="L395" s="86"/>
      <c r="M395" s="86"/>
      <c r="N395" s="316"/>
      <c r="O395" s="86"/>
      <c r="P395" s="86"/>
      <c r="Q395" s="86"/>
      <c r="R395" s="86"/>
      <c r="S395" s="86"/>
      <c r="T395" s="86"/>
      <c r="U395" s="110"/>
      <c r="V395" s="110"/>
      <c r="W395" s="110"/>
      <c r="X395" s="110"/>
      <c r="Y395" s="110"/>
      <c r="Z395" s="104"/>
      <c r="AA395" s="104"/>
    </row>
    <row r="396" spans="1:28" x14ac:dyDescent="0.2">
      <c r="A396" s="121"/>
      <c r="B396" s="139"/>
      <c r="C396" s="139"/>
      <c r="D396" s="140"/>
      <c r="E396" s="139"/>
      <c r="F396" s="139"/>
      <c r="G396" s="139"/>
      <c r="H396" s="121"/>
      <c r="I396" s="143"/>
      <c r="J396" s="143"/>
      <c r="K396" s="143"/>
      <c r="L396" s="106"/>
      <c r="M396" s="106"/>
      <c r="N396" s="315"/>
      <c r="O396" s="106"/>
      <c r="P396" s="106"/>
      <c r="Q396" s="106"/>
      <c r="R396" s="106"/>
      <c r="S396" s="106"/>
      <c r="T396" s="106"/>
      <c r="U396" s="107"/>
      <c r="V396" s="114"/>
      <c r="W396" s="107"/>
      <c r="X396" s="107"/>
      <c r="Y396" s="107"/>
      <c r="Z396" s="104"/>
      <c r="AA396" s="104"/>
    </row>
    <row r="397" spans="1:28" x14ac:dyDescent="0.2">
      <c r="A397" s="119"/>
      <c r="B397" s="136"/>
      <c r="C397" s="136"/>
      <c r="D397" s="136"/>
      <c r="E397" s="136"/>
      <c r="F397" s="136"/>
      <c r="G397" s="136"/>
      <c r="H397" s="119"/>
      <c r="I397" s="144"/>
      <c r="J397" s="144"/>
      <c r="K397" s="144"/>
      <c r="L397" s="86"/>
      <c r="M397" s="86"/>
      <c r="N397" s="316"/>
      <c r="O397" s="86"/>
      <c r="P397" s="86"/>
      <c r="Q397" s="86"/>
      <c r="R397" s="86"/>
      <c r="S397" s="86"/>
      <c r="T397" s="86"/>
      <c r="U397" s="110"/>
      <c r="V397" s="115"/>
      <c r="W397" s="110"/>
      <c r="X397" s="110"/>
      <c r="Y397" s="110"/>
      <c r="Z397" s="104"/>
      <c r="AA397" s="104"/>
    </row>
    <row r="398" spans="1:28" x14ac:dyDescent="0.2">
      <c r="A398" s="113"/>
      <c r="B398" s="141"/>
      <c r="C398" s="141"/>
      <c r="D398" s="137"/>
      <c r="E398" s="137"/>
      <c r="F398" s="138"/>
      <c r="G398" s="138"/>
      <c r="H398" s="112"/>
      <c r="I398" s="144"/>
      <c r="J398" s="144"/>
      <c r="K398" s="144"/>
      <c r="L398" s="86"/>
      <c r="M398" s="86"/>
      <c r="N398" s="316"/>
      <c r="O398" s="86"/>
      <c r="P398" s="86"/>
      <c r="Q398" s="86"/>
      <c r="R398" s="86"/>
      <c r="S398" s="86"/>
      <c r="T398" s="86"/>
      <c r="U398" s="110"/>
      <c r="V398" s="115"/>
      <c r="W398" s="110"/>
      <c r="X398" s="110"/>
      <c r="Y398" s="110"/>
      <c r="Z398" s="104"/>
      <c r="AA398" s="104"/>
    </row>
    <row r="399" spans="1:28" x14ac:dyDescent="0.2">
      <c r="A399" s="121"/>
      <c r="B399" s="139"/>
      <c r="C399" s="139"/>
      <c r="D399" s="139"/>
      <c r="E399" s="139"/>
      <c r="F399" s="139"/>
      <c r="G399" s="139"/>
      <c r="H399" s="121"/>
      <c r="I399" s="143"/>
      <c r="J399" s="143"/>
      <c r="K399" s="143"/>
      <c r="L399" s="106"/>
      <c r="M399" s="106"/>
      <c r="N399" s="315"/>
      <c r="O399" s="106"/>
      <c r="P399" s="106"/>
      <c r="Q399" s="106"/>
      <c r="R399" s="106"/>
      <c r="S399" s="106"/>
      <c r="T399" s="106"/>
      <c r="U399" s="107"/>
      <c r="V399" s="107"/>
      <c r="W399" s="107"/>
      <c r="X399" s="107"/>
      <c r="Y399" s="109"/>
      <c r="AB399" s="103"/>
    </row>
    <row r="400" spans="1:28" x14ac:dyDescent="0.2">
      <c r="A400" s="121"/>
      <c r="B400" s="139"/>
      <c r="C400" s="139"/>
      <c r="D400" s="140"/>
      <c r="E400" s="139"/>
      <c r="F400" s="139"/>
      <c r="G400" s="139"/>
      <c r="H400" s="121"/>
      <c r="I400" s="143"/>
      <c r="J400" s="143"/>
      <c r="K400" s="143"/>
      <c r="L400" s="106"/>
      <c r="M400" s="106"/>
      <c r="N400" s="315"/>
      <c r="O400" s="106"/>
      <c r="P400" s="106"/>
      <c r="Q400" s="106"/>
      <c r="R400" s="106"/>
      <c r="S400" s="106"/>
      <c r="T400" s="106"/>
      <c r="U400" s="107"/>
      <c r="V400" s="107"/>
      <c r="W400" s="107"/>
      <c r="X400" s="107"/>
      <c r="Y400" s="107"/>
      <c r="Z400" s="104"/>
      <c r="AA400" s="104"/>
    </row>
    <row r="401" spans="1:28" x14ac:dyDescent="0.2">
      <c r="A401" s="119"/>
      <c r="B401" s="136"/>
      <c r="C401" s="136"/>
      <c r="D401" s="136"/>
      <c r="E401" s="136"/>
      <c r="F401" s="136"/>
      <c r="G401" s="136"/>
      <c r="H401" s="119"/>
      <c r="I401" s="144"/>
      <c r="J401" s="144"/>
      <c r="K401" s="144"/>
      <c r="L401" s="86"/>
      <c r="M401" s="86"/>
      <c r="N401" s="316"/>
      <c r="O401" s="86"/>
      <c r="P401" s="86"/>
      <c r="Q401" s="86"/>
      <c r="R401" s="86"/>
      <c r="S401" s="86"/>
      <c r="T401" s="86"/>
      <c r="U401" s="110"/>
      <c r="V401" s="110"/>
      <c r="W401" s="110"/>
      <c r="X401" s="110"/>
      <c r="Y401" s="110"/>
      <c r="Z401" s="104"/>
      <c r="AA401" s="104"/>
    </row>
    <row r="402" spans="1:28" x14ac:dyDescent="0.2">
      <c r="A402" s="113"/>
      <c r="B402" s="141"/>
      <c r="C402" s="141"/>
      <c r="D402" s="137"/>
      <c r="E402" s="137"/>
      <c r="F402" s="138"/>
      <c r="G402" s="138"/>
      <c r="H402" s="112"/>
      <c r="I402" s="144"/>
      <c r="J402" s="144"/>
      <c r="K402" s="144"/>
      <c r="L402" s="86"/>
      <c r="M402" s="86"/>
      <c r="N402" s="316"/>
      <c r="O402" s="86"/>
      <c r="P402" s="86"/>
      <c r="Q402" s="86"/>
      <c r="R402" s="86"/>
      <c r="S402" s="86"/>
      <c r="T402" s="86"/>
      <c r="U402" s="110"/>
      <c r="V402" s="110"/>
      <c r="W402" s="110"/>
      <c r="X402" s="110"/>
      <c r="Y402" s="110"/>
      <c r="Z402" s="104"/>
      <c r="AA402" s="104"/>
    </row>
    <row r="403" spans="1:28" x14ac:dyDescent="0.2">
      <c r="A403" s="121"/>
      <c r="B403" s="139"/>
      <c r="C403" s="139"/>
      <c r="D403" s="140"/>
      <c r="E403" s="139"/>
      <c r="F403" s="139"/>
      <c r="G403" s="139"/>
      <c r="H403" s="121"/>
      <c r="I403" s="143"/>
      <c r="J403" s="143"/>
      <c r="K403" s="143"/>
      <c r="L403" s="106"/>
      <c r="M403" s="106"/>
      <c r="N403" s="315"/>
      <c r="O403" s="106"/>
      <c r="P403" s="106"/>
      <c r="Q403" s="106"/>
      <c r="R403" s="106"/>
      <c r="S403" s="106"/>
      <c r="T403" s="106"/>
      <c r="U403" s="107"/>
      <c r="V403" s="107"/>
      <c r="W403" s="107"/>
      <c r="X403" s="107"/>
      <c r="Y403" s="107"/>
      <c r="Z403" s="104"/>
      <c r="AA403" s="104"/>
    </row>
    <row r="404" spans="1:28" x14ac:dyDescent="0.2">
      <c r="A404" s="119"/>
      <c r="B404" s="136"/>
      <c r="C404" s="136"/>
      <c r="D404" s="136"/>
      <c r="E404" s="136"/>
      <c r="F404" s="136"/>
      <c r="G404" s="136"/>
      <c r="H404" s="119"/>
      <c r="I404" s="144"/>
      <c r="J404" s="144"/>
      <c r="K404" s="144"/>
      <c r="L404" s="86"/>
      <c r="M404" s="86"/>
      <c r="N404" s="316"/>
      <c r="O404" s="86"/>
      <c r="P404" s="86"/>
      <c r="Q404" s="86"/>
      <c r="R404" s="86"/>
      <c r="S404" s="86"/>
      <c r="T404" s="86"/>
      <c r="U404" s="110"/>
      <c r="V404" s="110"/>
      <c r="W404" s="110"/>
      <c r="X404" s="110"/>
      <c r="Y404" s="110"/>
      <c r="Z404" s="104"/>
      <c r="AA404" s="104"/>
    </row>
    <row r="405" spans="1:28" x14ac:dyDescent="0.2">
      <c r="A405" s="113"/>
      <c r="B405" s="141"/>
      <c r="C405" s="141"/>
      <c r="D405" s="137"/>
      <c r="E405" s="137"/>
      <c r="F405" s="138"/>
      <c r="G405" s="138"/>
      <c r="H405" s="112"/>
      <c r="I405" s="144"/>
      <c r="J405" s="144"/>
      <c r="K405" s="144"/>
      <c r="L405" s="86"/>
      <c r="M405" s="86"/>
      <c r="N405" s="316"/>
      <c r="O405" s="86"/>
      <c r="P405" s="86"/>
      <c r="Q405" s="86"/>
      <c r="R405" s="86"/>
      <c r="S405" s="86"/>
      <c r="T405" s="86"/>
      <c r="U405" s="110"/>
      <c r="V405" s="110"/>
      <c r="W405" s="110"/>
      <c r="X405" s="110"/>
      <c r="Y405" s="110"/>
      <c r="Z405" s="104"/>
      <c r="AA405" s="104"/>
    </row>
    <row r="406" spans="1:28" x14ac:dyDescent="0.2">
      <c r="A406" s="121"/>
      <c r="B406" s="139"/>
      <c r="C406" s="139"/>
      <c r="D406" s="140"/>
      <c r="E406" s="139"/>
      <c r="F406" s="139"/>
      <c r="G406" s="139"/>
      <c r="H406" s="121"/>
      <c r="I406" s="143"/>
      <c r="J406" s="143"/>
      <c r="K406" s="143"/>
      <c r="L406" s="106"/>
      <c r="M406" s="106"/>
      <c r="N406" s="315"/>
      <c r="O406" s="106"/>
      <c r="P406" s="106"/>
      <c r="Q406" s="106"/>
      <c r="R406" s="106"/>
      <c r="S406" s="106"/>
      <c r="T406" s="106"/>
      <c r="U406" s="107"/>
      <c r="V406" s="107"/>
      <c r="W406" s="107"/>
      <c r="X406" s="107"/>
      <c r="Y406" s="107"/>
      <c r="Z406" s="104"/>
      <c r="AA406" s="104"/>
    </row>
    <row r="407" spans="1:28" x14ac:dyDescent="0.2">
      <c r="A407" s="119"/>
      <c r="B407" s="136"/>
      <c r="C407" s="136"/>
      <c r="D407" s="136"/>
      <c r="E407" s="136"/>
      <c r="F407" s="136"/>
      <c r="G407" s="136"/>
      <c r="H407" s="119"/>
      <c r="I407" s="144"/>
      <c r="J407" s="144"/>
      <c r="K407" s="144"/>
      <c r="L407" s="86"/>
      <c r="M407" s="86"/>
      <c r="N407" s="316"/>
      <c r="O407" s="86"/>
      <c r="P407" s="86"/>
      <c r="Q407" s="86"/>
      <c r="R407" s="86"/>
      <c r="S407" s="86"/>
      <c r="T407" s="86"/>
      <c r="U407" s="110"/>
      <c r="V407" s="110"/>
      <c r="W407" s="110"/>
      <c r="X407" s="110"/>
      <c r="Y407" s="110"/>
      <c r="Z407" s="104"/>
      <c r="AA407" s="104"/>
    </row>
    <row r="408" spans="1:28" x14ac:dyDescent="0.2">
      <c r="A408" s="113"/>
      <c r="B408" s="141"/>
      <c r="C408" s="141"/>
      <c r="D408" s="137"/>
      <c r="E408" s="137"/>
      <c r="F408" s="138"/>
      <c r="G408" s="138"/>
      <c r="H408" s="112"/>
      <c r="I408" s="144"/>
      <c r="J408" s="144"/>
      <c r="K408" s="144"/>
      <c r="L408" s="86"/>
      <c r="M408" s="86"/>
      <c r="N408" s="316"/>
      <c r="O408" s="86"/>
      <c r="P408" s="86"/>
      <c r="Q408" s="86"/>
      <c r="R408" s="86"/>
      <c r="S408" s="86"/>
      <c r="T408" s="86"/>
      <c r="U408" s="110"/>
      <c r="V408" s="110"/>
      <c r="W408" s="110"/>
      <c r="X408" s="110"/>
      <c r="Y408" s="110"/>
      <c r="Z408" s="104"/>
      <c r="AA408" s="104"/>
    </row>
    <row r="409" spans="1:28" x14ac:dyDescent="0.2">
      <c r="A409" s="121"/>
      <c r="B409" s="139"/>
      <c r="C409" s="139"/>
      <c r="D409" s="139"/>
      <c r="E409" s="139"/>
      <c r="F409" s="139"/>
      <c r="G409" s="139"/>
      <c r="H409" s="121"/>
      <c r="I409" s="143"/>
      <c r="J409" s="143"/>
      <c r="K409" s="143"/>
      <c r="L409" s="106"/>
      <c r="M409" s="106"/>
      <c r="N409" s="315"/>
      <c r="O409" s="106"/>
      <c r="P409" s="106"/>
      <c r="Q409" s="106"/>
      <c r="R409" s="106"/>
      <c r="S409" s="106"/>
      <c r="T409" s="106"/>
      <c r="U409" s="114"/>
      <c r="V409" s="108"/>
      <c r="W409" s="114"/>
      <c r="X409" s="114"/>
      <c r="Y409" s="109"/>
      <c r="AB409" s="103"/>
    </row>
    <row r="410" spans="1:28" x14ac:dyDescent="0.2">
      <c r="A410" s="121"/>
      <c r="B410" s="139"/>
      <c r="C410" s="139"/>
      <c r="D410" s="140"/>
      <c r="E410" s="139"/>
      <c r="F410" s="139"/>
      <c r="G410" s="139"/>
      <c r="H410" s="121"/>
      <c r="I410" s="143"/>
      <c r="J410" s="143"/>
      <c r="K410" s="143"/>
      <c r="L410" s="106"/>
      <c r="M410" s="106"/>
      <c r="N410" s="315"/>
      <c r="O410" s="106"/>
      <c r="P410" s="106"/>
      <c r="Q410" s="106"/>
      <c r="R410" s="106"/>
      <c r="S410" s="106"/>
      <c r="T410" s="106"/>
      <c r="U410" s="114"/>
      <c r="V410" s="108"/>
      <c r="W410" s="114"/>
      <c r="X410" s="114"/>
      <c r="Y410" s="114"/>
      <c r="Z410" s="104"/>
      <c r="AA410" s="104"/>
    </row>
    <row r="411" spans="1:28" x14ac:dyDescent="0.2">
      <c r="A411" s="119"/>
      <c r="B411" s="136"/>
      <c r="C411" s="136"/>
      <c r="D411" s="136"/>
      <c r="E411" s="136"/>
      <c r="F411" s="136"/>
      <c r="G411" s="136"/>
      <c r="H411" s="119"/>
      <c r="I411" s="144"/>
      <c r="J411" s="144"/>
      <c r="K411" s="144"/>
      <c r="L411" s="86"/>
      <c r="M411" s="86"/>
      <c r="N411" s="316"/>
      <c r="O411" s="86"/>
      <c r="P411" s="86"/>
      <c r="Q411" s="86"/>
      <c r="R411" s="86"/>
      <c r="S411" s="86"/>
      <c r="T411" s="86"/>
      <c r="U411" s="115"/>
      <c r="V411" s="111"/>
      <c r="W411" s="115"/>
      <c r="X411" s="115"/>
      <c r="Y411" s="115"/>
      <c r="Z411" s="104"/>
      <c r="AA411" s="104"/>
    </row>
    <row r="412" spans="1:28" x14ac:dyDescent="0.2">
      <c r="A412" s="113"/>
      <c r="B412" s="141"/>
      <c r="C412" s="141"/>
      <c r="D412" s="138"/>
      <c r="E412" s="137"/>
      <c r="F412" s="138"/>
      <c r="G412" s="138"/>
      <c r="H412" s="112"/>
      <c r="I412" s="144"/>
      <c r="J412" s="144"/>
      <c r="K412" s="144"/>
      <c r="L412" s="86"/>
      <c r="M412" s="86"/>
      <c r="N412" s="316"/>
      <c r="O412" s="86"/>
      <c r="P412" s="86"/>
      <c r="Q412" s="86"/>
      <c r="R412" s="86"/>
      <c r="S412" s="86"/>
      <c r="T412" s="86"/>
      <c r="U412" s="115"/>
      <c r="V412" s="111"/>
      <c r="W412" s="115"/>
      <c r="X412" s="115"/>
      <c r="Y412" s="115"/>
      <c r="Z412" s="104"/>
      <c r="AA412" s="104"/>
    </row>
    <row r="413" spans="1:28" x14ac:dyDescent="0.2">
      <c r="A413" s="121"/>
      <c r="B413" s="139"/>
      <c r="C413" s="139"/>
      <c r="D413" s="139"/>
      <c r="E413" s="139"/>
      <c r="F413" s="139"/>
      <c r="G413" s="139"/>
      <c r="H413" s="121"/>
      <c r="I413" s="143"/>
      <c r="J413" s="143"/>
      <c r="K413" s="143"/>
      <c r="L413" s="106"/>
      <c r="M413" s="106"/>
      <c r="N413" s="315"/>
      <c r="O413" s="106"/>
      <c r="P413" s="106"/>
      <c r="Q413" s="106"/>
      <c r="R413" s="106"/>
      <c r="S413" s="106"/>
      <c r="T413" s="106"/>
      <c r="U413" s="107"/>
      <c r="V413" s="107"/>
      <c r="W413" s="107"/>
      <c r="X413" s="107"/>
      <c r="Y413" s="109"/>
      <c r="AB413" s="103"/>
    </row>
    <row r="414" spans="1:28" x14ac:dyDescent="0.2">
      <c r="A414" s="121"/>
      <c r="B414" s="139"/>
      <c r="C414" s="139"/>
      <c r="D414" s="140"/>
      <c r="E414" s="139"/>
      <c r="F414" s="139"/>
      <c r="G414" s="139"/>
      <c r="H414" s="121"/>
      <c r="I414" s="143"/>
      <c r="J414" s="143"/>
      <c r="K414" s="143"/>
      <c r="L414" s="106"/>
      <c r="M414" s="106"/>
      <c r="N414" s="315"/>
      <c r="O414" s="106"/>
      <c r="P414" s="106"/>
      <c r="Q414" s="106"/>
      <c r="R414" s="106"/>
      <c r="S414" s="106"/>
      <c r="T414" s="106"/>
      <c r="U414" s="107"/>
      <c r="V414" s="107"/>
      <c r="W414" s="107"/>
      <c r="X414" s="107"/>
      <c r="Y414" s="107"/>
      <c r="Z414" s="104"/>
      <c r="AA414" s="104"/>
    </row>
    <row r="415" spans="1:28" x14ac:dyDescent="0.2">
      <c r="A415" s="119"/>
      <c r="B415" s="136"/>
      <c r="C415" s="136"/>
      <c r="D415" s="136"/>
      <c r="E415" s="136"/>
      <c r="F415" s="136"/>
      <c r="G415" s="136"/>
      <c r="H415" s="119"/>
      <c r="I415" s="144"/>
      <c r="J415" s="144"/>
      <c r="K415" s="144"/>
      <c r="L415" s="86"/>
      <c r="M415" s="86"/>
      <c r="N415" s="316"/>
      <c r="O415" s="86"/>
      <c r="P415" s="86"/>
      <c r="Q415" s="86"/>
      <c r="R415" s="86"/>
      <c r="S415" s="86"/>
      <c r="T415" s="86"/>
      <c r="U415" s="110"/>
      <c r="V415" s="110"/>
      <c r="W415" s="110"/>
      <c r="X415" s="110"/>
      <c r="Y415" s="110"/>
      <c r="Z415" s="104"/>
      <c r="AA415" s="104"/>
    </row>
    <row r="416" spans="1:28" x14ac:dyDescent="0.2">
      <c r="A416" s="113"/>
      <c r="B416" s="141"/>
      <c r="C416" s="141"/>
      <c r="D416" s="137"/>
      <c r="E416" s="137"/>
      <c r="F416" s="138"/>
      <c r="G416" s="138"/>
      <c r="H416" s="112"/>
      <c r="I416" s="144"/>
      <c r="J416" s="144"/>
      <c r="K416" s="144"/>
      <c r="L416" s="86"/>
      <c r="M416" s="86"/>
      <c r="N416" s="316"/>
      <c r="O416" s="86"/>
      <c r="P416" s="86"/>
      <c r="Q416" s="86"/>
      <c r="R416" s="86"/>
      <c r="S416" s="86"/>
      <c r="T416" s="86"/>
      <c r="U416" s="110"/>
      <c r="V416" s="110"/>
      <c r="W416" s="110"/>
      <c r="X416" s="110"/>
      <c r="Y416" s="110"/>
      <c r="Z416" s="104"/>
      <c r="AA416" s="104"/>
    </row>
    <row r="417" spans="1:28" x14ac:dyDescent="0.2">
      <c r="A417" s="121"/>
      <c r="B417" s="139"/>
      <c r="C417" s="139"/>
      <c r="D417" s="140"/>
      <c r="E417" s="139"/>
      <c r="F417" s="139"/>
      <c r="G417" s="139"/>
      <c r="H417" s="121"/>
      <c r="I417" s="143"/>
      <c r="J417" s="143"/>
      <c r="K417" s="143"/>
      <c r="L417" s="106"/>
      <c r="M417" s="106"/>
      <c r="N417" s="315"/>
      <c r="O417" s="106"/>
      <c r="P417" s="106"/>
      <c r="Q417" s="106"/>
      <c r="R417" s="106"/>
      <c r="S417" s="106"/>
      <c r="T417" s="106"/>
      <c r="U417" s="107"/>
      <c r="V417" s="107"/>
      <c r="W417" s="107"/>
      <c r="X417" s="107"/>
      <c r="Y417" s="107"/>
      <c r="Z417" s="104"/>
      <c r="AA417" s="104"/>
    </row>
    <row r="418" spans="1:28" x14ac:dyDescent="0.2">
      <c r="A418" s="119"/>
      <c r="B418" s="136"/>
      <c r="C418" s="136"/>
      <c r="D418" s="136"/>
      <c r="E418" s="136"/>
      <c r="F418" s="136"/>
      <c r="G418" s="136"/>
      <c r="H418" s="119"/>
      <c r="I418" s="144"/>
      <c r="J418" s="144"/>
      <c r="K418" s="144"/>
      <c r="L418" s="86"/>
      <c r="M418" s="86"/>
      <c r="N418" s="316"/>
      <c r="O418" s="86"/>
      <c r="P418" s="86"/>
      <c r="Q418" s="86"/>
      <c r="R418" s="86"/>
      <c r="S418" s="86"/>
      <c r="T418" s="86"/>
      <c r="U418" s="110"/>
      <c r="V418" s="110"/>
      <c r="W418" s="110"/>
      <c r="X418" s="110"/>
      <c r="Y418" s="110"/>
      <c r="Z418" s="104"/>
      <c r="AA418" s="104"/>
    </row>
    <row r="419" spans="1:28" x14ac:dyDescent="0.2">
      <c r="A419" s="113"/>
      <c r="B419" s="141"/>
      <c r="C419" s="141"/>
      <c r="D419" s="137"/>
      <c r="E419" s="137"/>
      <c r="F419" s="138"/>
      <c r="G419" s="138"/>
      <c r="H419" s="112"/>
      <c r="I419" s="144"/>
      <c r="J419" s="144"/>
      <c r="K419" s="144"/>
      <c r="L419" s="86"/>
      <c r="M419" s="86"/>
      <c r="N419" s="316"/>
      <c r="O419" s="86"/>
      <c r="P419" s="86"/>
      <c r="Q419" s="86"/>
      <c r="R419" s="86"/>
      <c r="S419" s="86"/>
      <c r="T419" s="86"/>
      <c r="U419" s="110"/>
      <c r="V419" s="110"/>
      <c r="W419" s="110"/>
      <c r="X419" s="110"/>
      <c r="Y419" s="110"/>
      <c r="Z419" s="104"/>
      <c r="AA419" s="104"/>
    </row>
    <row r="420" spans="1:28" x14ac:dyDescent="0.2">
      <c r="A420" s="121"/>
      <c r="B420" s="139"/>
      <c r="C420" s="139"/>
      <c r="D420" s="140"/>
      <c r="E420" s="139"/>
      <c r="F420" s="139"/>
      <c r="G420" s="139"/>
      <c r="H420" s="121"/>
      <c r="I420" s="143"/>
      <c r="J420" s="143"/>
      <c r="K420" s="143"/>
      <c r="L420" s="106"/>
      <c r="M420" s="106"/>
      <c r="N420" s="315"/>
      <c r="O420" s="106"/>
      <c r="P420" s="106"/>
      <c r="Q420" s="106"/>
      <c r="R420" s="106"/>
      <c r="S420" s="106"/>
      <c r="T420" s="106"/>
      <c r="U420" s="107"/>
      <c r="V420" s="114"/>
      <c r="W420" s="107"/>
      <c r="X420" s="107"/>
      <c r="Y420" s="107"/>
      <c r="Z420" s="104"/>
      <c r="AA420" s="104"/>
    </row>
    <row r="421" spans="1:28" x14ac:dyDescent="0.2">
      <c r="A421" s="119"/>
      <c r="B421" s="136"/>
      <c r="C421" s="136"/>
      <c r="D421" s="136"/>
      <c r="E421" s="136"/>
      <c r="F421" s="136"/>
      <c r="G421" s="136"/>
      <c r="H421" s="119"/>
      <c r="I421" s="144"/>
      <c r="J421" s="144"/>
      <c r="K421" s="144"/>
      <c r="L421" s="86"/>
      <c r="M421" s="86"/>
      <c r="N421" s="316"/>
      <c r="O421" s="86"/>
      <c r="P421" s="86"/>
      <c r="Q421" s="86"/>
      <c r="R421" s="86"/>
      <c r="S421" s="86"/>
      <c r="T421" s="86"/>
      <c r="U421" s="110"/>
      <c r="V421" s="115"/>
      <c r="W421" s="110"/>
      <c r="X421" s="110"/>
      <c r="Y421" s="110"/>
      <c r="Z421" s="104"/>
      <c r="AA421" s="104"/>
    </row>
    <row r="422" spans="1:28" x14ac:dyDescent="0.2">
      <c r="A422" s="113"/>
      <c r="B422" s="141"/>
      <c r="C422" s="141"/>
      <c r="D422" s="137"/>
      <c r="E422" s="137"/>
      <c r="F422" s="138"/>
      <c r="G422" s="138"/>
      <c r="H422" s="112"/>
      <c r="I422" s="144"/>
      <c r="J422" s="144"/>
      <c r="K422" s="144"/>
      <c r="L422" s="86"/>
      <c r="M422" s="86"/>
      <c r="N422" s="316"/>
      <c r="O422" s="86"/>
      <c r="P422" s="86"/>
      <c r="Q422" s="86"/>
      <c r="R422" s="86"/>
      <c r="S422" s="86"/>
      <c r="T422" s="86"/>
      <c r="U422" s="110"/>
      <c r="V422" s="115"/>
      <c r="W422" s="110"/>
      <c r="X422" s="110"/>
      <c r="Y422" s="110"/>
      <c r="Z422" s="104"/>
      <c r="AA422" s="104"/>
    </row>
    <row r="423" spans="1:28" x14ac:dyDescent="0.2">
      <c r="A423" s="121"/>
      <c r="B423" s="139"/>
      <c r="C423" s="139"/>
      <c r="D423" s="139"/>
      <c r="E423" s="139"/>
      <c r="F423" s="139"/>
      <c r="G423" s="139"/>
      <c r="H423" s="121"/>
      <c r="I423" s="143"/>
      <c r="J423" s="143"/>
      <c r="K423" s="143"/>
      <c r="L423" s="106"/>
      <c r="M423" s="106"/>
      <c r="N423" s="315"/>
      <c r="O423" s="106"/>
      <c r="P423" s="106"/>
      <c r="Q423" s="106"/>
      <c r="R423" s="106"/>
      <c r="S423" s="106"/>
      <c r="T423" s="106"/>
      <c r="U423" s="107"/>
      <c r="V423" s="107"/>
      <c r="W423" s="107"/>
      <c r="X423" s="107"/>
      <c r="Y423" s="109"/>
      <c r="AB423" s="103"/>
    </row>
    <row r="424" spans="1:28" x14ac:dyDescent="0.2">
      <c r="A424" s="121"/>
      <c r="B424" s="139"/>
      <c r="C424" s="139"/>
      <c r="D424" s="140"/>
      <c r="E424" s="139"/>
      <c r="F424" s="139"/>
      <c r="G424" s="139"/>
      <c r="H424" s="121"/>
      <c r="I424" s="143"/>
      <c r="J424" s="143"/>
      <c r="K424" s="143"/>
      <c r="L424" s="106"/>
      <c r="M424" s="106"/>
      <c r="N424" s="315"/>
      <c r="O424" s="106"/>
      <c r="P424" s="106"/>
      <c r="Q424" s="106"/>
      <c r="R424" s="106"/>
      <c r="S424" s="106"/>
      <c r="T424" s="106"/>
      <c r="U424" s="107"/>
      <c r="V424" s="114"/>
      <c r="W424" s="107"/>
      <c r="X424" s="107"/>
      <c r="Y424" s="107"/>
      <c r="Z424" s="104"/>
      <c r="AA424" s="104"/>
    </row>
    <row r="425" spans="1:28" x14ac:dyDescent="0.2">
      <c r="A425" s="119"/>
      <c r="B425" s="136"/>
      <c r="C425" s="136"/>
      <c r="D425" s="136"/>
      <c r="E425" s="136"/>
      <c r="F425" s="136"/>
      <c r="G425" s="136"/>
      <c r="H425" s="119"/>
      <c r="I425" s="144"/>
      <c r="J425" s="144"/>
      <c r="K425" s="144"/>
      <c r="L425" s="86"/>
      <c r="M425" s="86"/>
      <c r="N425" s="316"/>
      <c r="O425" s="86"/>
      <c r="P425" s="86"/>
      <c r="Q425" s="86"/>
      <c r="R425" s="86"/>
      <c r="S425" s="86"/>
      <c r="T425" s="86"/>
      <c r="U425" s="110"/>
      <c r="V425" s="115"/>
      <c r="W425" s="110"/>
      <c r="X425" s="110"/>
      <c r="Y425" s="110"/>
      <c r="Z425" s="104"/>
      <c r="AA425" s="104"/>
    </row>
    <row r="426" spans="1:28" x14ac:dyDescent="0.2">
      <c r="A426" s="113"/>
      <c r="B426" s="141"/>
      <c r="C426" s="141"/>
      <c r="D426" s="137"/>
      <c r="E426" s="137"/>
      <c r="F426" s="138"/>
      <c r="G426" s="138"/>
      <c r="H426" s="112"/>
      <c r="I426" s="144"/>
      <c r="J426" s="144"/>
      <c r="K426" s="144"/>
      <c r="L426" s="86"/>
      <c r="M426" s="86"/>
      <c r="N426" s="316"/>
      <c r="O426" s="86"/>
      <c r="P426" s="86"/>
      <c r="Q426" s="86"/>
      <c r="R426" s="86"/>
      <c r="S426" s="86"/>
      <c r="T426" s="86"/>
      <c r="U426" s="110"/>
      <c r="V426" s="115"/>
      <c r="W426" s="110"/>
      <c r="X426" s="110"/>
      <c r="Y426" s="110"/>
      <c r="Z426" s="104"/>
      <c r="AA426" s="104"/>
    </row>
    <row r="427" spans="1:28" x14ac:dyDescent="0.2">
      <c r="A427" s="121"/>
      <c r="B427" s="139"/>
      <c r="C427" s="139"/>
      <c r="D427" s="140"/>
      <c r="E427" s="139"/>
      <c r="F427" s="139"/>
      <c r="G427" s="139"/>
      <c r="H427" s="121"/>
      <c r="I427" s="143"/>
      <c r="J427" s="143"/>
      <c r="K427" s="143"/>
      <c r="L427" s="106"/>
      <c r="M427" s="106"/>
      <c r="N427" s="315"/>
      <c r="O427" s="106"/>
      <c r="P427" s="106"/>
      <c r="Q427" s="106"/>
      <c r="R427" s="106"/>
      <c r="S427" s="106"/>
      <c r="T427" s="106"/>
      <c r="U427" s="107"/>
      <c r="V427" s="114"/>
      <c r="W427" s="107"/>
      <c r="X427" s="107"/>
      <c r="Y427" s="107"/>
      <c r="Z427" s="104"/>
      <c r="AA427" s="104"/>
    </row>
    <row r="428" spans="1:28" x14ac:dyDescent="0.2">
      <c r="A428" s="119"/>
      <c r="B428" s="136"/>
      <c r="C428" s="136"/>
      <c r="D428" s="136"/>
      <c r="E428" s="136"/>
      <c r="F428" s="136"/>
      <c r="G428" s="136"/>
      <c r="H428" s="119"/>
      <c r="I428" s="144"/>
      <c r="J428" s="144"/>
      <c r="K428" s="144"/>
      <c r="L428" s="86"/>
      <c r="M428" s="86"/>
      <c r="N428" s="316"/>
      <c r="O428" s="86"/>
      <c r="P428" s="86"/>
      <c r="Q428" s="86"/>
      <c r="R428" s="86"/>
      <c r="S428" s="86"/>
      <c r="T428" s="86"/>
      <c r="U428" s="110"/>
      <c r="V428" s="115"/>
      <c r="W428" s="110"/>
      <c r="X428" s="110"/>
      <c r="Y428" s="110"/>
      <c r="Z428" s="104"/>
      <c r="AA428" s="104"/>
    </row>
    <row r="429" spans="1:28" x14ac:dyDescent="0.2">
      <c r="A429" s="113"/>
      <c r="B429" s="141"/>
      <c r="C429" s="141"/>
      <c r="D429" s="137"/>
      <c r="E429" s="137"/>
      <c r="F429" s="138"/>
      <c r="G429" s="138"/>
      <c r="H429" s="112"/>
      <c r="I429" s="144"/>
      <c r="J429" s="144"/>
      <c r="K429" s="144"/>
      <c r="L429" s="86"/>
      <c r="M429" s="86"/>
      <c r="N429" s="316"/>
      <c r="O429" s="86"/>
      <c r="P429" s="86"/>
      <c r="Q429" s="86"/>
      <c r="R429" s="86"/>
      <c r="S429" s="86"/>
      <c r="T429" s="86"/>
      <c r="U429" s="110"/>
      <c r="V429" s="115"/>
      <c r="W429" s="110"/>
      <c r="X429" s="110"/>
      <c r="Y429" s="110"/>
      <c r="Z429" s="104"/>
      <c r="AA429" s="104"/>
    </row>
    <row r="430" spans="1:28" x14ac:dyDescent="0.2">
      <c r="A430" s="121"/>
      <c r="B430" s="139"/>
      <c r="C430" s="139"/>
      <c r="D430" s="139"/>
      <c r="E430" s="139"/>
      <c r="F430" s="139"/>
      <c r="G430" s="139"/>
      <c r="H430" s="121"/>
      <c r="I430" s="143"/>
      <c r="J430" s="143"/>
      <c r="K430" s="143"/>
      <c r="L430" s="106"/>
      <c r="M430" s="106"/>
      <c r="N430" s="315"/>
      <c r="O430" s="106"/>
      <c r="P430" s="106"/>
      <c r="Q430" s="106"/>
      <c r="R430" s="106"/>
      <c r="S430" s="106"/>
      <c r="T430" s="106"/>
      <c r="U430" s="107"/>
      <c r="V430" s="107"/>
      <c r="W430" s="107"/>
      <c r="X430" s="107"/>
      <c r="Y430" s="109"/>
      <c r="AB430" s="103"/>
    </row>
    <row r="431" spans="1:28" x14ac:dyDescent="0.2">
      <c r="A431" s="121"/>
      <c r="B431" s="139"/>
      <c r="C431" s="139"/>
      <c r="D431" s="140"/>
      <c r="E431" s="139"/>
      <c r="F431" s="139"/>
      <c r="G431" s="139"/>
      <c r="H431" s="121"/>
      <c r="I431" s="143"/>
      <c r="J431" s="143"/>
      <c r="K431" s="143"/>
      <c r="L431" s="106"/>
      <c r="M431" s="106"/>
      <c r="N431" s="315"/>
      <c r="O431" s="106"/>
      <c r="P431" s="106"/>
      <c r="Q431" s="106"/>
      <c r="R431" s="106"/>
      <c r="S431" s="106"/>
      <c r="T431" s="106"/>
      <c r="U431" s="107"/>
      <c r="V431" s="107"/>
      <c r="W431" s="107"/>
      <c r="X431" s="107"/>
      <c r="Y431" s="107"/>
      <c r="Z431" s="104"/>
      <c r="AA431" s="104"/>
    </row>
    <row r="432" spans="1:28" x14ac:dyDescent="0.2">
      <c r="A432" s="119"/>
      <c r="B432" s="136"/>
      <c r="C432" s="136"/>
      <c r="D432" s="136"/>
      <c r="E432" s="136"/>
      <c r="F432" s="136"/>
      <c r="G432" s="136"/>
      <c r="H432" s="119"/>
      <c r="I432" s="144"/>
      <c r="J432" s="144"/>
      <c r="K432" s="144"/>
      <c r="L432" s="86"/>
      <c r="M432" s="86"/>
      <c r="N432" s="316"/>
      <c r="O432" s="86"/>
      <c r="P432" s="86"/>
      <c r="Q432" s="86"/>
      <c r="R432" s="86"/>
      <c r="S432" s="86"/>
      <c r="T432" s="86"/>
      <c r="U432" s="110"/>
      <c r="V432" s="110"/>
      <c r="W432" s="110"/>
      <c r="X432" s="110"/>
      <c r="Y432" s="110"/>
      <c r="Z432" s="104"/>
      <c r="AA432" s="104"/>
    </row>
    <row r="433" spans="1:28" x14ac:dyDescent="0.2">
      <c r="A433" s="113"/>
      <c r="B433" s="141"/>
      <c r="C433" s="141"/>
      <c r="D433" s="137"/>
      <c r="E433" s="137"/>
      <c r="F433" s="138"/>
      <c r="G433" s="138"/>
      <c r="H433" s="112"/>
      <c r="I433" s="144"/>
      <c r="J433" s="144"/>
      <c r="K433" s="144"/>
      <c r="L433" s="86"/>
      <c r="M433" s="86"/>
      <c r="N433" s="316"/>
      <c r="O433" s="86"/>
      <c r="P433" s="86"/>
      <c r="Q433" s="86"/>
      <c r="R433" s="86"/>
      <c r="S433" s="86"/>
      <c r="T433" s="86"/>
      <c r="U433" s="110"/>
      <c r="V433" s="110"/>
      <c r="W433" s="110"/>
      <c r="X433" s="110"/>
      <c r="Y433" s="110"/>
      <c r="Z433" s="104"/>
      <c r="AA433" s="104"/>
    </row>
    <row r="434" spans="1:28" x14ac:dyDescent="0.2">
      <c r="A434" s="121"/>
      <c r="B434" s="139"/>
      <c r="C434" s="139"/>
      <c r="D434" s="139"/>
      <c r="E434" s="139"/>
      <c r="F434" s="139"/>
      <c r="G434" s="139"/>
      <c r="H434" s="121"/>
      <c r="I434" s="143"/>
      <c r="J434" s="143"/>
      <c r="K434" s="143"/>
      <c r="L434" s="106"/>
      <c r="M434" s="106"/>
      <c r="N434" s="315"/>
      <c r="O434" s="106"/>
      <c r="P434" s="106"/>
      <c r="Q434" s="106"/>
      <c r="R434" s="106"/>
      <c r="S434" s="114"/>
      <c r="T434" s="108"/>
      <c r="U434" s="106"/>
      <c r="V434" s="106"/>
      <c r="W434" s="114"/>
      <c r="X434" s="114"/>
      <c r="Y434" s="109"/>
      <c r="AB434" s="103"/>
    </row>
    <row r="435" spans="1:28" x14ac:dyDescent="0.2">
      <c r="A435" s="121"/>
      <c r="B435" s="139"/>
      <c r="C435" s="139"/>
      <c r="D435" s="140"/>
      <c r="E435" s="139"/>
      <c r="F435" s="139"/>
      <c r="G435" s="139"/>
      <c r="H435" s="121"/>
      <c r="I435" s="143"/>
      <c r="J435" s="143"/>
      <c r="K435" s="143"/>
      <c r="L435" s="106"/>
      <c r="M435" s="106"/>
      <c r="N435" s="315"/>
      <c r="O435" s="106"/>
      <c r="P435" s="106"/>
      <c r="Q435" s="106"/>
      <c r="R435" s="106"/>
      <c r="S435" s="114"/>
      <c r="T435" s="108"/>
      <c r="U435" s="106"/>
      <c r="V435" s="106"/>
      <c r="W435" s="114"/>
      <c r="X435" s="114"/>
      <c r="Y435" s="114"/>
      <c r="Z435" s="104"/>
      <c r="AA435" s="104"/>
    </row>
    <row r="436" spans="1:28" x14ac:dyDescent="0.2">
      <c r="A436" s="119"/>
      <c r="B436" s="136"/>
      <c r="C436" s="136"/>
      <c r="D436" s="136"/>
      <c r="E436" s="136"/>
      <c r="F436" s="136"/>
      <c r="G436" s="136"/>
      <c r="H436" s="119"/>
      <c r="I436" s="144"/>
      <c r="J436" s="144"/>
      <c r="K436" s="144"/>
      <c r="L436" s="86"/>
      <c r="M436" s="86"/>
      <c r="N436" s="316"/>
      <c r="O436" s="86"/>
      <c r="P436" s="86"/>
      <c r="Q436" s="86"/>
      <c r="R436" s="86"/>
      <c r="S436" s="115"/>
      <c r="T436" s="111"/>
      <c r="U436" s="86"/>
      <c r="V436" s="86"/>
      <c r="W436" s="115"/>
      <c r="X436" s="115"/>
      <c r="Y436" s="115"/>
      <c r="Z436" s="104"/>
      <c r="AA436" s="104"/>
    </row>
    <row r="437" spans="1:28" x14ac:dyDescent="0.2">
      <c r="A437" s="119"/>
      <c r="B437" s="136"/>
      <c r="C437" s="136"/>
      <c r="D437" s="137"/>
      <c r="E437" s="137"/>
      <c r="F437" s="138"/>
      <c r="G437" s="138"/>
      <c r="H437" s="112"/>
      <c r="I437" s="144"/>
      <c r="J437" s="144"/>
      <c r="K437" s="144"/>
      <c r="L437" s="86"/>
      <c r="M437" s="86"/>
      <c r="N437" s="316"/>
      <c r="O437" s="86"/>
      <c r="P437" s="86"/>
      <c r="Q437" s="86"/>
      <c r="R437" s="86"/>
      <c r="S437" s="115"/>
      <c r="T437" s="111"/>
      <c r="U437" s="86"/>
      <c r="V437" s="86"/>
      <c r="W437" s="115"/>
      <c r="X437" s="115"/>
      <c r="Y437" s="115"/>
      <c r="Z437" s="104"/>
      <c r="AA437" s="104"/>
    </row>
    <row r="438" spans="1:28" x14ac:dyDescent="0.2">
      <c r="A438" s="119"/>
      <c r="B438" s="136"/>
      <c r="C438" s="136"/>
      <c r="D438" s="136"/>
      <c r="E438" s="136"/>
      <c r="F438" s="136"/>
      <c r="G438" s="136"/>
      <c r="H438" s="119"/>
      <c r="I438" s="144"/>
      <c r="J438" s="144"/>
      <c r="K438" s="144"/>
      <c r="L438" s="86"/>
      <c r="M438" s="86"/>
      <c r="N438" s="316"/>
      <c r="O438" s="86"/>
      <c r="P438" s="86"/>
      <c r="Q438" s="86"/>
      <c r="R438" s="86"/>
      <c r="S438" s="115"/>
      <c r="T438" s="111"/>
      <c r="U438" s="86"/>
      <c r="V438" s="86"/>
      <c r="W438" s="115"/>
      <c r="X438" s="115"/>
      <c r="Y438" s="115"/>
      <c r="Z438" s="104"/>
      <c r="AA438" s="104"/>
    </row>
    <row r="439" spans="1:28" x14ac:dyDescent="0.2">
      <c r="A439" s="119"/>
      <c r="B439" s="136"/>
      <c r="C439" s="136"/>
      <c r="D439" s="137"/>
      <c r="E439" s="137"/>
      <c r="F439" s="138"/>
      <c r="G439" s="138"/>
      <c r="H439" s="112"/>
      <c r="I439" s="144"/>
      <c r="J439" s="144"/>
      <c r="K439" s="144"/>
      <c r="L439" s="86"/>
      <c r="M439" s="86"/>
      <c r="N439" s="316"/>
      <c r="O439" s="86"/>
      <c r="P439" s="86"/>
      <c r="Q439" s="86"/>
      <c r="R439" s="86"/>
      <c r="S439" s="115"/>
      <c r="T439" s="111"/>
      <c r="U439" s="86"/>
      <c r="V439" s="86"/>
      <c r="W439" s="115"/>
      <c r="X439" s="115"/>
      <c r="Y439" s="115"/>
      <c r="Z439" s="104"/>
      <c r="AA439" s="104"/>
    </row>
    <row r="440" spans="1:28" x14ac:dyDescent="0.2">
      <c r="A440" s="121"/>
      <c r="B440" s="139"/>
      <c r="C440" s="139"/>
      <c r="D440" s="139"/>
      <c r="E440" s="139"/>
      <c r="F440" s="139"/>
      <c r="G440" s="139"/>
      <c r="H440" s="121"/>
      <c r="I440" s="143"/>
      <c r="J440" s="143"/>
      <c r="K440" s="143"/>
      <c r="L440" s="106"/>
      <c r="M440" s="114"/>
      <c r="N440" s="317"/>
      <c r="O440" s="106"/>
      <c r="P440" s="106"/>
      <c r="Q440" s="106"/>
      <c r="R440" s="106"/>
      <c r="S440" s="106"/>
      <c r="T440" s="106"/>
      <c r="U440" s="107"/>
      <c r="V440" s="114"/>
      <c r="W440" s="107"/>
      <c r="X440" s="107"/>
      <c r="Y440" s="109"/>
      <c r="AB440" s="103"/>
    </row>
    <row r="441" spans="1:28" x14ac:dyDescent="0.2">
      <c r="A441" s="121"/>
      <c r="B441" s="139"/>
      <c r="C441" s="139"/>
      <c r="D441" s="140"/>
      <c r="E441" s="139"/>
      <c r="F441" s="139"/>
      <c r="G441" s="139"/>
      <c r="H441" s="121"/>
      <c r="I441" s="143"/>
      <c r="J441" s="143"/>
      <c r="K441" s="143"/>
      <c r="L441" s="106"/>
      <c r="M441" s="106"/>
      <c r="N441" s="315"/>
      <c r="O441" s="106"/>
      <c r="P441" s="106"/>
      <c r="Q441" s="106"/>
      <c r="R441" s="106"/>
      <c r="S441" s="106"/>
      <c r="T441" s="106"/>
      <c r="U441" s="107"/>
      <c r="V441" s="114"/>
      <c r="W441" s="107"/>
      <c r="X441" s="107"/>
      <c r="Y441" s="107"/>
      <c r="Z441" s="104"/>
      <c r="AA441" s="104"/>
    </row>
    <row r="442" spans="1:28" x14ac:dyDescent="0.2">
      <c r="A442" s="119"/>
      <c r="B442" s="136"/>
      <c r="C442" s="136"/>
      <c r="D442" s="136"/>
      <c r="E442" s="136"/>
      <c r="F442" s="136"/>
      <c r="G442" s="136"/>
      <c r="H442" s="119"/>
      <c r="I442" s="144"/>
      <c r="J442" s="144"/>
      <c r="K442" s="144"/>
      <c r="L442" s="86"/>
      <c r="M442" s="86"/>
      <c r="N442" s="316"/>
      <c r="O442" s="86"/>
      <c r="P442" s="86"/>
      <c r="Q442" s="86"/>
      <c r="R442" s="86"/>
      <c r="S442" s="86"/>
      <c r="T442" s="86"/>
      <c r="U442" s="110"/>
      <c r="V442" s="115"/>
      <c r="W442" s="110"/>
      <c r="X442" s="110"/>
      <c r="Y442" s="110"/>
      <c r="Z442" s="104"/>
      <c r="AA442" s="104"/>
    </row>
    <row r="443" spans="1:28" x14ac:dyDescent="0.2">
      <c r="A443" s="113"/>
      <c r="B443" s="141"/>
      <c r="C443" s="141"/>
      <c r="D443" s="137"/>
      <c r="E443" s="137"/>
      <c r="F443" s="138"/>
      <c r="G443" s="138"/>
      <c r="H443" s="112"/>
      <c r="I443" s="144"/>
      <c r="J443" s="144"/>
      <c r="K443" s="144"/>
      <c r="L443" s="86"/>
      <c r="M443" s="86"/>
      <c r="N443" s="316"/>
      <c r="O443" s="86"/>
      <c r="P443" s="86"/>
      <c r="Q443" s="86"/>
      <c r="R443" s="86"/>
      <c r="S443" s="86"/>
      <c r="T443" s="86"/>
      <c r="U443" s="110"/>
      <c r="V443" s="115"/>
      <c r="W443" s="110"/>
      <c r="X443" s="110"/>
      <c r="Y443" s="110"/>
      <c r="Z443" s="104"/>
      <c r="AA443" s="104"/>
    </row>
    <row r="444" spans="1:28" x14ac:dyDescent="0.2">
      <c r="A444" s="121"/>
      <c r="B444" s="139"/>
      <c r="C444" s="139"/>
      <c r="D444" s="140"/>
      <c r="E444" s="139"/>
      <c r="F444" s="139"/>
      <c r="G444" s="139"/>
      <c r="H444" s="121"/>
      <c r="I444" s="143"/>
      <c r="J444" s="143"/>
      <c r="K444" s="143"/>
      <c r="L444" s="106"/>
      <c r="M444" s="114"/>
      <c r="N444" s="317"/>
      <c r="O444" s="106"/>
      <c r="P444" s="106"/>
      <c r="Q444" s="106"/>
      <c r="R444" s="106"/>
      <c r="S444" s="106"/>
      <c r="T444" s="106"/>
      <c r="U444" s="106"/>
      <c r="V444" s="106"/>
      <c r="W444" s="114"/>
      <c r="X444" s="114"/>
      <c r="Y444" s="114"/>
      <c r="Z444" s="104"/>
      <c r="AA444" s="104"/>
    </row>
    <row r="445" spans="1:28" x14ac:dyDescent="0.2">
      <c r="A445" s="119"/>
      <c r="B445" s="136"/>
      <c r="C445" s="136"/>
      <c r="D445" s="136"/>
      <c r="E445" s="136"/>
      <c r="F445" s="136"/>
      <c r="G445" s="136"/>
      <c r="H445" s="119"/>
      <c r="I445" s="144"/>
      <c r="J445" s="144"/>
      <c r="K445" s="144"/>
      <c r="L445" s="86"/>
      <c r="M445" s="115"/>
      <c r="N445" s="318"/>
      <c r="O445" s="86"/>
      <c r="P445" s="86"/>
      <c r="Q445" s="86"/>
      <c r="R445" s="86"/>
      <c r="S445" s="86"/>
      <c r="T445" s="86"/>
      <c r="U445" s="86"/>
      <c r="V445" s="86"/>
      <c r="W445" s="115"/>
      <c r="X445" s="115"/>
      <c r="Y445" s="115"/>
      <c r="Z445" s="104"/>
      <c r="AA445" s="104"/>
    </row>
    <row r="446" spans="1:28" x14ac:dyDescent="0.2">
      <c r="A446" s="119"/>
      <c r="B446" s="136"/>
      <c r="C446" s="136"/>
      <c r="D446" s="137"/>
      <c r="E446" s="137"/>
      <c r="F446" s="138"/>
      <c r="G446" s="138"/>
      <c r="H446" s="112"/>
      <c r="I446" s="144"/>
      <c r="J446" s="144"/>
      <c r="K446" s="144"/>
      <c r="L446" s="86"/>
      <c r="M446" s="115"/>
      <c r="N446" s="318"/>
      <c r="O446" s="86"/>
      <c r="P446" s="86"/>
      <c r="Q446" s="86"/>
      <c r="R446" s="86"/>
      <c r="S446" s="86"/>
      <c r="T446" s="86"/>
      <c r="U446" s="86"/>
      <c r="V446" s="86"/>
      <c r="W446" s="115"/>
      <c r="X446" s="115"/>
      <c r="Y446" s="115"/>
      <c r="Z446" s="104"/>
      <c r="AA446" s="104"/>
    </row>
    <row r="447" spans="1:28" x14ac:dyDescent="0.2">
      <c r="A447" s="121"/>
      <c r="B447" s="139"/>
      <c r="C447" s="139"/>
      <c r="D447" s="139"/>
      <c r="E447" s="139"/>
      <c r="F447" s="139"/>
      <c r="G447" s="139"/>
      <c r="H447" s="121"/>
      <c r="I447" s="143"/>
      <c r="J447" s="143"/>
      <c r="K447" s="143"/>
      <c r="L447" s="106"/>
      <c r="M447" s="114"/>
      <c r="N447" s="317"/>
      <c r="O447" s="106"/>
      <c r="P447" s="106"/>
      <c r="Q447" s="106"/>
      <c r="R447" s="106"/>
      <c r="S447" s="107"/>
      <c r="T447" s="108"/>
      <c r="U447" s="106"/>
      <c r="V447" s="106"/>
      <c r="W447" s="107"/>
      <c r="X447" s="107"/>
      <c r="Y447" s="109"/>
      <c r="AB447" s="103"/>
    </row>
    <row r="448" spans="1:28" x14ac:dyDescent="0.2">
      <c r="A448" s="121"/>
      <c r="B448" s="139"/>
      <c r="C448" s="139"/>
      <c r="D448" s="140"/>
      <c r="E448" s="139"/>
      <c r="F448" s="139"/>
      <c r="G448" s="139"/>
      <c r="H448" s="121"/>
      <c r="I448" s="143"/>
      <c r="J448" s="143"/>
      <c r="K448" s="143"/>
      <c r="L448" s="106"/>
      <c r="M448" s="114"/>
      <c r="N448" s="317"/>
      <c r="O448" s="106"/>
      <c r="P448" s="106"/>
      <c r="Q448" s="106"/>
      <c r="R448" s="106"/>
      <c r="S448" s="107"/>
      <c r="T448" s="108"/>
      <c r="U448" s="106"/>
      <c r="V448" s="106"/>
      <c r="W448" s="107"/>
      <c r="X448" s="107"/>
      <c r="Y448" s="107"/>
      <c r="Z448" s="104"/>
      <c r="AA448" s="104"/>
    </row>
    <row r="449" spans="1:28" x14ac:dyDescent="0.2">
      <c r="A449" s="119"/>
      <c r="B449" s="136"/>
      <c r="C449" s="136"/>
      <c r="D449" s="136"/>
      <c r="E449" s="136"/>
      <c r="F449" s="136"/>
      <c r="G449" s="136"/>
      <c r="H449" s="119"/>
      <c r="I449" s="144"/>
      <c r="J449" s="144"/>
      <c r="K449" s="144"/>
      <c r="L449" s="86"/>
      <c r="M449" s="86"/>
      <c r="N449" s="316"/>
      <c r="O449" s="86"/>
      <c r="P449" s="86"/>
      <c r="Q449" s="86"/>
      <c r="R449" s="86"/>
      <c r="S449" s="110"/>
      <c r="T449" s="111"/>
      <c r="U449" s="86"/>
      <c r="V449" s="86"/>
      <c r="W449" s="110"/>
      <c r="X449" s="110"/>
      <c r="Y449" s="110"/>
      <c r="Z449" s="104"/>
      <c r="AA449" s="104"/>
    </row>
    <row r="450" spans="1:28" x14ac:dyDescent="0.2">
      <c r="A450" s="119"/>
      <c r="B450" s="136"/>
      <c r="C450" s="136"/>
      <c r="D450" s="137"/>
      <c r="E450" s="137"/>
      <c r="F450" s="138"/>
      <c r="G450" s="138"/>
      <c r="H450" s="112"/>
      <c r="I450" s="144"/>
      <c r="J450" s="144"/>
      <c r="K450" s="144"/>
      <c r="L450" s="86"/>
      <c r="M450" s="86"/>
      <c r="N450" s="316"/>
      <c r="O450" s="86"/>
      <c r="P450" s="86"/>
      <c r="Q450" s="86"/>
      <c r="R450" s="86"/>
      <c r="S450" s="110"/>
      <c r="T450" s="111"/>
      <c r="U450" s="86"/>
      <c r="V450" s="86"/>
      <c r="W450" s="110"/>
      <c r="X450" s="110"/>
      <c r="Y450" s="110"/>
      <c r="Z450" s="104"/>
      <c r="AA450" s="104"/>
    </row>
    <row r="451" spans="1:28" x14ac:dyDescent="0.2">
      <c r="A451" s="119"/>
      <c r="B451" s="136"/>
      <c r="C451" s="136"/>
      <c r="D451" s="136"/>
      <c r="E451" s="136"/>
      <c r="F451" s="136"/>
      <c r="G451" s="136"/>
      <c r="H451" s="119"/>
      <c r="I451" s="144"/>
      <c r="J451" s="144"/>
      <c r="K451" s="144"/>
      <c r="L451" s="86"/>
      <c r="M451" s="115"/>
      <c r="N451" s="318"/>
      <c r="O451" s="86"/>
      <c r="P451" s="86"/>
      <c r="Q451" s="86"/>
      <c r="R451" s="86"/>
      <c r="S451" s="86"/>
      <c r="T451" s="86"/>
      <c r="U451" s="86"/>
      <c r="V451" s="86"/>
      <c r="W451" s="115"/>
      <c r="X451" s="115"/>
      <c r="Y451" s="115"/>
      <c r="Z451" s="104"/>
      <c r="AA451" s="104"/>
    </row>
    <row r="452" spans="1:28" x14ac:dyDescent="0.2">
      <c r="A452" s="119"/>
      <c r="B452" s="136"/>
      <c r="C452" s="136"/>
      <c r="D452" s="137"/>
      <c r="E452" s="137"/>
      <c r="F452" s="138"/>
      <c r="G452" s="138"/>
      <c r="H452" s="112"/>
      <c r="I452" s="144"/>
      <c r="J452" s="144"/>
      <c r="K452" s="144"/>
      <c r="L452" s="86"/>
      <c r="M452" s="115"/>
      <c r="N452" s="318"/>
      <c r="O452" s="86"/>
      <c r="P452" s="86"/>
      <c r="Q452" s="86"/>
      <c r="R452" s="86"/>
      <c r="S452" s="86"/>
      <c r="T452" s="86"/>
      <c r="U452" s="86"/>
      <c r="V452" s="86"/>
      <c r="W452" s="115"/>
      <c r="X452" s="115"/>
      <c r="Y452" s="115"/>
      <c r="Z452" s="104"/>
      <c r="AA452" s="104"/>
    </row>
    <row r="453" spans="1:28" x14ac:dyDescent="0.2">
      <c r="A453" s="121"/>
      <c r="B453" s="139"/>
      <c r="C453" s="139"/>
      <c r="D453" s="139"/>
      <c r="E453" s="139"/>
      <c r="F453" s="139"/>
      <c r="G453" s="139"/>
      <c r="H453" s="121"/>
      <c r="I453" s="143"/>
      <c r="J453" s="143"/>
      <c r="K453" s="143"/>
      <c r="L453" s="106"/>
      <c r="M453" s="106"/>
      <c r="N453" s="315"/>
      <c r="O453" s="106"/>
      <c r="P453" s="106"/>
      <c r="Q453" s="106"/>
      <c r="R453" s="106"/>
      <c r="S453" s="106"/>
      <c r="T453" s="106"/>
      <c r="U453" s="107"/>
      <c r="V453" s="107"/>
      <c r="W453" s="107"/>
      <c r="X453" s="107"/>
      <c r="Y453" s="109"/>
      <c r="AB453" s="103"/>
    </row>
    <row r="454" spans="1:28" x14ac:dyDescent="0.2">
      <c r="A454" s="121"/>
      <c r="B454" s="139"/>
      <c r="C454" s="139"/>
      <c r="D454" s="140"/>
      <c r="E454" s="139"/>
      <c r="F454" s="139"/>
      <c r="G454" s="139"/>
      <c r="H454" s="121"/>
      <c r="I454" s="143"/>
      <c r="J454" s="143"/>
      <c r="K454" s="143"/>
      <c r="L454" s="106"/>
      <c r="M454" s="106"/>
      <c r="N454" s="315"/>
      <c r="O454" s="106"/>
      <c r="P454" s="106"/>
      <c r="Q454" s="106"/>
      <c r="R454" s="106"/>
      <c r="S454" s="106"/>
      <c r="T454" s="106"/>
      <c r="U454" s="107"/>
      <c r="V454" s="107"/>
      <c r="W454" s="107"/>
      <c r="X454" s="107"/>
      <c r="Y454" s="107"/>
      <c r="Z454" s="104"/>
      <c r="AA454" s="104"/>
    </row>
    <row r="455" spans="1:28" x14ac:dyDescent="0.2">
      <c r="A455" s="119"/>
      <c r="B455" s="136"/>
      <c r="C455" s="136"/>
      <c r="D455" s="136"/>
      <c r="E455" s="136"/>
      <c r="F455" s="136"/>
      <c r="G455" s="136"/>
      <c r="H455" s="119"/>
      <c r="I455" s="144"/>
      <c r="J455" s="144"/>
      <c r="K455" s="144"/>
      <c r="L455" s="86"/>
      <c r="M455" s="86"/>
      <c r="N455" s="316"/>
      <c r="O455" s="86"/>
      <c r="P455" s="86"/>
      <c r="Q455" s="86"/>
      <c r="R455" s="86"/>
      <c r="S455" s="86"/>
      <c r="T455" s="86"/>
      <c r="U455" s="110"/>
      <c r="V455" s="110"/>
      <c r="W455" s="110"/>
      <c r="X455" s="110"/>
      <c r="Y455" s="110"/>
      <c r="Z455" s="104"/>
      <c r="AA455" s="104"/>
    </row>
    <row r="456" spans="1:28" x14ac:dyDescent="0.2">
      <c r="A456" s="113"/>
      <c r="B456" s="141"/>
      <c r="C456" s="141"/>
      <c r="D456" s="137"/>
      <c r="E456" s="137"/>
      <c r="F456" s="138"/>
      <c r="G456" s="138"/>
      <c r="H456" s="112"/>
      <c r="I456" s="144"/>
      <c r="J456" s="144"/>
      <c r="K456" s="144"/>
      <c r="L456" s="86"/>
      <c r="M456" s="86"/>
      <c r="N456" s="316"/>
      <c r="O456" s="86"/>
      <c r="P456" s="86"/>
      <c r="Q456" s="86"/>
      <c r="R456" s="86"/>
      <c r="S456" s="86"/>
      <c r="T456" s="86"/>
      <c r="U456" s="110"/>
      <c r="V456" s="110"/>
      <c r="W456" s="110"/>
      <c r="X456" s="110"/>
      <c r="Y456" s="110"/>
      <c r="Z456" s="104"/>
      <c r="AA456" s="104"/>
    </row>
    <row r="457" spans="1:28" x14ac:dyDescent="0.2">
      <c r="A457" s="121"/>
      <c r="B457" s="139"/>
      <c r="C457" s="139"/>
      <c r="D457" s="139"/>
      <c r="E457" s="139"/>
      <c r="F457" s="139"/>
      <c r="G457" s="139"/>
      <c r="H457" s="121"/>
      <c r="I457" s="143"/>
      <c r="J457" s="143"/>
      <c r="K457" s="143"/>
      <c r="L457" s="106"/>
      <c r="M457" s="106"/>
      <c r="N457" s="315"/>
      <c r="O457" s="106"/>
      <c r="P457" s="106"/>
      <c r="Q457" s="106"/>
      <c r="R457" s="106"/>
      <c r="S457" s="106"/>
      <c r="T457" s="106"/>
      <c r="U457" s="107"/>
      <c r="V457" s="114"/>
      <c r="W457" s="107"/>
      <c r="X457" s="107"/>
      <c r="Y457" s="109"/>
      <c r="AB457" s="103"/>
    </row>
    <row r="458" spans="1:28" x14ac:dyDescent="0.2">
      <c r="A458" s="121"/>
      <c r="B458" s="139"/>
      <c r="C458" s="139"/>
      <c r="D458" s="140"/>
      <c r="E458" s="139"/>
      <c r="F458" s="139"/>
      <c r="G458" s="139"/>
      <c r="H458" s="121"/>
      <c r="I458" s="143"/>
      <c r="J458" s="143"/>
      <c r="K458" s="143"/>
      <c r="L458" s="106"/>
      <c r="M458" s="106"/>
      <c r="N458" s="315"/>
      <c r="O458" s="106"/>
      <c r="P458" s="106"/>
      <c r="Q458" s="106"/>
      <c r="R458" s="106"/>
      <c r="S458" s="106"/>
      <c r="T458" s="106"/>
      <c r="U458" s="107"/>
      <c r="V458" s="114"/>
      <c r="W458" s="107"/>
      <c r="X458" s="107"/>
      <c r="Y458" s="107"/>
      <c r="Z458" s="104"/>
      <c r="AA458" s="104"/>
    </row>
    <row r="459" spans="1:28" x14ac:dyDescent="0.2">
      <c r="A459" s="119"/>
      <c r="B459" s="136"/>
      <c r="C459" s="136"/>
      <c r="D459" s="136"/>
      <c r="E459" s="136"/>
      <c r="F459" s="136"/>
      <c r="G459" s="136"/>
      <c r="H459" s="119"/>
      <c r="I459" s="144"/>
      <c r="J459" s="144"/>
      <c r="K459" s="144"/>
      <c r="L459" s="86"/>
      <c r="M459" s="86"/>
      <c r="N459" s="316"/>
      <c r="O459" s="86"/>
      <c r="P459" s="86"/>
      <c r="Q459" s="86"/>
      <c r="R459" s="86"/>
      <c r="S459" s="86"/>
      <c r="T459" s="86"/>
      <c r="U459" s="110"/>
      <c r="V459" s="115"/>
      <c r="W459" s="110"/>
      <c r="X459" s="110"/>
      <c r="Y459" s="110"/>
      <c r="Z459" s="104"/>
      <c r="AA459" s="104"/>
    </row>
    <row r="460" spans="1:28" x14ac:dyDescent="0.2">
      <c r="A460" s="113"/>
      <c r="B460" s="141"/>
      <c r="C460" s="141"/>
      <c r="D460" s="137"/>
      <c r="E460" s="137"/>
      <c r="F460" s="138"/>
      <c r="G460" s="138"/>
      <c r="H460" s="112"/>
      <c r="I460" s="144"/>
      <c r="J460" s="144"/>
      <c r="K460" s="144"/>
      <c r="L460" s="86"/>
      <c r="M460" s="86"/>
      <c r="N460" s="316"/>
      <c r="O460" s="86"/>
      <c r="P460" s="86"/>
      <c r="Q460" s="86"/>
      <c r="R460" s="86"/>
      <c r="S460" s="86"/>
      <c r="T460" s="86"/>
      <c r="U460" s="110"/>
      <c r="V460" s="115"/>
      <c r="W460" s="110"/>
      <c r="X460" s="110"/>
      <c r="Y460" s="110"/>
      <c r="Z460" s="104"/>
      <c r="AA460" s="104"/>
    </row>
    <row r="461" spans="1:28" x14ac:dyDescent="0.2">
      <c r="A461" s="121"/>
      <c r="B461" s="139"/>
      <c r="C461" s="139"/>
      <c r="D461" s="139"/>
      <c r="E461" s="139"/>
      <c r="F461" s="139"/>
      <c r="G461" s="139"/>
      <c r="H461" s="121"/>
      <c r="I461" s="143"/>
      <c r="J461" s="143"/>
      <c r="K461" s="143"/>
      <c r="L461" s="106"/>
      <c r="M461" s="106"/>
      <c r="N461" s="315"/>
      <c r="O461" s="106"/>
      <c r="P461" s="106"/>
      <c r="Q461" s="106"/>
      <c r="R461" s="106"/>
      <c r="S461" s="107"/>
      <c r="T461" s="108"/>
      <c r="U461" s="106"/>
      <c r="V461" s="106"/>
      <c r="W461" s="107"/>
      <c r="X461" s="107"/>
      <c r="Y461" s="109"/>
      <c r="AB461" s="103"/>
    </row>
    <row r="462" spans="1:28" x14ac:dyDescent="0.2">
      <c r="A462" s="121"/>
      <c r="B462" s="139"/>
      <c r="C462" s="139"/>
      <c r="D462" s="140"/>
      <c r="E462" s="139"/>
      <c r="F462" s="139"/>
      <c r="G462" s="139"/>
      <c r="H462" s="121"/>
      <c r="I462" s="143"/>
      <c r="J462" s="143"/>
      <c r="K462" s="143"/>
      <c r="L462" s="106"/>
      <c r="M462" s="106"/>
      <c r="N462" s="315"/>
      <c r="O462" s="106"/>
      <c r="P462" s="106"/>
      <c r="Q462" s="106"/>
      <c r="R462" s="106"/>
      <c r="S462" s="107"/>
      <c r="T462" s="108"/>
      <c r="U462" s="106"/>
      <c r="V462" s="106"/>
      <c r="W462" s="107"/>
      <c r="X462" s="107"/>
      <c r="Y462" s="107"/>
      <c r="Z462" s="104"/>
      <c r="AA462" s="104"/>
    </row>
    <row r="463" spans="1:28" x14ac:dyDescent="0.2">
      <c r="A463" s="119"/>
      <c r="B463" s="136"/>
      <c r="C463" s="136"/>
      <c r="D463" s="136"/>
      <c r="E463" s="136"/>
      <c r="F463" s="136"/>
      <c r="G463" s="136"/>
      <c r="H463" s="119"/>
      <c r="I463" s="144"/>
      <c r="J463" s="144"/>
      <c r="K463" s="144"/>
      <c r="L463" s="86"/>
      <c r="M463" s="86"/>
      <c r="N463" s="316"/>
      <c r="O463" s="86"/>
      <c r="P463" s="86"/>
      <c r="Q463" s="86"/>
      <c r="R463" s="86"/>
      <c r="S463" s="110"/>
      <c r="T463" s="111"/>
      <c r="U463" s="86"/>
      <c r="V463" s="86"/>
      <c r="W463" s="110"/>
      <c r="X463" s="110"/>
      <c r="Y463" s="110"/>
      <c r="Z463" s="104"/>
      <c r="AA463" s="104"/>
    </row>
    <row r="464" spans="1:28" x14ac:dyDescent="0.2">
      <c r="A464" s="119"/>
      <c r="B464" s="136"/>
      <c r="C464" s="136"/>
      <c r="D464" s="137"/>
      <c r="E464" s="137"/>
      <c r="F464" s="138"/>
      <c r="G464" s="138"/>
      <c r="H464" s="112"/>
      <c r="I464" s="144"/>
      <c r="J464" s="144"/>
      <c r="K464" s="144"/>
      <c r="L464" s="86"/>
      <c r="M464" s="86"/>
      <c r="N464" s="316"/>
      <c r="O464" s="86"/>
      <c r="P464" s="86"/>
      <c r="Q464" s="86"/>
      <c r="R464" s="86"/>
      <c r="S464" s="110"/>
      <c r="T464" s="111"/>
      <c r="U464" s="86"/>
      <c r="V464" s="86"/>
      <c r="W464" s="110"/>
      <c r="X464" s="110"/>
      <c r="Y464" s="110"/>
      <c r="Z464" s="104"/>
      <c r="AA464" s="104"/>
    </row>
    <row r="465" spans="1:28" x14ac:dyDescent="0.2">
      <c r="A465" s="121"/>
      <c r="B465" s="139"/>
      <c r="C465" s="139"/>
      <c r="D465" s="139"/>
      <c r="E465" s="139"/>
      <c r="F465" s="139"/>
      <c r="G465" s="139"/>
      <c r="H465" s="121"/>
      <c r="I465" s="143"/>
      <c r="J465" s="143"/>
      <c r="K465" s="143"/>
      <c r="L465" s="106"/>
      <c r="M465" s="106"/>
      <c r="N465" s="315"/>
      <c r="O465" s="106"/>
      <c r="P465" s="106"/>
      <c r="Q465" s="106"/>
      <c r="R465" s="106"/>
      <c r="S465" s="106"/>
      <c r="T465" s="106"/>
      <c r="U465" s="107"/>
      <c r="V465" s="107"/>
      <c r="W465" s="107"/>
      <c r="X465" s="107"/>
      <c r="Y465" s="109"/>
      <c r="AB465" s="103"/>
    </row>
    <row r="466" spans="1:28" x14ac:dyDescent="0.2">
      <c r="A466" s="121"/>
      <c r="B466" s="139"/>
      <c r="C466" s="139"/>
      <c r="D466" s="140"/>
      <c r="E466" s="139"/>
      <c r="F466" s="139"/>
      <c r="G466" s="139"/>
      <c r="H466" s="121"/>
      <c r="I466" s="143"/>
      <c r="J466" s="143"/>
      <c r="K466" s="143"/>
      <c r="L466" s="106"/>
      <c r="M466" s="106"/>
      <c r="N466" s="315"/>
      <c r="O466" s="106"/>
      <c r="P466" s="106"/>
      <c r="Q466" s="106"/>
      <c r="R466" s="106"/>
      <c r="S466" s="106"/>
      <c r="T466" s="106"/>
      <c r="U466" s="107"/>
      <c r="V466" s="114"/>
      <c r="W466" s="107"/>
      <c r="X466" s="107"/>
      <c r="Y466" s="107"/>
      <c r="Z466" s="104"/>
      <c r="AA466" s="104"/>
    </row>
    <row r="467" spans="1:28" x14ac:dyDescent="0.2">
      <c r="A467" s="119"/>
      <c r="B467" s="136"/>
      <c r="C467" s="136"/>
      <c r="D467" s="136"/>
      <c r="E467" s="136"/>
      <c r="F467" s="136"/>
      <c r="G467" s="136"/>
      <c r="H467" s="119"/>
      <c r="I467" s="144"/>
      <c r="J467" s="144"/>
      <c r="K467" s="144"/>
      <c r="L467" s="86"/>
      <c r="M467" s="86"/>
      <c r="N467" s="316"/>
      <c r="O467" s="86"/>
      <c r="P467" s="86"/>
      <c r="Q467" s="86"/>
      <c r="R467" s="86"/>
      <c r="S467" s="86"/>
      <c r="T467" s="86"/>
      <c r="U467" s="110"/>
      <c r="V467" s="115"/>
      <c r="W467" s="110"/>
      <c r="X467" s="110"/>
      <c r="Y467" s="110"/>
      <c r="Z467" s="104"/>
      <c r="AA467" s="104"/>
    </row>
    <row r="468" spans="1:28" x14ac:dyDescent="0.2">
      <c r="A468" s="113"/>
      <c r="B468" s="141"/>
      <c r="C468" s="141"/>
      <c r="D468" s="137"/>
      <c r="E468" s="137"/>
      <c r="F468" s="138"/>
      <c r="G468" s="138"/>
      <c r="H468" s="112"/>
      <c r="I468" s="144"/>
      <c r="J468" s="144"/>
      <c r="K468" s="144"/>
      <c r="L468" s="86"/>
      <c r="M468" s="86"/>
      <c r="N468" s="316"/>
      <c r="O468" s="86"/>
      <c r="P468" s="86"/>
      <c r="Q468" s="86"/>
      <c r="R468" s="86"/>
      <c r="S468" s="86"/>
      <c r="T468" s="86"/>
      <c r="U468" s="110"/>
      <c r="V468" s="115"/>
      <c r="W468" s="110"/>
      <c r="X468" s="110"/>
      <c r="Y468" s="110"/>
      <c r="Z468" s="104"/>
      <c r="AA468" s="104"/>
    </row>
    <row r="469" spans="1:28" x14ac:dyDescent="0.2">
      <c r="A469" s="121"/>
      <c r="B469" s="139"/>
      <c r="C469" s="139"/>
      <c r="D469" s="140"/>
      <c r="E469" s="139"/>
      <c r="F469" s="139"/>
      <c r="G469" s="139"/>
      <c r="H469" s="121"/>
      <c r="I469" s="143"/>
      <c r="J469" s="143"/>
      <c r="K469" s="143"/>
      <c r="L469" s="106"/>
      <c r="M469" s="106"/>
      <c r="N469" s="315"/>
      <c r="O469" s="106"/>
      <c r="P469" s="106"/>
      <c r="Q469" s="106"/>
      <c r="R469" s="106"/>
      <c r="S469" s="106"/>
      <c r="T469" s="106"/>
      <c r="U469" s="107"/>
      <c r="V469" s="107"/>
      <c r="W469" s="107"/>
      <c r="X469" s="107"/>
      <c r="Y469" s="107"/>
      <c r="Z469" s="104"/>
      <c r="AA469" s="104"/>
    </row>
    <row r="470" spans="1:28" x14ac:dyDescent="0.2">
      <c r="A470" s="119"/>
      <c r="B470" s="136"/>
      <c r="C470" s="136"/>
      <c r="D470" s="136"/>
      <c r="E470" s="136"/>
      <c r="F470" s="136"/>
      <c r="G470" s="136"/>
      <c r="H470" s="119"/>
      <c r="I470" s="144"/>
      <c r="J470" s="144"/>
      <c r="K470" s="144"/>
      <c r="L470" s="86"/>
      <c r="M470" s="86"/>
      <c r="N470" s="316"/>
      <c r="O470" s="86"/>
      <c r="P470" s="86"/>
      <c r="Q470" s="86"/>
      <c r="R470" s="86"/>
      <c r="S470" s="86"/>
      <c r="T470" s="86"/>
      <c r="U470" s="110"/>
      <c r="V470" s="110"/>
      <c r="W470" s="110"/>
      <c r="X470" s="110"/>
      <c r="Y470" s="110"/>
      <c r="Z470" s="104"/>
      <c r="AA470" s="104"/>
    </row>
    <row r="471" spans="1:28" x14ac:dyDescent="0.2">
      <c r="A471" s="113"/>
      <c r="B471" s="141"/>
      <c r="C471" s="141"/>
      <c r="D471" s="137"/>
      <c r="E471" s="137"/>
      <c r="F471" s="138"/>
      <c r="G471" s="138"/>
      <c r="H471" s="112"/>
      <c r="I471" s="144"/>
      <c r="J471" s="144"/>
      <c r="K471" s="144"/>
      <c r="L471" s="86"/>
      <c r="M471" s="86"/>
      <c r="N471" s="316"/>
      <c r="O471" s="86"/>
      <c r="P471" s="86"/>
      <c r="Q471" s="86"/>
      <c r="R471" s="86"/>
      <c r="S471" s="86"/>
      <c r="T471" s="86"/>
      <c r="U471" s="110"/>
      <c r="V471" s="110"/>
      <c r="W471" s="110"/>
      <c r="X471" s="110"/>
      <c r="Y471" s="110"/>
      <c r="Z471" s="104"/>
      <c r="AA471" s="104"/>
    </row>
    <row r="472" spans="1:28" x14ac:dyDescent="0.2">
      <c r="A472" s="121"/>
      <c r="B472" s="139"/>
      <c r="C472" s="139"/>
      <c r="D472" s="140"/>
      <c r="E472" s="139"/>
      <c r="F472" s="139"/>
      <c r="G472" s="139"/>
      <c r="H472" s="121"/>
      <c r="I472" s="143"/>
      <c r="J472" s="143"/>
      <c r="K472" s="143"/>
      <c r="L472" s="106"/>
      <c r="M472" s="106"/>
      <c r="N472" s="315"/>
      <c r="O472" s="106"/>
      <c r="P472" s="106"/>
      <c r="Q472" s="106"/>
      <c r="R472" s="106"/>
      <c r="S472" s="106"/>
      <c r="T472" s="106"/>
      <c r="U472" s="107"/>
      <c r="V472" s="107"/>
      <c r="W472" s="107"/>
      <c r="X472" s="107"/>
      <c r="Y472" s="107"/>
      <c r="Z472" s="104"/>
      <c r="AA472" s="104"/>
    </row>
    <row r="473" spans="1:28" x14ac:dyDescent="0.2">
      <c r="A473" s="119"/>
      <c r="B473" s="136"/>
      <c r="C473" s="136"/>
      <c r="D473" s="136"/>
      <c r="E473" s="136"/>
      <c r="F473" s="136"/>
      <c r="G473" s="136"/>
      <c r="H473" s="119"/>
      <c r="I473" s="144"/>
      <c r="J473" s="144"/>
      <c r="K473" s="144"/>
      <c r="L473" s="86"/>
      <c r="M473" s="86"/>
      <c r="N473" s="316"/>
      <c r="O473" s="86"/>
      <c r="P473" s="86"/>
      <c r="Q473" s="86"/>
      <c r="R473" s="86"/>
      <c r="S473" s="86"/>
      <c r="T473" s="86"/>
      <c r="U473" s="110"/>
      <c r="V473" s="110"/>
      <c r="W473" s="110"/>
      <c r="X473" s="110"/>
      <c r="Y473" s="110"/>
      <c r="Z473" s="104"/>
      <c r="AA473" s="104"/>
    </row>
    <row r="474" spans="1:28" x14ac:dyDescent="0.2">
      <c r="A474" s="113"/>
      <c r="B474" s="141"/>
      <c r="C474" s="141"/>
      <c r="D474" s="137"/>
      <c r="E474" s="137"/>
      <c r="F474" s="138"/>
      <c r="G474" s="138"/>
      <c r="H474" s="112"/>
      <c r="I474" s="144"/>
      <c r="J474" s="144"/>
      <c r="K474" s="144"/>
      <c r="L474" s="86"/>
      <c r="M474" s="86"/>
      <c r="N474" s="316"/>
      <c r="O474" s="86"/>
      <c r="P474" s="86"/>
      <c r="Q474" s="86"/>
      <c r="R474" s="86"/>
      <c r="S474" s="86"/>
      <c r="T474" s="86"/>
      <c r="U474" s="110"/>
      <c r="V474" s="110"/>
      <c r="W474" s="110"/>
      <c r="X474" s="110"/>
      <c r="Y474" s="110"/>
      <c r="Z474" s="104"/>
      <c r="AA474" s="104"/>
    </row>
    <row r="475" spans="1:28" x14ac:dyDescent="0.2">
      <c r="A475" s="121"/>
      <c r="B475" s="139"/>
      <c r="C475" s="139"/>
      <c r="D475" s="140"/>
      <c r="E475" s="139"/>
      <c r="F475" s="139"/>
      <c r="G475" s="139"/>
      <c r="H475" s="121"/>
      <c r="I475" s="143"/>
      <c r="J475" s="143"/>
      <c r="K475" s="143"/>
      <c r="L475" s="106"/>
      <c r="M475" s="106"/>
      <c r="N475" s="315"/>
      <c r="O475" s="106"/>
      <c r="P475" s="106"/>
      <c r="Q475" s="106"/>
      <c r="R475" s="106"/>
      <c r="S475" s="106"/>
      <c r="T475" s="106"/>
      <c r="U475" s="107"/>
      <c r="V475" s="107"/>
      <c r="W475" s="107"/>
      <c r="X475" s="107"/>
      <c r="Y475" s="107"/>
      <c r="Z475" s="104"/>
      <c r="AA475" s="104"/>
    </row>
    <row r="476" spans="1:28" x14ac:dyDescent="0.2">
      <c r="A476" s="119"/>
      <c r="B476" s="136"/>
      <c r="C476" s="136"/>
      <c r="D476" s="136"/>
      <c r="E476" s="136"/>
      <c r="F476" s="136"/>
      <c r="G476" s="136"/>
      <c r="H476" s="119"/>
      <c r="I476" s="144"/>
      <c r="J476" s="144"/>
      <c r="K476" s="144"/>
      <c r="L476" s="86"/>
      <c r="M476" s="86"/>
      <c r="N476" s="316"/>
      <c r="O476" s="86"/>
      <c r="P476" s="86"/>
      <c r="Q476" s="86"/>
      <c r="R476" s="86"/>
      <c r="S476" s="86"/>
      <c r="T476" s="86"/>
      <c r="U476" s="110"/>
      <c r="V476" s="110"/>
      <c r="W476" s="110"/>
      <c r="X476" s="110"/>
      <c r="Y476" s="110"/>
      <c r="Z476" s="104"/>
      <c r="AA476" s="104"/>
    </row>
    <row r="477" spans="1:28" x14ac:dyDescent="0.2">
      <c r="A477" s="113"/>
      <c r="B477" s="141"/>
      <c r="C477" s="141"/>
      <c r="D477" s="137"/>
      <c r="E477" s="137"/>
      <c r="F477" s="138"/>
      <c r="G477" s="138"/>
      <c r="H477" s="112"/>
      <c r="I477" s="144"/>
      <c r="J477" s="144"/>
      <c r="K477" s="144"/>
      <c r="L477" s="86"/>
      <c r="M477" s="86"/>
      <c r="N477" s="316"/>
      <c r="O477" s="86"/>
      <c r="P477" s="86"/>
      <c r="Q477" s="86"/>
      <c r="R477" s="86"/>
      <c r="S477" s="86"/>
      <c r="T477" s="86"/>
      <c r="U477" s="110"/>
      <c r="V477" s="110"/>
      <c r="W477" s="110"/>
      <c r="X477" s="110"/>
      <c r="Y477" s="110"/>
      <c r="Z477" s="104"/>
      <c r="AA477" s="104"/>
    </row>
    <row r="478" spans="1:28" x14ac:dyDescent="0.2">
      <c r="A478" s="121"/>
      <c r="B478" s="139"/>
      <c r="C478" s="139"/>
      <c r="D478" s="140"/>
      <c r="E478" s="139"/>
      <c r="F478" s="139"/>
      <c r="G478" s="139"/>
      <c r="H478" s="121"/>
      <c r="I478" s="143"/>
      <c r="J478" s="143"/>
      <c r="K478" s="143"/>
      <c r="L478" s="106"/>
      <c r="M478" s="106"/>
      <c r="N478" s="315"/>
      <c r="O478" s="106"/>
      <c r="P478" s="106"/>
      <c r="Q478" s="106"/>
      <c r="R478" s="106"/>
      <c r="S478" s="106"/>
      <c r="T478" s="106"/>
      <c r="U478" s="107"/>
      <c r="V478" s="114"/>
      <c r="W478" s="107"/>
      <c r="X478" s="107"/>
      <c r="Y478" s="107"/>
      <c r="Z478" s="104"/>
      <c r="AA478" s="104"/>
    </row>
    <row r="479" spans="1:28" x14ac:dyDescent="0.2">
      <c r="A479" s="119"/>
      <c r="B479" s="136"/>
      <c r="C479" s="136"/>
      <c r="D479" s="136"/>
      <c r="E479" s="136"/>
      <c r="F479" s="136"/>
      <c r="G479" s="136"/>
      <c r="H479" s="119"/>
      <c r="I479" s="144"/>
      <c r="J479" s="144"/>
      <c r="K479" s="144"/>
      <c r="L479" s="86"/>
      <c r="M479" s="86"/>
      <c r="N479" s="316"/>
      <c r="O479" s="86"/>
      <c r="P479" s="86"/>
      <c r="Q479" s="86"/>
      <c r="R479" s="86"/>
      <c r="S479" s="86"/>
      <c r="T479" s="86"/>
      <c r="U479" s="110"/>
      <c r="V479" s="115"/>
      <c r="W479" s="110"/>
      <c r="X479" s="110"/>
      <c r="Y479" s="110"/>
      <c r="Z479" s="104"/>
      <c r="AA479" s="104"/>
    </row>
    <row r="480" spans="1:28" x14ac:dyDescent="0.2">
      <c r="A480" s="113"/>
      <c r="B480" s="141"/>
      <c r="C480" s="141"/>
      <c r="D480" s="137"/>
      <c r="E480" s="137"/>
      <c r="F480" s="138"/>
      <c r="G480" s="138"/>
      <c r="H480" s="112"/>
      <c r="I480" s="144"/>
      <c r="J480" s="144"/>
      <c r="K480" s="144"/>
      <c r="L480" s="86"/>
      <c r="M480" s="86"/>
      <c r="N480" s="316"/>
      <c r="O480" s="86"/>
      <c r="P480" s="86"/>
      <c r="Q480" s="86"/>
      <c r="R480" s="86"/>
      <c r="S480" s="86"/>
      <c r="T480" s="86"/>
      <c r="U480" s="110"/>
      <c r="V480" s="115"/>
      <c r="W480" s="110"/>
      <c r="X480" s="110"/>
      <c r="Y480" s="110"/>
      <c r="Z480" s="104"/>
      <c r="AA480" s="104"/>
    </row>
    <row r="481" spans="1:28" x14ac:dyDescent="0.2">
      <c r="A481" s="121"/>
      <c r="B481" s="139"/>
      <c r="C481" s="139"/>
      <c r="D481" s="140"/>
      <c r="E481" s="139"/>
      <c r="F481" s="139"/>
      <c r="G481" s="139"/>
      <c r="H481" s="121"/>
      <c r="I481" s="143"/>
      <c r="J481" s="143"/>
      <c r="K481" s="143"/>
      <c r="L481" s="106"/>
      <c r="M481" s="106"/>
      <c r="N481" s="315"/>
      <c r="O481" s="106"/>
      <c r="P481" s="106"/>
      <c r="Q481" s="106"/>
      <c r="R481" s="106"/>
      <c r="S481" s="106"/>
      <c r="T481" s="106"/>
      <c r="U481" s="107"/>
      <c r="V481" s="107"/>
      <c r="W481" s="107"/>
      <c r="X481" s="107"/>
      <c r="Y481" s="107"/>
      <c r="Z481" s="104"/>
      <c r="AA481" s="104"/>
    </row>
    <row r="482" spans="1:28" x14ac:dyDescent="0.2">
      <c r="A482" s="119"/>
      <c r="B482" s="136"/>
      <c r="C482" s="136"/>
      <c r="D482" s="136"/>
      <c r="E482" s="136"/>
      <c r="F482" s="136"/>
      <c r="G482" s="136"/>
      <c r="H482" s="119"/>
      <c r="I482" s="144"/>
      <c r="J482" s="144"/>
      <c r="K482" s="144"/>
      <c r="L482" s="86"/>
      <c r="M482" s="86"/>
      <c r="N482" s="316"/>
      <c r="O482" s="86"/>
      <c r="P482" s="86"/>
      <c r="Q482" s="86"/>
      <c r="R482" s="86"/>
      <c r="S482" s="86"/>
      <c r="T482" s="86"/>
      <c r="U482" s="110"/>
      <c r="V482" s="110"/>
      <c r="W482" s="110"/>
      <c r="X482" s="110"/>
      <c r="Y482" s="110"/>
      <c r="Z482" s="104"/>
      <c r="AA482" s="104"/>
    </row>
    <row r="483" spans="1:28" x14ac:dyDescent="0.2">
      <c r="A483" s="113"/>
      <c r="B483" s="141"/>
      <c r="C483" s="141"/>
      <c r="D483" s="137"/>
      <c r="E483" s="137"/>
      <c r="F483" s="138"/>
      <c r="G483" s="138"/>
      <c r="H483" s="112"/>
      <c r="I483" s="144"/>
      <c r="J483" s="144"/>
      <c r="K483" s="144"/>
      <c r="L483" s="86"/>
      <c r="M483" s="86"/>
      <c r="N483" s="316"/>
      <c r="O483" s="86"/>
      <c r="P483" s="86"/>
      <c r="Q483" s="86"/>
      <c r="R483" s="86"/>
      <c r="S483" s="86"/>
      <c r="T483" s="86"/>
      <c r="U483" s="110"/>
      <c r="V483" s="110"/>
      <c r="W483" s="110"/>
      <c r="X483" s="110"/>
      <c r="Y483" s="110"/>
      <c r="Z483" s="104"/>
      <c r="AA483" s="104"/>
    </row>
    <row r="484" spans="1:28" x14ac:dyDescent="0.2">
      <c r="A484" s="121"/>
      <c r="B484" s="139"/>
      <c r="C484" s="139"/>
      <c r="D484" s="139"/>
      <c r="E484" s="139"/>
      <c r="F484" s="139"/>
      <c r="G484" s="139"/>
      <c r="H484" s="121"/>
      <c r="I484" s="143"/>
      <c r="J484" s="143"/>
      <c r="K484" s="143"/>
      <c r="L484" s="106"/>
      <c r="M484" s="106"/>
      <c r="N484" s="315"/>
      <c r="O484" s="106"/>
      <c r="P484" s="106"/>
      <c r="Q484" s="107"/>
      <c r="R484" s="108"/>
      <c r="S484" s="106"/>
      <c r="T484" s="106"/>
      <c r="U484" s="106"/>
      <c r="V484" s="106"/>
      <c r="W484" s="107"/>
      <c r="X484" s="107"/>
      <c r="Y484" s="109"/>
      <c r="AB484" s="103"/>
    </row>
    <row r="485" spans="1:28" x14ac:dyDescent="0.2">
      <c r="A485" s="121"/>
      <c r="B485" s="139"/>
      <c r="C485" s="139"/>
      <c r="D485" s="140"/>
      <c r="E485" s="139"/>
      <c r="F485" s="139"/>
      <c r="G485" s="139"/>
      <c r="H485" s="122"/>
      <c r="I485" s="143"/>
      <c r="J485" s="143"/>
      <c r="K485" s="143"/>
      <c r="L485" s="106"/>
      <c r="M485" s="106"/>
      <c r="N485" s="315"/>
      <c r="O485" s="106"/>
      <c r="P485" s="106"/>
      <c r="Q485" s="107"/>
      <c r="R485" s="108"/>
      <c r="S485" s="106"/>
      <c r="T485" s="106"/>
      <c r="U485" s="106"/>
      <c r="V485" s="106"/>
      <c r="W485" s="107"/>
      <c r="X485" s="107"/>
      <c r="Y485" s="107"/>
      <c r="Z485" s="104"/>
      <c r="AA485" s="104"/>
    </row>
    <row r="486" spans="1:28" x14ac:dyDescent="0.2">
      <c r="A486" s="119"/>
      <c r="B486" s="136"/>
      <c r="C486" s="136"/>
      <c r="D486" s="136"/>
      <c r="E486" s="136"/>
      <c r="F486" s="136"/>
      <c r="G486" s="136"/>
      <c r="H486" s="119"/>
      <c r="I486" s="144"/>
      <c r="J486" s="144"/>
      <c r="K486" s="144"/>
      <c r="L486" s="86"/>
      <c r="M486" s="86"/>
      <c r="N486" s="316"/>
      <c r="O486" s="86"/>
      <c r="P486" s="86"/>
      <c r="Q486" s="110"/>
      <c r="R486" s="111"/>
      <c r="S486" s="86"/>
      <c r="T486" s="86"/>
      <c r="U486" s="86"/>
      <c r="V486" s="86"/>
      <c r="W486" s="110"/>
      <c r="X486" s="110"/>
      <c r="Y486" s="110"/>
      <c r="Z486" s="104"/>
      <c r="AA486" s="104"/>
    </row>
    <row r="487" spans="1:28" x14ac:dyDescent="0.2">
      <c r="A487" s="119"/>
      <c r="B487" s="136"/>
      <c r="C487" s="136"/>
      <c r="D487" s="137"/>
      <c r="E487" s="137"/>
      <c r="F487" s="138"/>
      <c r="G487" s="138"/>
      <c r="H487" s="116"/>
      <c r="I487" s="144"/>
      <c r="J487" s="144"/>
      <c r="K487" s="144"/>
      <c r="L487" s="86"/>
      <c r="M487" s="86"/>
      <c r="N487" s="316"/>
      <c r="O487" s="86"/>
      <c r="P487" s="86"/>
      <c r="Q487" s="110"/>
      <c r="R487" s="111"/>
      <c r="S487" s="86"/>
      <c r="T487" s="86"/>
      <c r="U487" s="86"/>
      <c r="V487" s="86"/>
      <c r="W487" s="110"/>
      <c r="X487" s="110"/>
      <c r="Y487" s="110"/>
      <c r="Z487" s="104"/>
      <c r="AA487" s="104"/>
    </row>
    <row r="488" spans="1:28" x14ac:dyDescent="0.2">
      <c r="A488" s="121"/>
      <c r="B488" s="139"/>
      <c r="C488" s="139"/>
      <c r="D488" s="139"/>
      <c r="E488" s="139"/>
      <c r="F488" s="139"/>
      <c r="G488" s="139"/>
      <c r="H488" s="121"/>
      <c r="I488" s="143"/>
      <c r="J488" s="143"/>
      <c r="K488" s="143"/>
      <c r="L488" s="106"/>
      <c r="M488" s="106"/>
      <c r="N488" s="315"/>
      <c r="O488" s="106"/>
      <c r="P488" s="106"/>
      <c r="Q488" s="106"/>
      <c r="R488" s="106"/>
      <c r="S488" s="106"/>
      <c r="T488" s="106"/>
      <c r="U488" s="107"/>
      <c r="V488" s="114"/>
      <c r="W488" s="107"/>
      <c r="X488" s="107"/>
      <c r="Y488" s="109"/>
      <c r="AB488" s="103"/>
    </row>
    <row r="489" spans="1:28" x14ac:dyDescent="0.2">
      <c r="A489" s="121"/>
      <c r="B489" s="139"/>
      <c r="C489" s="139"/>
      <c r="D489" s="140"/>
      <c r="E489" s="139"/>
      <c r="F489" s="139"/>
      <c r="G489" s="139"/>
      <c r="H489" s="121"/>
      <c r="I489" s="143"/>
      <c r="J489" s="143"/>
      <c r="K489" s="143"/>
      <c r="L489" s="106"/>
      <c r="M489" s="106"/>
      <c r="N489" s="315"/>
      <c r="O489" s="106"/>
      <c r="P489" s="106"/>
      <c r="Q489" s="106"/>
      <c r="R489" s="106"/>
      <c r="S489" s="106"/>
      <c r="T489" s="106"/>
      <c r="U489" s="107"/>
      <c r="V489" s="114"/>
      <c r="W489" s="107"/>
      <c r="X489" s="107"/>
      <c r="Y489" s="107"/>
      <c r="Z489" s="104"/>
      <c r="AA489" s="104"/>
    </row>
    <row r="490" spans="1:28" x14ac:dyDescent="0.2">
      <c r="A490" s="119"/>
      <c r="B490" s="136"/>
      <c r="C490" s="136"/>
      <c r="D490" s="136"/>
      <c r="E490" s="136"/>
      <c r="F490" s="136"/>
      <c r="G490" s="136"/>
      <c r="H490" s="119"/>
      <c r="I490" s="144"/>
      <c r="J490" s="144"/>
      <c r="K490" s="144"/>
      <c r="L490" s="86"/>
      <c r="M490" s="86"/>
      <c r="N490" s="316"/>
      <c r="O490" s="86"/>
      <c r="P490" s="86"/>
      <c r="Q490" s="86"/>
      <c r="R490" s="86"/>
      <c r="S490" s="86"/>
      <c r="T490" s="86"/>
      <c r="U490" s="110"/>
      <c r="V490" s="115"/>
      <c r="W490" s="110"/>
      <c r="X490" s="110"/>
      <c r="Y490" s="110"/>
      <c r="Z490" s="104"/>
      <c r="AA490" s="104"/>
    </row>
    <row r="491" spans="1:28" x14ac:dyDescent="0.2">
      <c r="A491" s="113"/>
      <c r="B491" s="141"/>
      <c r="C491" s="141"/>
      <c r="D491" s="137"/>
      <c r="E491" s="137"/>
      <c r="F491" s="138"/>
      <c r="G491" s="138"/>
      <c r="H491" s="112"/>
      <c r="I491" s="144"/>
      <c r="J491" s="144"/>
      <c r="K491" s="144"/>
      <c r="L491" s="86"/>
      <c r="M491" s="86"/>
      <c r="N491" s="316"/>
      <c r="O491" s="86"/>
      <c r="P491" s="86"/>
      <c r="Q491" s="86"/>
      <c r="R491" s="86"/>
      <c r="S491" s="86"/>
      <c r="T491" s="86"/>
      <c r="U491" s="110"/>
      <c r="V491" s="115"/>
      <c r="W491" s="110"/>
      <c r="X491" s="110"/>
      <c r="Y491" s="110"/>
      <c r="Z491" s="104"/>
      <c r="AA491" s="104"/>
    </row>
    <row r="492" spans="1:28" x14ac:dyDescent="0.2">
      <c r="A492" s="121"/>
      <c r="B492" s="139"/>
      <c r="C492" s="139"/>
      <c r="D492" s="139"/>
      <c r="E492" s="139"/>
      <c r="F492" s="139"/>
      <c r="G492" s="139"/>
      <c r="H492" s="121"/>
      <c r="I492" s="143"/>
      <c r="J492" s="143"/>
      <c r="K492" s="143"/>
      <c r="L492" s="106"/>
      <c r="M492" s="106"/>
      <c r="N492" s="315"/>
      <c r="O492" s="106"/>
      <c r="P492" s="106"/>
      <c r="Q492" s="106"/>
      <c r="R492" s="106"/>
      <c r="S492" s="106"/>
      <c r="T492" s="106"/>
      <c r="U492" s="107"/>
      <c r="V492" s="114"/>
      <c r="W492" s="107"/>
      <c r="X492" s="107"/>
      <c r="Y492" s="109"/>
      <c r="AB492" s="103"/>
    </row>
    <row r="493" spans="1:28" x14ac:dyDescent="0.2">
      <c r="A493" s="121"/>
      <c r="B493" s="139"/>
      <c r="C493" s="139"/>
      <c r="D493" s="140"/>
      <c r="E493" s="139"/>
      <c r="F493" s="139"/>
      <c r="G493" s="139"/>
      <c r="H493" s="121"/>
      <c r="I493" s="143"/>
      <c r="J493" s="143"/>
      <c r="K493" s="143"/>
      <c r="L493" s="106"/>
      <c r="M493" s="106"/>
      <c r="N493" s="315"/>
      <c r="O493" s="106"/>
      <c r="P493" s="106"/>
      <c r="Q493" s="106"/>
      <c r="R493" s="106"/>
      <c r="S493" s="106"/>
      <c r="T493" s="106"/>
      <c r="U493" s="107"/>
      <c r="V493" s="114"/>
      <c r="W493" s="107"/>
      <c r="X493" s="107"/>
      <c r="Y493" s="107"/>
      <c r="Z493" s="104"/>
      <c r="AA493" s="104"/>
    </row>
    <row r="494" spans="1:28" x14ac:dyDescent="0.2">
      <c r="A494" s="119"/>
      <c r="B494" s="136"/>
      <c r="C494" s="136"/>
      <c r="D494" s="136"/>
      <c r="E494" s="136"/>
      <c r="F494" s="136"/>
      <c r="G494" s="136"/>
      <c r="H494" s="119"/>
      <c r="I494" s="144"/>
      <c r="J494" s="144"/>
      <c r="K494" s="144"/>
      <c r="L494" s="86"/>
      <c r="M494" s="86"/>
      <c r="N494" s="316"/>
      <c r="O494" s="86"/>
      <c r="P494" s="86"/>
      <c r="Q494" s="86"/>
      <c r="R494" s="86"/>
      <c r="S494" s="86"/>
      <c r="T494" s="86"/>
      <c r="U494" s="110"/>
      <c r="V494" s="115"/>
      <c r="W494" s="110"/>
      <c r="X494" s="110"/>
      <c r="Y494" s="110"/>
      <c r="Z494" s="104"/>
      <c r="AA494" s="104"/>
    </row>
    <row r="495" spans="1:28" x14ac:dyDescent="0.2">
      <c r="A495" s="113"/>
      <c r="B495" s="141"/>
      <c r="C495" s="141"/>
      <c r="D495" s="138"/>
      <c r="E495" s="137"/>
      <c r="F495" s="138"/>
      <c r="G495" s="138"/>
      <c r="H495" s="112"/>
      <c r="I495" s="144"/>
      <c r="J495" s="144"/>
      <c r="K495" s="144"/>
      <c r="L495" s="86"/>
      <c r="M495" s="86"/>
      <c r="N495" s="316"/>
      <c r="O495" s="86"/>
      <c r="P495" s="86"/>
      <c r="Q495" s="86"/>
      <c r="R495" s="86"/>
      <c r="S495" s="86"/>
      <c r="T495" s="86"/>
      <c r="U495" s="110"/>
      <c r="V495" s="115"/>
      <c r="W495" s="110"/>
      <c r="X495" s="110"/>
      <c r="Y495" s="110"/>
      <c r="Z495" s="104"/>
      <c r="AA495" s="104"/>
    </row>
    <row r="496" spans="1:28" x14ac:dyDescent="0.2">
      <c r="A496" s="121"/>
      <c r="B496" s="139"/>
      <c r="C496" s="139"/>
      <c r="D496" s="139"/>
      <c r="E496" s="139"/>
      <c r="F496" s="139"/>
      <c r="G496" s="139"/>
      <c r="H496" s="121"/>
      <c r="I496" s="143"/>
      <c r="J496" s="143"/>
      <c r="K496" s="143"/>
      <c r="L496" s="108"/>
      <c r="M496" s="107"/>
      <c r="N496" s="317"/>
      <c r="O496" s="106"/>
      <c r="P496" s="106"/>
      <c r="Q496" s="106"/>
      <c r="R496" s="106"/>
      <c r="S496" s="106"/>
      <c r="T496" s="106"/>
      <c r="U496" s="106"/>
      <c r="V496" s="106"/>
      <c r="W496" s="107"/>
      <c r="X496" s="107"/>
      <c r="Y496" s="109"/>
      <c r="AB496" s="103"/>
    </row>
    <row r="497" spans="1:25" s="104" customFormat="1" x14ac:dyDescent="0.2">
      <c r="A497" s="121"/>
      <c r="B497" s="139"/>
      <c r="C497" s="139"/>
      <c r="D497" s="140"/>
      <c r="E497" s="139"/>
      <c r="F497" s="139"/>
      <c r="G497" s="139"/>
      <c r="H497" s="122"/>
      <c r="I497" s="143"/>
      <c r="J497" s="143"/>
      <c r="K497" s="143"/>
      <c r="L497" s="108"/>
      <c r="M497" s="107"/>
      <c r="N497" s="317"/>
      <c r="O497" s="106"/>
      <c r="P497" s="106"/>
      <c r="Q497" s="106"/>
      <c r="R497" s="106"/>
      <c r="S497" s="106"/>
      <c r="T497" s="106"/>
      <c r="U497" s="106"/>
      <c r="V497" s="106"/>
      <c r="W497" s="107"/>
      <c r="X497" s="107"/>
      <c r="Y497" s="107"/>
    </row>
    <row r="498" spans="1:25" s="104" customFormat="1" x14ac:dyDescent="0.2">
      <c r="A498" s="119"/>
      <c r="B498" s="136"/>
      <c r="C498" s="136"/>
      <c r="D498" s="136"/>
      <c r="E498" s="136"/>
      <c r="F498" s="136"/>
      <c r="G498" s="136"/>
      <c r="H498" s="119"/>
      <c r="I498" s="144"/>
      <c r="J498" s="144"/>
      <c r="K498" s="144"/>
      <c r="L498" s="86"/>
      <c r="M498" s="86"/>
      <c r="N498" s="316"/>
      <c r="O498" s="86"/>
      <c r="P498" s="86"/>
      <c r="Q498" s="86"/>
      <c r="R498" s="86"/>
      <c r="S498" s="86"/>
      <c r="T498" s="86"/>
      <c r="U498" s="86"/>
      <c r="V498" s="86"/>
      <c r="W498" s="110"/>
      <c r="X498" s="110"/>
      <c r="Y498" s="110"/>
    </row>
    <row r="499" spans="1:25" s="104" customFormat="1" x14ac:dyDescent="0.2">
      <c r="A499" s="119"/>
      <c r="B499" s="136"/>
      <c r="C499" s="136"/>
      <c r="D499" s="137"/>
      <c r="E499" s="137"/>
      <c r="F499" s="138"/>
      <c r="G499" s="138"/>
      <c r="H499" s="112"/>
      <c r="I499" s="144"/>
      <c r="J499" s="144"/>
      <c r="K499" s="144"/>
      <c r="L499" s="86"/>
      <c r="M499" s="86"/>
      <c r="N499" s="316"/>
      <c r="O499" s="86"/>
      <c r="P499" s="86"/>
      <c r="Q499" s="86"/>
      <c r="R499" s="86"/>
      <c r="S499" s="86"/>
      <c r="T499" s="86"/>
      <c r="U499" s="86"/>
      <c r="V499" s="86"/>
      <c r="W499" s="110"/>
      <c r="X499" s="110"/>
      <c r="Y499" s="110"/>
    </row>
    <row r="500" spans="1:25" s="104" customFormat="1" x14ac:dyDescent="0.2">
      <c r="A500" s="119"/>
      <c r="B500" s="136"/>
      <c r="C500" s="136"/>
      <c r="D500" s="137"/>
      <c r="E500" s="137"/>
      <c r="F500" s="138"/>
      <c r="G500" s="138"/>
      <c r="H500" s="112"/>
      <c r="I500" s="144"/>
      <c r="J500" s="144"/>
      <c r="K500" s="144"/>
      <c r="L500" s="86"/>
      <c r="M500" s="86"/>
      <c r="N500" s="316"/>
      <c r="O500" s="86"/>
      <c r="P500" s="86"/>
      <c r="Q500" s="86"/>
      <c r="R500" s="86"/>
      <c r="S500" s="86"/>
      <c r="T500" s="86"/>
      <c r="U500" s="86"/>
      <c r="V500" s="86"/>
      <c r="W500" s="110"/>
      <c r="X500" s="110"/>
      <c r="Y500" s="110"/>
    </row>
    <row r="501" spans="1:25" s="104" customFormat="1" x14ac:dyDescent="0.2">
      <c r="A501" s="119"/>
      <c r="B501" s="136"/>
      <c r="C501" s="136"/>
      <c r="D501" s="137"/>
      <c r="E501" s="137"/>
      <c r="F501" s="138"/>
      <c r="G501" s="138"/>
      <c r="H501" s="112"/>
      <c r="I501" s="144"/>
      <c r="J501" s="144"/>
      <c r="K501" s="144"/>
      <c r="L501" s="86"/>
      <c r="M501" s="86"/>
      <c r="N501" s="316"/>
      <c r="O501" s="86"/>
      <c r="P501" s="86"/>
      <c r="Q501" s="86"/>
      <c r="R501" s="86"/>
      <c r="S501" s="86"/>
      <c r="T501" s="86"/>
      <c r="U501" s="86"/>
      <c r="V501" s="86"/>
      <c r="W501" s="110"/>
      <c r="X501" s="110"/>
      <c r="Y501" s="110"/>
    </row>
    <row r="502" spans="1:25" s="104" customFormat="1" x14ac:dyDescent="0.2">
      <c r="A502" s="119"/>
      <c r="B502" s="136"/>
      <c r="C502" s="136"/>
      <c r="D502" s="137"/>
      <c r="E502" s="137"/>
      <c r="F502" s="138"/>
      <c r="G502" s="138"/>
      <c r="H502" s="112"/>
      <c r="I502" s="144"/>
      <c r="J502" s="144"/>
      <c r="K502" s="144"/>
      <c r="L502" s="86"/>
      <c r="M502" s="86"/>
      <c r="N502" s="316"/>
      <c r="O502" s="86"/>
      <c r="P502" s="86"/>
      <c r="Q502" s="86"/>
      <c r="R502" s="86"/>
      <c r="S502" s="86"/>
      <c r="T502" s="86"/>
      <c r="U502" s="86"/>
      <c r="V502" s="86"/>
      <c r="W502" s="110"/>
      <c r="X502" s="110"/>
      <c r="Y502" s="110"/>
    </row>
    <row r="503" spans="1:25" s="104" customFormat="1" x14ac:dyDescent="0.2">
      <c r="A503" s="119"/>
      <c r="B503" s="136"/>
      <c r="C503" s="136"/>
      <c r="D503" s="137"/>
      <c r="E503" s="137"/>
      <c r="F503" s="138"/>
      <c r="G503" s="138"/>
      <c r="H503" s="112"/>
      <c r="I503" s="144"/>
      <c r="J503" s="144"/>
      <c r="K503" s="144"/>
      <c r="L503" s="86"/>
      <c r="M503" s="86"/>
      <c r="N503" s="316"/>
      <c r="O503" s="86"/>
      <c r="P503" s="86"/>
      <c r="Q503" s="86"/>
      <c r="R503" s="86"/>
      <c r="S503" s="86"/>
      <c r="T503" s="86"/>
      <c r="U503" s="86"/>
      <c r="V503" s="86"/>
      <c r="W503" s="110"/>
      <c r="X503" s="110"/>
      <c r="Y503" s="110"/>
    </row>
    <row r="504" spans="1:25" s="104" customFormat="1" x14ac:dyDescent="0.2">
      <c r="A504" s="119"/>
      <c r="B504" s="136"/>
      <c r="C504" s="136"/>
      <c r="D504" s="136"/>
      <c r="E504" s="136"/>
      <c r="F504" s="136"/>
      <c r="G504" s="136"/>
      <c r="H504" s="119"/>
      <c r="I504" s="144"/>
      <c r="J504" s="144"/>
      <c r="K504" s="144"/>
      <c r="L504" s="86"/>
      <c r="M504" s="86"/>
      <c r="N504" s="316"/>
      <c r="O504" s="86"/>
      <c r="P504" s="86"/>
      <c r="Q504" s="86"/>
      <c r="R504" s="86"/>
      <c r="S504" s="86"/>
      <c r="T504" s="86"/>
      <c r="U504" s="86"/>
      <c r="V504" s="86"/>
      <c r="W504" s="110"/>
      <c r="X504" s="110"/>
      <c r="Y504" s="110"/>
    </row>
    <row r="505" spans="1:25" s="104" customFormat="1" x14ac:dyDescent="0.2">
      <c r="A505" s="119"/>
      <c r="B505" s="136"/>
      <c r="C505" s="136"/>
      <c r="D505" s="137"/>
      <c r="E505" s="137"/>
      <c r="F505" s="138"/>
      <c r="G505" s="138"/>
      <c r="H505" s="112"/>
      <c r="I505" s="144"/>
      <c r="J505" s="144"/>
      <c r="K505" s="144"/>
      <c r="L505" s="86"/>
      <c r="M505" s="86"/>
      <c r="N505" s="316"/>
      <c r="O505" s="86"/>
      <c r="P505" s="86"/>
      <c r="Q505" s="86"/>
      <c r="R505" s="86"/>
      <c r="S505" s="86"/>
      <c r="T505" s="86"/>
      <c r="U505" s="86"/>
      <c r="V505" s="86"/>
      <c r="W505" s="110"/>
      <c r="X505" s="110"/>
      <c r="Y505" s="110"/>
    </row>
    <row r="506" spans="1:25" s="104" customFormat="1" x14ac:dyDescent="0.2">
      <c r="A506" s="119"/>
      <c r="B506" s="136"/>
      <c r="C506" s="136"/>
      <c r="D506" s="137"/>
      <c r="E506" s="137"/>
      <c r="F506" s="138"/>
      <c r="G506" s="138"/>
      <c r="H506" s="112"/>
      <c r="I506" s="144"/>
      <c r="J506" s="144"/>
      <c r="K506" s="144"/>
      <c r="L506" s="86"/>
      <c r="M506" s="86"/>
      <c r="N506" s="316"/>
      <c r="O506" s="86"/>
      <c r="P506" s="86"/>
      <c r="Q506" s="86"/>
      <c r="R506" s="86"/>
      <c r="S506" s="86"/>
      <c r="T506" s="86"/>
      <c r="U506" s="86"/>
      <c r="V506" s="86"/>
      <c r="W506" s="110"/>
      <c r="X506" s="110"/>
      <c r="Y506" s="110"/>
    </row>
    <row r="507" spans="1:25" s="104" customFormat="1" x14ac:dyDescent="0.2">
      <c r="A507" s="119"/>
      <c r="B507" s="136"/>
      <c r="C507" s="136"/>
      <c r="D507" s="136"/>
      <c r="E507" s="136"/>
      <c r="F507" s="136"/>
      <c r="G507" s="136"/>
      <c r="H507" s="119"/>
      <c r="I507" s="144"/>
      <c r="J507" s="144"/>
      <c r="K507" s="144"/>
      <c r="L507" s="111"/>
      <c r="M507" s="110"/>
      <c r="N507" s="318"/>
      <c r="O507" s="86"/>
      <c r="P507" s="86"/>
      <c r="Q507" s="86"/>
      <c r="R507" s="86"/>
      <c r="S507" s="86"/>
      <c r="T507" s="86"/>
      <c r="U507" s="86"/>
      <c r="V507" s="86"/>
      <c r="W507" s="110"/>
      <c r="X507" s="110"/>
      <c r="Y507" s="110"/>
    </row>
    <row r="508" spans="1:25" s="104" customFormat="1" x14ac:dyDescent="0.2">
      <c r="A508" s="119"/>
      <c r="B508" s="136"/>
      <c r="C508" s="136"/>
      <c r="D508" s="137"/>
      <c r="E508" s="137"/>
      <c r="F508" s="138"/>
      <c r="G508" s="138"/>
      <c r="H508" s="112"/>
      <c r="I508" s="144"/>
      <c r="J508" s="144"/>
      <c r="K508" s="144"/>
      <c r="L508" s="86"/>
      <c r="M508" s="110"/>
      <c r="N508" s="318"/>
      <c r="O508" s="86"/>
      <c r="P508" s="86"/>
      <c r="Q508" s="86"/>
      <c r="R508" s="86"/>
      <c r="S508" s="86"/>
      <c r="T508" s="86"/>
      <c r="U508" s="86"/>
      <c r="V508" s="86"/>
      <c r="W508" s="110"/>
      <c r="X508" s="110"/>
      <c r="Y508" s="110"/>
    </row>
    <row r="509" spans="1:25" s="104" customFormat="1" x14ac:dyDescent="0.2">
      <c r="A509" s="119"/>
      <c r="B509" s="136"/>
      <c r="C509" s="136"/>
      <c r="D509" s="137"/>
      <c r="E509" s="137"/>
      <c r="F509" s="138"/>
      <c r="G509" s="138"/>
      <c r="H509" s="112"/>
      <c r="I509" s="144"/>
      <c r="J509" s="144"/>
      <c r="K509" s="144"/>
      <c r="L509" s="86"/>
      <c r="M509" s="110"/>
      <c r="N509" s="318"/>
      <c r="O509" s="86"/>
      <c r="P509" s="86"/>
      <c r="Q509" s="86"/>
      <c r="R509" s="86"/>
      <c r="S509" s="86"/>
      <c r="T509" s="86"/>
      <c r="U509" s="86"/>
      <c r="V509" s="86"/>
      <c r="W509" s="110"/>
      <c r="X509" s="110"/>
      <c r="Y509" s="110"/>
    </row>
    <row r="510" spans="1:25" s="104" customFormat="1" x14ac:dyDescent="0.2">
      <c r="A510" s="119"/>
      <c r="B510" s="136"/>
      <c r="C510" s="136"/>
      <c r="D510" s="137"/>
      <c r="E510" s="137"/>
      <c r="F510" s="138"/>
      <c r="G510" s="138"/>
      <c r="H510" s="112"/>
      <c r="I510" s="144"/>
      <c r="J510" s="144"/>
      <c r="K510" s="144"/>
      <c r="L510" s="86"/>
      <c r="M510" s="110"/>
      <c r="N510" s="318"/>
      <c r="O510" s="86"/>
      <c r="P510" s="86"/>
      <c r="Q510" s="86"/>
      <c r="R510" s="86"/>
      <c r="S510" s="86"/>
      <c r="T510" s="86"/>
      <c r="U510" s="86"/>
      <c r="V510" s="86"/>
      <c r="W510" s="110"/>
      <c r="X510" s="110"/>
      <c r="Y510" s="110"/>
    </row>
    <row r="511" spans="1:25" s="104" customFormat="1" x14ac:dyDescent="0.2">
      <c r="A511" s="119"/>
      <c r="B511" s="136"/>
      <c r="C511" s="136"/>
      <c r="D511" s="137"/>
      <c r="E511" s="137"/>
      <c r="F511" s="138"/>
      <c r="G511" s="138"/>
      <c r="H511" s="112"/>
      <c r="I511" s="144"/>
      <c r="J511" s="144"/>
      <c r="K511" s="144"/>
      <c r="L511" s="86"/>
      <c r="M511" s="110"/>
      <c r="N511" s="318"/>
      <c r="O511" s="86"/>
      <c r="P511" s="86"/>
      <c r="Q511" s="86"/>
      <c r="R511" s="86"/>
      <c r="S511" s="86"/>
      <c r="T511" s="86"/>
      <c r="U511" s="86"/>
      <c r="V511" s="86"/>
      <c r="W511" s="110"/>
      <c r="X511" s="110"/>
      <c r="Y511" s="110"/>
    </row>
    <row r="512" spans="1:25" s="104" customFormat="1" x14ac:dyDescent="0.2">
      <c r="A512" s="119"/>
      <c r="B512" s="136"/>
      <c r="C512" s="136"/>
      <c r="D512" s="137"/>
      <c r="E512" s="137"/>
      <c r="F512" s="138"/>
      <c r="G512" s="138"/>
      <c r="H512" s="112"/>
      <c r="I512" s="144"/>
      <c r="J512" s="144"/>
      <c r="K512" s="144"/>
      <c r="L512" s="111"/>
      <c r="M512" s="86"/>
      <c r="N512" s="316"/>
      <c r="O512" s="86"/>
      <c r="P512" s="86"/>
      <c r="Q512" s="86"/>
      <c r="R512" s="86"/>
      <c r="S512" s="86"/>
      <c r="T512" s="86"/>
      <c r="U512" s="86"/>
      <c r="V512" s="86"/>
      <c r="W512" s="110"/>
      <c r="X512" s="110"/>
      <c r="Y512" s="110"/>
    </row>
    <row r="513" spans="1:25" s="104" customFormat="1" x14ac:dyDescent="0.2">
      <c r="A513" s="119"/>
      <c r="B513" s="136"/>
      <c r="C513" s="136"/>
      <c r="D513" s="137"/>
      <c r="E513" s="137"/>
      <c r="F513" s="138"/>
      <c r="G513" s="138"/>
      <c r="H513" s="112"/>
      <c r="I513" s="144"/>
      <c r="J513" s="144"/>
      <c r="K513" s="144"/>
      <c r="L513" s="111"/>
      <c r="M513" s="86"/>
      <c r="N513" s="316"/>
      <c r="O513" s="86"/>
      <c r="P513" s="86"/>
      <c r="Q513" s="86"/>
      <c r="R513" s="86"/>
      <c r="S513" s="86"/>
      <c r="T513" s="86"/>
      <c r="U513" s="86"/>
      <c r="V513" s="86"/>
      <c r="W513" s="110"/>
      <c r="X513" s="110"/>
      <c r="Y513" s="110"/>
    </row>
    <row r="514" spans="1:25" s="104" customFormat="1" x14ac:dyDescent="0.2">
      <c r="A514" s="119"/>
      <c r="B514" s="136"/>
      <c r="C514" s="136"/>
      <c r="D514" s="137"/>
      <c r="E514" s="137"/>
      <c r="F514" s="138"/>
      <c r="G514" s="138"/>
      <c r="H514" s="112"/>
      <c r="I514" s="144"/>
      <c r="J514" s="144"/>
      <c r="K514" s="144"/>
      <c r="L514" s="111"/>
      <c r="M514" s="86"/>
      <c r="N514" s="316"/>
      <c r="O514" s="86"/>
      <c r="P514" s="86"/>
      <c r="Q514" s="86"/>
      <c r="R514" s="86"/>
      <c r="S514" s="86"/>
      <c r="T514" s="86"/>
      <c r="U514" s="86"/>
      <c r="V514" s="86"/>
      <c r="W514" s="110"/>
      <c r="X514" s="110"/>
      <c r="Y514" s="110"/>
    </row>
    <row r="515" spans="1:25" s="104" customFormat="1" x14ac:dyDescent="0.2">
      <c r="A515" s="119"/>
      <c r="B515" s="136"/>
      <c r="C515" s="136"/>
      <c r="D515" s="137"/>
      <c r="E515" s="137"/>
      <c r="F515" s="138"/>
      <c r="G515" s="138"/>
      <c r="H515" s="112"/>
      <c r="I515" s="144"/>
      <c r="J515" s="144"/>
      <c r="K515" s="144"/>
      <c r="L515" s="111"/>
      <c r="M515" s="86"/>
      <c r="N515" s="316"/>
      <c r="O515" s="86"/>
      <c r="P515" s="86"/>
      <c r="Q515" s="86"/>
      <c r="R515" s="86"/>
      <c r="S515" s="86"/>
      <c r="T515" s="86"/>
      <c r="U515" s="86"/>
      <c r="V515" s="86"/>
      <c r="W515" s="110"/>
      <c r="X515" s="110"/>
      <c r="Y515" s="110"/>
    </row>
    <row r="516" spans="1:25" s="104" customFormat="1" x14ac:dyDescent="0.2">
      <c r="A516" s="119"/>
      <c r="B516" s="136"/>
      <c r="C516" s="136"/>
      <c r="D516" s="137"/>
      <c r="E516" s="137"/>
      <c r="F516" s="138"/>
      <c r="G516" s="138"/>
      <c r="H516" s="112"/>
      <c r="I516" s="144"/>
      <c r="J516" s="144"/>
      <c r="K516" s="144"/>
      <c r="L516" s="86"/>
      <c r="M516" s="86"/>
      <c r="N516" s="316"/>
      <c r="O516" s="86"/>
      <c r="P516" s="86"/>
      <c r="Q516" s="86"/>
      <c r="R516" s="86"/>
      <c r="S516" s="86"/>
      <c r="T516" s="86"/>
      <c r="U516" s="86"/>
      <c r="V516" s="86"/>
      <c r="W516" s="110"/>
      <c r="X516" s="110"/>
      <c r="Y516" s="110"/>
    </row>
    <row r="517" spans="1:25" s="104" customFormat="1" x14ac:dyDescent="0.2">
      <c r="A517" s="119"/>
      <c r="B517" s="136"/>
      <c r="C517" s="136"/>
      <c r="D517" s="137"/>
      <c r="E517" s="137"/>
      <c r="F517" s="138"/>
      <c r="G517" s="138"/>
      <c r="H517" s="112"/>
      <c r="I517" s="144"/>
      <c r="J517" s="144"/>
      <c r="K517" s="144"/>
      <c r="L517" s="86"/>
      <c r="M517" s="86"/>
      <c r="N517" s="316"/>
      <c r="O517" s="86"/>
      <c r="P517" s="86"/>
      <c r="Q517" s="86"/>
      <c r="R517" s="86"/>
      <c r="S517" s="86"/>
      <c r="T517" s="86"/>
      <c r="U517" s="86"/>
      <c r="V517" s="86"/>
      <c r="W517" s="110"/>
      <c r="X517" s="110"/>
      <c r="Y517" s="110"/>
    </row>
    <row r="518" spans="1:25" s="104" customFormat="1" x14ac:dyDescent="0.2">
      <c r="A518" s="119"/>
      <c r="B518" s="136"/>
      <c r="C518" s="136"/>
      <c r="D518" s="137"/>
      <c r="E518" s="137"/>
      <c r="F518" s="138"/>
      <c r="G518" s="138"/>
      <c r="H518" s="112"/>
      <c r="I518" s="144"/>
      <c r="J518" s="144"/>
      <c r="K518" s="144"/>
      <c r="L518" s="86"/>
      <c r="M518" s="86"/>
      <c r="N518" s="316"/>
      <c r="O518" s="86"/>
      <c r="P518" s="86"/>
      <c r="Q518" s="86"/>
      <c r="R518" s="86"/>
      <c r="S518" s="86"/>
      <c r="T518" s="86"/>
      <c r="U518" s="86"/>
      <c r="V518" s="86"/>
      <c r="W518" s="110"/>
      <c r="X518" s="110"/>
      <c r="Y518" s="110"/>
    </row>
    <row r="519" spans="1:25" s="104" customFormat="1" x14ac:dyDescent="0.2">
      <c r="A519" s="119"/>
      <c r="B519" s="136"/>
      <c r="C519" s="136"/>
      <c r="D519" s="137"/>
      <c r="E519" s="137"/>
      <c r="F519" s="138"/>
      <c r="G519" s="138"/>
      <c r="H519" s="112"/>
      <c r="I519" s="144"/>
      <c r="J519" s="144"/>
      <c r="K519" s="144"/>
      <c r="L519" s="86"/>
      <c r="M519" s="86"/>
      <c r="N519" s="316"/>
      <c r="O519" s="86"/>
      <c r="P519" s="86"/>
      <c r="Q519" s="86"/>
      <c r="R519" s="86"/>
      <c r="S519" s="86"/>
      <c r="T519" s="86"/>
      <c r="U519" s="86"/>
      <c r="V519" s="86"/>
      <c r="W519" s="110"/>
      <c r="X519" s="110"/>
      <c r="Y519" s="110"/>
    </row>
    <row r="520" spans="1:25" s="104" customFormat="1" x14ac:dyDescent="0.2">
      <c r="A520" s="119"/>
      <c r="B520" s="136"/>
      <c r="C520" s="136"/>
      <c r="D520" s="137"/>
      <c r="E520" s="137"/>
      <c r="F520" s="138"/>
      <c r="G520" s="138"/>
      <c r="H520" s="112"/>
      <c r="I520" s="144"/>
      <c r="J520" s="144"/>
      <c r="K520" s="144"/>
      <c r="L520" s="86"/>
      <c r="M520" s="86"/>
      <c r="N520" s="316"/>
      <c r="O520" s="86"/>
      <c r="P520" s="86"/>
      <c r="Q520" s="86"/>
      <c r="R520" s="86"/>
      <c r="S520" s="86"/>
      <c r="T520" s="86"/>
      <c r="U520" s="86"/>
      <c r="V520" s="86"/>
      <c r="W520" s="110"/>
      <c r="X520" s="110"/>
      <c r="Y520" s="110"/>
    </row>
    <row r="521" spans="1:25" s="104" customFormat="1" x14ac:dyDescent="0.2">
      <c r="A521" s="119"/>
      <c r="B521" s="136"/>
      <c r="C521" s="136"/>
      <c r="D521" s="137"/>
      <c r="E521" s="137"/>
      <c r="F521" s="138"/>
      <c r="G521" s="138"/>
      <c r="H521" s="112"/>
      <c r="I521" s="144"/>
      <c r="J521" s="144"/>
      <c r="K521" s="144"/>
      <c r="L521" s="86"/>
      <c r="M521" s="86"/>
      <c r="N521" s="316"/>
      <c r="O521" s="86"/>
      <c r="P521" s="86"/>
      <c r="Q521" s="86"/>
      <c r="R521" s="86"/>
      <c r="S521" s="86"/>
      <c r="T521" s="86"/>
      <c r="U521" s="86"/>
      <c r="V521" s="86"/>
      <c r="W521" s="110"/>
      <c r="X521" s="110"/>
      <c r="Y521" s="110"/>
    </row>
    <row r="522" spans="1:25" s="104" customFormat="1" x14ac:dyDescent="0.2">
      <c r="A522" s="119"/>
      <c r="B522" s="136"/>
      <c r="C522" s="136"/>
      <c r="D522" s="136"/>
      <c r="E522" s="136"/>
      <c r="F522" s="136"/>
      <c r="G522" s="136"/>
      <c r="H522" s="119"/>
      <c r="I522" s="144"/>
      <c r="J522" s="144"/>
      <c r="K522" s="144"/>
      <c r="L522" s="86"/>
      <c r="M522" s="110"/>
      <c r="N522" s="318"/>
      <c r="O522" s="86"/>
      <c r="P522" s="86"/>
      <c r="Q522" s="86"/>
      <c r="R522" s="86"/>
      <c r="S522" s="86"/>
      <c r="T522" s="86"/>
      <c r="U522" s="86"/>
      <c r="V522" s="86"/>
      <c r="W522" s="110"/>
      <c r="X522" s="110"/>
      <c r="Y522" s="110"/>
    </row>
    <row r="523" spans="1:25" s="104" customFormat="1" x14ac:dyDescent="0.2">
      <c r="A523" s="119"/>
      <c r="B523" s="136"/>
      <c r="C523" s="136"/>
      <c r="D523" s="137"/>
      <c r="E523" s="137"/>
      <c r="F523" s="138"/>
      <c r="G523" s="138"/>
      <c r="H523" s="112"/>
      <c r="I523" s="144"/>
      <c r="J523" s="144"/>
      <c r="K523" s="144"/>
      <c r="L523" s="86"/>
      <c r="M523" s="110"/>
      <c r="N523" s="318"/>
      <c r="O523" s="86"/>
      <c r="P523" s="86"/>
      <c r="Q523" s="86"/>
      <c r="R523" s="86"/>
      <c r="S523" s="86"/>
      <c r="T523" s="86"/>
      <c r="U523" s="86"/>
      <c r="V523" s="86"/>
      <c r="W523" s="110"/>
      <c r="X523" s="110"/>
      <c r="Y523" s="110"/>
    </row>
    <row r="524" spans="1:25" s="104" customFormat="1" x14ac:dyDescent="0.2">
      <c r="A524" s="119"/>
      <c r="B524" s="136"/>
      <c r="C524" s="136"/>
      <c r="D524" s="137"/>
      <c r="E524" s="137"/>
      <c r="F524" s="138"/>
      <c r="G524" s="138"/>
      <c r="H524" s="112"/>
      <c r="I524" s="144"/>
      <c r="J524" s="144"/>
      <c r="K524" s="144"/>
      <c r="L524" s="86"/>
      <c r="M524" s="110"/>
      <c r="N524" s="318"/>
      <c r="O524" s="86"/>
      <c r="P524" s="86"/>
      <c r="Q524" s="86"/>
      <c r="R524" s="86"/>
      <c r="S524" s="86"/>
      <c r="T524" s="86"/>
      <c r="U524" s="86"/>
      <c r="V524" s="86"/>
      <c r="W524" s="110"/>
      <c r="X524" s="110"/>
      <c r="Y524" s="110"/>
    </row>
    <row r="525" spans="1:25" s="104" customFormat="1" x14ac:dyDescent="0.2">
      <c r="A525" s="119"/>
      <c r="B525" s="136"/>
      <c r="C525" s="136"/>
      <c r="D525" s="136"/>
      <c r="E525" s="136"/>
      <c r="F525" s="136"/>
      <c r="G525" s="136"/>
      <c r="H525" s="119"/>
      <c r="I525" s="144"/>
      <c r="J525" s="144"/>
      <c r="K525" s="144"/>
      <c r="L525" s="86"/>
      <c r="M525" s="110"/>
      <c r="N525" s="318"/>
      <c r="O525" s="86"/>
      <c r="P525" s="86"/>
      <c r="Q525" s="86"/>
      <c r="R525" s="86"/>
      <c r="S525" s="86"/>
      <c r="T525" s="86"/>
      <c r="U525" s="86"/>
      <c r="V525" s="86"/>
      <c r="W525" s="110"/>
      <c r="X525" s="110"/>
      <c r="Y525" s="110"/>
    </row>
    <row r="526" spans="1:25" s="104" customFormat="1" x14ac:dyDescent="0.2">
      <c r="A526" s="119"/>
      <c r="B526" s="136"/>
      <c r="C526" s="136"/>
      <c r="D526" s="137"/>
      <c r="E526" s="137"/>
      <c r="F526" s="138"/>
      <c r="G526" s="138"/>
      <c r="H526" s="112"/>
      <c r="I526" s="144"/>
      <c r="J526" s="144"/>
      <c r="K526" s="144"/>
      <c r="L526" s="86"/>
      <c r="M526" s="110"/>
      <c r="N526" s="318"/>
      <c r="O526" s="86"/>
      <c r="P526" s="86"/>
      <c r="Q526" s="86"/>
      <c r="R526" s="86"/>
      <c r="S526" s="86"/>
      <c r="T526" s="86"/>
      <c r="U526" s="86"/>
      <c r="V526" s="86"/>
      <c r="W526" s="110"/>
      <c r="X526" s="110"/>
      <c r="Y526" s="110"/>
    </row>
    <row r="527" spans="1:25" s="104" customFormat="1" x14ac:dyDescent="0.2">
      <c r="A527" s="119"/>
      <c r="B527" s="136"/>
      <c r="C527" s="136"/>
      <c r="D527" s="137"/>
      <c r="E527" s="137"/>
      <c r="F527" s="138"/>
      <c r="G527" s="138"/>
      <c r="H527" s="112"/>
      <c r="I527" s="144"/>
      <c r="J527" s="144"/>
      <c r="K527" s="144"/>
      <c r="L527" s="86"/>
      <c r="M527" s="110"/>
      <c r="N527" s="318"/>
      <c r="O527" s="86"/>
      <c r="P527" s="86"/>
      <c r="Q527" s="86"/>
      <c r="R527" s="86"/>
      <c r="S527" s="86"/>
      <c r="T527" s="86"/>
      <c r="U527" s="86"/>
      <c r="V527" s="86"/>
      <c r="W527" s="110"/>
      <c r="X527" s="110"/>
      <c r="Y527" s="110"/>
    </row>
    <row r="528" spans="1:25" s="104" customFormat="1" x14ac:dyDescent="0.2">
      <c r="A528" s="119"/>
      <c r="B528" s="136"/>
      <c r="C528" s="136"/>
      <c r="D528" s="137"/>
      <c r="E528" s="137"/>
      <c r="F528" s="138"/>
      <c r="G528" s="138"/>
      <c r="H528" s="112"/>
      <c r="I528" s="144"/>
      <c r="J528" s="144"/>
      <c r="K528" s="144"/>
      <c r="L528" s="86"/>
      <c r="M528" s="110"/>
      <c r="N528" s="318"/>
      <c r="O528" s="86"/>
      <c r="P528" s="86"/>
      <c r="Q528" s="86"/>
      <c r="R528" s="86"/>
      <c r="S528" s="86"/>
      <c r="T528" s="86"/>
      <c r="U528" s="86"/>
      <c r="V528" s="86"/>
      <c r="W528" s="110"/>
      <c r="X528" s="110"/>
      <c r="Y528" s="110"/>
    </row>
    <row r="529" spans="1:28" x14ac:dyDescent="0.2">
      <c r="A529" s="119"/>
      <c r="B529" s="136"/>
      <c r="C529" s="136"/>
      <c r="D529" s="137"/>
      <c r="E529" s="137"/>
      <c r="F529" s="138"/>
      <c r="G529" s="138"/>
      <c r="H529" s="112"/>
      <c r="I529" s="144"/>
      <c r="J529" s="144"/>
      <c r="K529" s="144"/>
      <c r="L529" s="86"/>
      <c r="M529" s="110"/>
      <c r="N529" s="318"/>
      <c r="O529" s="86"/>
      <c r="P529" s="86"/>
      <c r="Q529" s="86"/>
      <c r="R529" s="86"/>
      <c r="S529" s="86"/>
      <c r="T529" s="86"/>
      <c r="U529" s="86"/>
      <c r="V529" s="86"/>
      <c r="W529" s="110"/>
      <c r="X529" s="110"/>
      <c r="Y529" s="110"/>
      <c r="Z529" s="104"/>
      <c r="AA529" s="104"/>
    </row>
    <row r="530" spans="1:28" x14ac:dyDescent="0.2">
      <c r="A530" s="119"/>
      <c r="B530" s="136"/>
      <c r="C530" s="136"/>
      <c r="D530" s="137"/>
      <c r="E530" s="137"/>
      <c r="F530" s="138"/>
      <c r="G530" s="138"/>
      <c r="H530" s="112"/>
      <c r="I530" s="144"/>
      <c r="J530" s="144"/>
      <c r="K530" s="144"/>
      <c r="L530" s="86"/>
      <c r="M530" s="86"/>
      <c r="N530" s="316"/>
      <c r="O530" s="86"/>
      <c r="P530" s="86"/>
      <c r="Q530" s="86"/>
      <c r="R530" s="86"/>
      <c r="S530" s="86"/>
      <c r="T530" s="86"/>
      <c r="U530" s="86"/>
      <c r="V530" s="86"/>
      <c r="W530" s="110"/>
      <c r="X530" s="110"/>
      <c r="Y530" s="110"/>
      <c r="Z530" s="104"/>
      <c r="AA530" s="104"/>
    </row>
    <row r="531" spans="1:28" x14ac:dyDescent="0.2">
      <c r="A531" s="119"/>
      <c r="B531" s="136"/>
      <c r="C531" s="136"/>
      <c r="D531" s="137"/>
      <c r="E531" s="137"/>
      <c r="F531" s="138"/>
      <c r="G531" s="138"/>
      <c r="H531" s="112"/>
      <c r="I531" s="144"/>
      <c r="J531" s="144"/>
      <c r="K531" s="144"/>
      <c r="L531" s="86"/>
      <c r="M531" s="86"/>
      <c r="N531" s="316"/>
      <c r="O531" s="86"/>
      <c r="P531" s="86"/>
      <c r="Q531" s="86"/>
      <c r="R531" s="86"/>
      <c r="S531" s="86"/>
      <c r="T531" s="86"/>
      <c r="U531" s="86"/>
      <c r="V531" s="86"/>
      <c r="W531" s="110"/>
      <c r="X531" s="110"/>
      <c r="Y531" s="110"/>
      <c r="Z531" s="104"/>
      <c r="AA531" s="104"/>
    </row>
    <row r="532" spans="1:28" x14ac:dyDescent="0.2">
      <c r="A532" s="121"/>
      <c r="B532" s="139"/>
      <c r="C532" s="139"/>
      <c r="D532" s="139"/>
      <c r="E532" s="139"/>
      <c r="F532" s="139"/>
      <c r="G532" s="139"/>
      <c r="H532" s="121"/>
      <c r="I532" s="143"/>
      <c r="J532" s="143"/>
      <c r="K532" s="143"/>
      <c r="L532" s="106"/>
      <c r="M532" s="106"/>
      <c r="N532" s="315"/>
      <c r="O532" s="106"/>
      <c r="P532" s="106"/>
      <c r="Q532" s="106"/>
      <c r="R532" s="106"/>
      <c r="S532" s="106"/>
      <c r="T532" s="106"/>
      <c r="U532" s="107"/>
      <c r="V532" s="107"/>
      <c r="W532" s="107"/>
      <c r="X532" s="107"/>
      <c r="Y532" s="109"/>
      <c r="AB532" s="103"/>
    </row>
    <row r="533" spans="1:28" x14ac:dyDescent="0.2">
      <c r="A533" s="121"/>
      <c r="B533" s="139"/>
      <c r="C533" s="139"/>
      <c r="D533" s="140"/>
      <c r="E533" s="139"/>
      <c r="F533" s="139"/>
      <c r="G533" s="139"/>
      <c r="H533" s="121"/>
      <c r="I533" s="143"/>
      <c r="J533" s="143"/>
      <c r="K533" s="143"/>
      <c r="L533" s="106"/>
      <c r="M533" s="106"/>
      <c r="N533" s="315"/>
      <c r="O533" s="106"/>
      <c r="P533" s="106"/>
      <c r="Q533" s="106"/>
      <c r="R533" s="106"/>
      <c r="S533" s="106"/>
      <c r="T533" s="106"/>
      <c r="U533" s="107"/>
      <c r="V533" s="107"/>
      <c r="W533" s="107"/>
      <c r="X533" s="107"/>
      <c r="Y533" s="107"/>
      <c r="Z533" s="104"/>
      <c r="AA533" s="104"/>
    </row>
    <row r="534" spans="1:28" x14ac:dyDescent="0.2">
      <c r="A534" s="119"/>
      <c r="B534" s="136"/>
      <c r="C534" s="136"/>
      <c r="D534" s="136"/>
      <c r="E534" s="136"/>
      <c r="F534" s="136"/>
      <c r="G534" s="136"/>
      <c r="H534" s="119"/>
      <c r="I534" s="144"/>
      <c r="J534" s="144"/>
      <c r="K534" s="144"/>
      <c r="L534" s="86"/>
      <c r="M534" s="86"/>
      <c r="N534" s="316"/>
      <c r="O534" s="86"/>
      <c r="P534" s="86"/>
      <c r="Q534" s="86"/>
      <c r="R534" s="86"/>
      <c r="S534" s="86"/>
      <c r="T534" s="86"/>
      <c r="U534" s="110"/>
      <c r="V534" s="110"/>
      <c r="W534" s="110"/>
      <c r="X534" s="110"/>
      <c r="Y534" s="110"/>
      <c r="Z534" s="104"/>
      <c r="AA534" s="104"/>
    </row>
    <row r="535" spans="1:28" x14ac:dyDescent="0.2">
      <c r="A535" s="113"/>
      <c r="B535" s="141"/>
      <c r="C535" s="141"/>
      <c r="D535" s="137"/>
      <c r="E535" s="137"/>
      <c r="F535" s="138"/>
      <c r="G535" s="138"/>
      <c r="H535" s="112"/>
      <c r="I535" s="144"/>
      <c r="J535" s="144"/>
      <c r="K535" s="144"/>
      <c r="L535" s="86"/>
      <c r="M535" s="86"/>
      <c r="N535" s="316"/>
      <c r="O535" s="86"/>
      <c r="P535" s="86"/>
      <c r="Q535" s="86"/>
      <c r="R535" s="86"/>
      <c r="S535" s="86"/>
      <c r="T535" s="86"/>
      <c r="U535" s="110"/>
      <c r="V535" s="110"/>
      <c r="W535" s="110"/>
      <c r="X535" s="110"/>
      <c r="Y535" s="110"/>
      <c r="Z535" s="104"/>
      <c r="AA535" s="104"/>
    </row>
    <row r="536" spans="1:28" x14ac:dyDescent="0.2">
      <c r="A536" s="121"/>
      <c r="B536" s="139"/>
      <c r="C536" s="139"/>
      <c r="D536" s="139"/>
      <c r="E536" s="139"/>
      <c r="F536" s="139"/>
      <c r="G536" s="139"/>
      <c r="H536" s="121"/>
      <c r="I536" s="143"/>
      <c r="J536" s="143"/>
      <c r="K536" s="143"/>
      <c r="L536" s="106"/>
      <c r="M536" s="106"/>
      <c r="N536" s="315"/>
      <c r="O536" s="106"/>
      <c r="P536" s="106"/>
      <c r="Q536" s="107"/>
      <c r="R536" s="108"/>
      <c r="S536" s="107"/>
      <c r="T536" s="108"/>
      <c r="U536" s="106"/>
      <c r="V536" s="106"/>
      <c r="W536" s="107"/>
      <c r="X536" s="107"/>
      <c r="Y536" s="109"/>
      <c r="AB536" s="103"/>
    </row>
    <row r="537" spans="1:28" x14ac:dyDescent="0.2">
      <c r="A537" s="121"/>
      <c r="B537" s="139"/>
      <c r="C537" s="139"/>
      <c r="D537" s="140"/>
      <c r="E537" s="139"/>
      <c r="F537" s="139"/>
      <c r="G537" s="139"/>
      <c r="H537" s="121"/>
      <c r="I537" s="143"/>
      <c r="J537" s="143"/>
      <c r="K537" s="143"/>
      <c r="L537" s="106"/>
      <c r="M537" s="106"/>
      <c r="N537" s="315"/>
      <c r="O537" s="106"/>
      <c r="P537" s="106"/>
      <c r="Q537" s="107"/>
      <c r="R537" s="108"/>
      <c r="S537" s="107"/>
      <c r="T537" s="108"/>
      <c r="U537" s="106"/>
      <c r="V537" s="106"/>
      <c r="W537" s="107"/>
      <c r="X537" s="107"/>
      <c r="Y537" s="107"/>
      <c r="Z537" s="104"/>
      <c r="AA537" s="104"/>
    </row>
    <row r="538" spans="1:28" x14ac:dyDescent="0.2">
      <c r="A538" s="119"/>
      <c r="B538" s="136"/>
      <c r="C538" s="136"/>
      <c r="D538" s="136"/>
      <c r="E538" s="136"/>
      <c r="F538" s="136"/>
      <c r="G538" s="136"/>
      <c r="H538" s="119"/>
      <c r="I538" s="144"/>
      <c r="J538" s="144"/>
      <c r="K538" s="144"/>
      <c r="L538" s="86"/>
      <c r="M538" s="86"/>
      <c r="N538" s="316"/>
      <c r="O538" s="86"/>
      <c r="P538" s="86"/>
      <c r="Q538" s="86"/>
      <c r="R538" s="86"/>
      <c r="S538" s="110"/>
      <c r="T538" s="111"/>
      <c r="U538" s="86"/>
      <c r="V538" s="86"/>
      <c r="W538" s="110"/>
      <c r="X538" s="110"/>
      <c r="Y538" s="110"/>
      <c r="Z538" s="104"/>
      <c r="AA538" s="104"/>
    </row>
    <row r="539" spans="1:28" x14ac:dyDescent="0.2">
      <c r="A539" s="119"/>
      <c r="B539" s="136"/>
      <c r="C539" s="136"/>
      <c r="D539" s="137"/>
      <c r="E539" s="137"/>
      <c r="F539" s="138"/>
      <c r="G539" s="138"/>
      <c r="H539" s="112"/>
      <c r="I539" s="144"/>
      <c r="J539" s="144"/>
      <c r="K539" s="144"/>
      <c r="L539" s="86"/>
      <c r="M539" s="86"/>
      <c r="N539" s="316"/>
      <c r="O539" s="86"/>
      <c r="P539" s="86"/>
      <c r="Q539" s="86"/>
      <c r="R539" s="86"/>
      <c r="S539" s="110"/>
      <c r="T539" s="111"/>
      <c r="U539" s="86"/>
      <c r="V539" s="86"/>
      <c r="W539" s="110"/>
      <c r="X539" s="110"/>
      <c r="Y539" s="110"/>
      <c r="Z539" s="104"/>
      <c r="AA539" s="104"/>
    </row>
    <row r="540" spans="1:28" x14ac:dyDescent="0.2">
      <c r="A540" s="119"/>
      <c r="B540" s="136"/>
      <c r="C540" s="136"/>
      <c r="D540" s="137"/>
      <c r="E540" s="137"/>
      <c r="F540" s="138"/>
      <c r="G540" s="138"/>
      <c r="H540" s="112"/>
      <c r="I540" s="144"/>
      <c r="J540" s="144"/>
      <c r="K540" s="144"/>
      <c r="L540" s="86"/>
      <c r="M540" s="86"/>
      <c r="N540" s="316"/>
      <c r="O540" s="86"/>
      <c r="P540" s="86"/>
      <c r="Q540" s="86"/>
      <c r="R540" s="86"/>
      <c r="S540" s="110"/>
      <c r="T540" s="111"/>
      <c r="U540" s="86"/>
      <c r="V540" s="86"/>
      <c r="W540" s="110"/>
      <c r="X540" s="110"/>
      <c r="Y540" s="110"/>
      <c r="Z540" s="104"/>
      <c r="AA540" s="104"/>
    </row>
    <row r="541" spans="1:28" x14ac:dyDescent="0.2">
      <c r="A541" s="119"/>
      <c r="B541" s="136"/>
      <c r="C541" s="136"/>
      <c r="D541" s="137"/>
      <c r="E541" s="137"/>
      <c r="F541" s="138"/>
      <c r="G541" s="138"/>
      <c r="H541" s="112"/>
      <c r="I541" s="144"/>
      <c r="J541" s="144"/>
      <c r="K541" s="144"/>
      <c r="L541" s="86"/>
      <c r="M541" s="86"/>
      <c r="N541" s="316"/>
      <c r="O541" s="86"/>
      <c r="P541" s="86"/>
      <c r="Q541" s="86"/>
      <c r="R541" s="86"/>
      <c r="S541" s="110"/>
      <c r="T541" s="111"/>
      <c r="U541" s="86"/>
      <c r="V541" s="86"/>
      <c r="W541" s="110"/>
      <c r="X541" s="110"/>
      <c r="Y541" s="110"/>
      <c r="Z541" s="104"/>
      <c r="AA541" s="104"/>
    </row>
    <row r="542" spans="1:28" x14ac:dyDescent="0.2">
      <c r="A542" s="119"/>
      <c r="B542" s="136"/>
      <c r="C542" s="136"/>
      <c r="D542" s="137"/>
      <c r="E542" s="137"/>
      <c r="F542" s="138"/>
      <c r="G542" s="138"/>
      <c r="H542" s="112"/>
      <c r="I542" s="144"/>
      <c r="J542" s="144"/>
      <c r="K542" s="144"/>
      <c r="L542" s="86"/>
      <c r="M542" s="86"/>
      <c r="N542" s="316"/>
      <c r="O542" s="86"/>
      <c r="P542" s="86"/>
      <c r="Q542" s="86"/>
      <c r="R542" s="86"/>
      <c r="S542" s="110"/>
      <c r="T542" s="111"/>
      <c r="U542" s="86"/>
      <c r="V542" s="86"/>
      <c r="W542" s="110"/>
      <c r="X542" s="110"/>
      <c r="Y542" s="110"/>
      <c r="Z542" s="104"/>
      <c r="AA542" s="104"/>
    </row>
    <row r="543" spans="1:28" x14ac:dyDescent="0.2">
      <c r="A543" s="119"/>
      <c r="B543" s="136"/>
      <c r="C543" s="136"/>
      <c r="D543" s="136"/>
      <c r="E543" s="136"/>
      <c r="F543" s="136"/>
      <c r="G543" s="136"/>
      <c r="H543" s="119"/>
      <c r="I543" s="144"/>
      <c r="J543" s="144"/>
      <c r="K543" s="144"/>
      <c r="L543" s="86"/>
      <c r="M543" s="86"/>
      <c r="N543" s="316"/>
      <c r="O543" s="86"/>
      <c r="P543" s="86"/>
      <c r="Q543" s="110"/>
      <c r="R543" s="111"/>
      <c r="S543" s="86"/>
      <c r="T543" s="86"/>
      <c r="U543" s="86"/>
      <c r="V543" s="86"/>
      <c r="W543" s="110"/>
      <c r="X543" s="110"/>
      <c r="Y543" s="110"/>
      <c r="Z543" s="104"/>
      <c r="AA543" s="104"/>
    </row>
    <row r="544" spans="1:28" x14ac:dyDescent="0.2">
      <c r="A544" s="119"/>
      <c r="B544" s="136"/>
      <c r="C544" s="136"/>
      <c r="D544" s="137"/>
      <c r="E544" s="137"/>
      <c r="F544" s="138"/>
      <c r="G544" s="138"/>
      <c r="H544" s="112"/>
      <c r="I544" s="144"/>
      <c r="J544" s="144"/>
      <c r="K544" s="144"/>
      <c r="L544" s="86"/>
      <c r="M544" s="86"/>
      <c r="N544" s="316"/>
      <c r="O544" s="86"/>
      <c r="P544" s="86"/>
      <c r="Q544" s="110"/>
      <c r="R544" s="111"/>
      <c r="S544" s="86"/>
      <c r="T544" s="86"/>
      <c r="U544" s="86"/>
      <c r="V544" s="86"/>
      <c r="W544" s="110"/>
      <c r="X544" s="110"/>
      <c r="Y544" s="110"/>
      <c r="Z544" s="104"/>
      <c r="AA544" s="104"/>
    </row>
    <row r="545" spans="1:28" x14ac:dyDescent="0.2">
      <c r="A545" s="119"/>
      <c r="B545" s="136"/>
      <c r="C545" s="136"/>
      <c r="D545" s="137"/>
      <c r="E545" s="137"/>
      <c r="F545" s="138"/>
      <c r="G545" s="138"/>
      <c r="H545" s="112"/>
      <c r="I545" s="144"/>
      <c r="J545" s="144"/>
      <c r="K545" s="144"/>
      <c r="L545" s="86"/>
      <c r="M545" s="86"/>
      <c r="N545" s="316"/>
      <c r="O545" s="86"/>
      <c r="P545" s="86"/>
      <c r="Q545" s="110"/>
      <c r="R545" s="111"/>
      <c r="S545" s="86"/>
      <c r="T545" s="86"/>
      <c r="U545" s="86"/>
      <c r="V545" s="86"/>
      <c r="W545" s="110"/>
      <c r="X545" s="110"/>
      <c r="Y545" s="110"/>
      <c r="Z545" s="104"/>
      <c r="AA545" s="104"/>
    </row>
    <row r="546" spans="1:28" x14ac:dyDescent="0.2">
      <c r="A546" s="119"/>
      <c r="B546" s="136"/>
      <c r="C546" s="136"/>
      <c r="D546" s="137"/>
      <c r="E546" s="137"/>
      <c r="F546" s="138"/>
      <c r="G546" s="138"/>
      <c r="H546" s="112"/>
      <c r="I546" s="144"/>
      <c r="J546" s="144"/>
      <c r="K546" s="144"/>
      <c r="L546" s="86"/>
      <c r="M546" s="86"/>
      <c r="N546" s="316"/>
      <c r="O546" s="86"/>
      <c r="P546" s="86"/>
      <c r="Q546" s="110"/>
      <c r="R546" s="111"/>
      <c r="S546" s="86"/>
      <c r="T546" s="86"/>
      <c r="U546" s="86"/>
      <c r="V546" s="86"/>
      <c r="W546" s="110"/>
      <c r="X546" s="110"/>
      <c r="Y546" s="110"/>
      <c r="Z546" s="104"/>
      <c r="AA546" s="104"/>
    </row>
    <row r="547" spans="1:28" x14ac:dyDescent="0.2">
      <c r="A547" s="119"/>
      <c r="B547" s="136"/>
      <c r="C547" s="136"/>
      <c r="D547" s="137"/>
      <c r="E547" s="137"/>
      <c r="F547" s="138"/>
      <c r="G547" s="138"/>
      <c r="H547" s="112"/>
      <c r="I547" s="144"/>
      <c r="J547" s="144"/>
      <c r="K547" s="144"/>
      <c r="L547" s="86"/>
      <c r="M547" s="86"/>
      <c r="N547" s="316"/>
      <c r="O547" s="86"/>
      <c r="P547" s="86"/>
      <c r="Q547" s="110"/>
      <c r="R547" s="111"/>
      <c r="S547" s="86"/>
      <c r="T547" s="86"/>
      <c r="U547" s="86"/>
      <c r="V547" s="86"/>
      <c r="W547" s="110"/>
      <c r="X547" s="110"/>
      <c r="Y547" s="110"/>
      <c r="Z547" s="104"/>
      <c r="AA547" s="104"/>
    </row>
    <row r="548" spans="1:28" x14ac:dyDescent="0.2">
      <c r="A548" s="119"/>
      <c r="B548" s="136"/>
      <c r="C548" s="136"/>
      <c r="D548" s="137"/>
      <c r="E548" s="137"/>
      <c r="F548" s="138"/>
      <c r="G548" s="138"/>
      <c r="H548" s="112"/>
      <c r="I548" s="144"/>
      <c r="J548" s="144"/>
      <c r="K548" s="144"/>
      <c r="L548" s="86"/>
      <c r="M548" s="86"/>
      <c r="N548" s="316"/>
      <c r="O548" s="86"/>
      <c r="P548" s="86"/>
      <c r="Q548" s="110"/>
      <c r="R548" s="111"/>
      <c r="S548" s="86"/>
      <c r="T548" s="86"/>
      <c r="U548" s="86"/>
      <c r="V548" s="86"/>
      <c r="W548" s="110"/>
      <c r="X548" s="110"/>
      <c r="Y548" s="110"/>
      <c r="Z548" s="104"/>
      <c r="AA548" s="104"/>
    </row>
    <row r="549" spans="1:28" x14ac:dyDescent="0.2">
      <c r="A549" s="119"/>
      <c r="B549" s="136"/>
      <c r="C549" s="136"/>
      <c r="D549" s="137"/>
      <c r="E549" s="137"/>
      <c r="F549" s="138"/>
      <c r="G549" s="138"/>
      <c r="H549" s="112"/>
      <c r="I549" s="144"/>
      <c r="J549" s="144"/>
      <c r="K549" s="144"/>
      <c r="L549" s="86"/>
      <c r="M549" s="86"/>
      <c r="N549" s="316"/>
      <c r="O549" s="86"/>
      <c r="P549" s="86"/>
      <c r="Q549" s="110"/>
      <c r="R549" s="111"/>
      <c r="S549" s="86"/>
      <c r="T549" s="86"/>
      <c r="U549" s="86"/>
      <c r="V549" s="86"/>
      <c r="W549" s="110"/>
      <c r="X549" s="110"/>
      <c r="Y549" s="110"/>
      <c r="Z549" s="104"/>
      <c r="AA549" s="104"/>
    </row>
    <row r="550" spans="1:28" x14ac:dyDescent="0.2">
      <c r="A550" s="119"/>
      <c r="B550" s="136"/>
      <c r="C550" s="136"/>
      <c r="D550" s="137"/>
      <c r="E550" s="137"/>
      <c r="F550" s="138"/>
      <c r="G550" s="138"/>
      <c r="H550" s="112"/>
      <c r="I550" s="144"/>
      <c r="J550" s="144"/>
      <c r="K550" s="144"/>
      <c r="L550" s="86"/>
      <c r="M550" s="86"/>
      <c r="N550" s="316"/>
      <c r="O550" s="86"/>
      <c r="P550" s="86"/>
      <c r="Q550" s="110"/>
      <c r="R550" s="111"/>
      <c r="S550" s="86"/>
      <c r="T550" s="86"/>
      <c r="U550" s="86"/>
      <c r="V550" s="86"/>
      <c r="W550" s="110"/>
      <c r="X550" s="110"/>
      <c r="Y550" s="110"/>
      <c r="Z550" s="104"/>
      <c r="AA550" s="104"/>
    </row>
    <row r="551" spans="1:28" x14ac:dyDescent="0.2">
      <c r="A551" s="119"/>
      <c r="B551" s="136"/>
      <c r="C551" s="136"/>
      <c r="D551" s="137"/>
      <c r="E551" s="137"/>
      <c r="F551" s="138"/>
      <c r="G551" s="138"/>
      <c r="H551" s="112"/>
      <c r="I551" s="144"/>
      <c r="J551" s="144"/>
      <c r="K551" s="144"/>
      <c r="L551" s="86"/>
      <c r="M551" s="86"/>
      <c r="N551" s="316"/>
      <c r="O551" s="86"/>
      <c r="P551" s="86"/>
      <c r="Q551" s="110"/>
      <c r="R551" s="111"/>
      <c r="S551" s="86"/>
      <c r="T551" s="86"/>
      <c r="U551" s="86"/>
      <c r="V551" s="86"/>
      <c r="W551" s="110"/>
      <c r="X551" s="110"/>
      <c r="Y551" s="110"/>
      <c r="Z551" s="104"/>
      <c r="AA551" s="104"/>
    </row>
    <row r="552" spans="1:28" x14ac:dyDescent="0.2">
      <c r="A552" s="121"/>
      <c r="B552" s="139"/>
      <c r="C552" s="139"/>
      <c r="D552" s="139"/>
      <c r="E552" s="139"/>
      <c r="F552" s="139"/>
      <c r="G552" s="139"/>
      <c r="H552" s="121"/>
      <c r="I552" s="143"/>
      <c r="J552" s="143"/>
      <c r="K552" s="143"/>
      <c r="L552" s="108"/>
      <c r="M552" s="106"/>
      <c r="N552" s="315"/>
      <c r="O552" s="106"/>
      <c r="P552" s="106"/>
      <c r="Q552" s="106"/>
      <c r="R552" s="106"/>
      <c r="S552" s="107"/>
      <c r="T552" s="108"/>
      <c r="U552" s="107"/>
      <c r="V552" s="107"/>
      <c r="W552" s="107"/>
      <c r="X552" s="107"/>
      <c r="Y552" s="109"/>
      <c r="AB552" s="103"/>
    </row>
    <row r="553" spans="1:28" x14ac:dyDescent="0.2">
      <c r="A553" s="121"/>
      <c r="B553" s="139"/>
      <c r="C553" s="139"/>
      <c r="D553" s="140"/>
      <c r="E553" s="139"/>
      <c r="F553" s="139"/>
      <c r="G553" s="139"/>
      <c r="H553" s="122"/>
      <c r="I553" s="143"/>
      <c r="J553" s="143"/>
      <c r="K553" s="143"/>
      <c r="L553" s="108"/>
      <c r="M553" s="106"/>
      <c r="N553" s="315"/>
      <c r="O553" s="106"/>
      <c r="P553" s="106"/>
      <c r="Q553" s="106"/>
      <c r="R553" s="106"/>
      <c r="S553" s="107"/>
      <c r="T553" s="108"/>
      <c r="U553" s="106"/>
      <c r="V553" s="106"/>
      <c r="W553" s="107"/>
      <c r="X553" s="107"/>
      <c r="Y553" s="107"/>
      <c r="Z553" s="104"/>
      <c r="AA553" s="104"/>
    </row>
    <row r="554" spans="1:28" x14ac:dyDescent="0.2">
      <c r="A554" s="119"/>
      <c r="B554" s="136"/>
      <c r="C554" s="136"/>
      <c r="D554" s="136"/>
      <c r="E554" s="136"/>
      <c r="F554" s="136"/>
      <c r="G554" s="136"/>
      <c r="H554" s="119"/>
      <c r="I554" s="144"/>
      <c r="J554" s="144"/>
      <c r="K554" s="144"/>
      <c r="L554" s="111"/>
      <c r="M554" s="86"/>
      <c r="N554" s="316"/>
      <c r="O554" s="86"/>
      <c r="P554" s="86"/>
      <c r="Q554" s="86"/>
      <c r="R554" s="86"/>
      <c r="S554" s="110"/>
      <c r="T554" s="111"/>
      <c r="U554" s="86"/>
      <c r="V554" s="86"/>
      <c r="W554" s="110"/>
      <c r="X554" s="110"/>
      <c r="Y554" s="110"/>
      <c r="Z554" s="104"/>
      <c r="AA554" s="104"/>
    </row>
    <row r="555" spans="1:28" x14ac:dyDescent="0.2">
      <c r="A555" s="119"/>
      <c r="B555" s="136"/>
      <c r="C555" s="136"/>
      <c r="D555" s="137"/>
      <c r="E555" s="137"/>
      <c r="F555" s="138"/>
      <c r="G555" s="138"/>
      <c r="H555" s="112"/>
      <c r="I555" s="144"/>
      <c r="J555" s="144"/>
      <c r="K555" s="144"/>
      <c r="L555" s="86"/>
      <c r="M555" s="86"/>
      <c r="N555" s="316"/>
      <c r="O555" s="86"/>
      <c r="P555" s="86"/>
      <c r="Q555" s="86"/>
      <c r="R555" s="86"/>
      <c r="S555" s="110"/>
      <c r="T555" s="111"/>
      <c r="U555" s="86"/>
      <c r="V555" s="86"/>
      <c r="W555" s="110"/>
      <c r="X555" s="110"/>
      <c r="Y555" s="110"/>
      <c r="Z555" s="104"/>
      <c r="AA555" s="104"/>
    </row>
    <row r="556" spans="1:28" x14ac:dyDescent="0.2">
      <c r="A556" s="119"/>
      <c r="B556" s="136"/>
      <c r="C556" s="136"/>
      <c r="D556" s="137"/>
      <c r="E556" s="137"/>
      <c r="F556" s="138"/>
      <c r="G556" s="138"/>
      <c r="H556" s="112"/>
      <c r="I556" s="144"/>
      <c r="J556" s="144"/>
      <c r="K556" s="144"/>
      <c r="L556" s="111"/>
      <c r="M556" s="86"/>
      <c r="N556" s="316"/>
      <c r="O556" s="86"/>
      <c r="P556" s="86"/>
      <c r="Q556" s="86"/>
      <c r="R556" s="86"/>
      <c r="S556" s="86"/>
      <c r="T556" s="86"/>
      <c r="U556" s="86"/>
      <c r="V556" s="86"/>
      <c r="W556" s="110"/>
      <c r="X556" s="110"/>
      <c r="Y556" s="110"/>
      <c r="Z556" s="104"/>
      <c r="AA556" s="104"/>
    </row>
    <row r="557" spans="1:28" x14ac:dyDescent="0.2">
      <c r="A557" s="119"/>
      <c r="B557" s="136"/>
      <c r="C557" s="136"/>
      <c r="D557" s="137"/>
      <c r="E557" s="137"/>
      <c r="F557" s="138"/>
      <c r="G557" s="138"/>
      <c r="H557" s="112"/>
      <c r="I557" s="144"/>
      <c r="J557" s="144"/>
      <c r="K557" s="144"/>
      <c r="L557" s="111"/>
      <c r="M557" s="86"/>
      <c r="N557" s="316"/>
      <c r="O557" s="86"/>
      <c r="P557" s="86"/>
      <c r="Q557" s="86"/>
      <c r="R557" s="86"/>
      <c r="S557" s="86"/>
      <c r="T557" s="86"/>
      <c r="U557" s="86"/>
      <c r="V557" s="86"/>
      <c r="W557" s="110"/>
      <c r="X557" s="110"/>
      <c r="Y557" s="110"/>
      <c r="Z557" s="104"/>
      <c r="AA557" s="104"/>
    </row>
    <row r="558" spans="1:28" x14ac:dyDescent="0.2">
      <c r="A558" s="119"/>
      <c r="B558" s="136"/>
      <c r="C558" s="136"/>
      <c r="D558" s="137"/>
      <c r="E558" s="137"/>
      <c r="F558" s="138"/>
      <c r="G558" s="138"/>
      <c r="H558" s="112"/>
      <c r="I558" s="144"/>
      <c r="J558" s="144"/>
      <c r="K558" s="144"/>
      <c r="L558" s="111"/>
      <c r="M558" s="86"/>
      <c r="N558" s="316"/>
      <c r="O558" s="86"/>
      <c r="P558" s="86"/>
      <c r="Q558" s="86"/>
      <c r="R558" s="86"/>
      <c r="S558" s="86"/>
      <c r="T558" s="86"/>
      <c r="U558" s="86"/>
      <c r="V558" s="86"/>
      <c r="W558" s="110"/>
      <c r="X558" s="110"/>
      <c r="Y558" s="110"/>
      <c r="Z558" s="104"/>
      <c r="AA558" s="104"/>
    </row>
    <row r="559" spans="1:28" x14ac:dyDescent="0.2">
      <c r="A559" s="119"/>
      <c r="B559" s="136"/>
      <c r="C559" s="136"/>
      <c r="D559" s="137"/>
      <c r="E559" s="137"/>
      <c r="F559" s="138"/>
      <c r="G559" s="138"/>
      <c r="H559" s="112"/>
      <c r="I559" s="144"/>
      <c r="J559" s="144"/>
      <c r="K559" s="144"/>
      <c r="L559" s="86"/>
      <c r="M559" s="86"/>
      <c r="N559" s="316"/>
      <c r="O559" s="86"/>
      <c r="P559" s="86"/>
      <c r="Q559" s="86"/>
      <c r="R559" s="86"/>
      <c r="S559" s="110"/>
      <c r="T559" s="111"/>
      <c r="U559" s="86"/>
      <c r="V559" s="86"/>
      <c r="W559" s="110"/>
      <c r="X559" s="110"/>
      <c r="Y559" s="110"/>
      <c r="Z559" s="104"/>
      <c r="AA559" s="104"/>
    </row>
    <row r="560" spans="1:28" x14ac:dyDescent="0.2">
      <c r="A560" s="119"/>
      <c r="B560" s="136"/>
      <c r="C560" s="136"/>
      <c r="D560" s="137"/>
      <c r="E560" s="137"/>
      <c r="F560" s="138"/>
      <c r="G560" s="138"/>
      <c r="H560" s="112"/>
      <c r="I560" s="144"/>
      <c r="J560" s="144"/>
      <c r="K560" s="144"/>
      <c r="L560" s="111"/>
      <c r="M560" s="86"/>
      <c r="N560" s="316"/>
      <c r="O560" s="86"/>
      <c r="P560" s="86"/>
      <c r="Q560" s="86"/>
      <c r="R560" s="86"/>
      <c r="S560" s="86"/>
      <c r="T560" s="86"/>
      <c r="U560" s="86"/>
      <c r="V560" s="86"/>
      <c r="W560" s="110"/>
      <c r="X560" s="110"/>
      <c r="Y560" s="110"/>
      <c r="Z560" s="104"/>
      <c r="AA560" s="104"/>
    </row>
    <row r="561" spans="1:25" s="104" customFormat="1" x14ac:dyDescent="0.2">
      <c r="A561" s="119"/>
      <c r="B561" s="136"/>
      <c r="C561" s="136"/>
      <c r="D561" s="137"/>
      <c r="E561" s="137"/>
      <c r="F561" s="138"/>
      <c r="G561" s="138"/>
      <c r="H561" s="112"/>
      <c r="I561" s="144"/>
      <c r="J561" s="144"/>
      <c r="K561" s="144"/>
      <c r="L561" s="86"/>
      <c r="M561" s="86"/>
      <c r="N561" s="316"/>
      <c r="O561" s="86"/>
      <c r="P561" s="86"/>
      <c r="Q561" s="86"/>
      <c r="R561" s="86"/>
      <c r="S561" s="86"/>
      <c r="T561" s="86"/>
      <c r="U561" s="86"/>
      <c r="V561" s="86"/>
      <c r="W561" s="110"/>
      <c r="X561" s="110"/>
      <c r="Y561" s="110"/>
    </row>
    <row r="562" spans="1:25" s="104" customFormat="1" x14ac:dyDescent="0.2">
      <c r="A562" s="119"/>
      <c r="B562" s="136"/>
      <c r="C562" s="136"/>
      <c r="D562" s="137"/>
      <c r="E562" s="137"/>
      <c r="F562" s="138"/>
      <c r="G562" s="138"/>
      <c r="H562" s="112"/>
      <c r="I562" s="144"/>
      <c r="J562" s="144"/>
      <c r="K562" s="144"/>
      <c r="L562" s="86"/>
      <c r="M562" s="86"/>
      <c r="N562" s="316"/>
      <c r="O562" s="86"/>
      <c r="P562" s="86"/>
      <c r="Q562" s="86"/>
      <c r="R562" s="86"/>
      <c r="S562" s="86"/>
      <c r="T562" s="86"/>
      <c r="U562" s="86"/>
      <c r="V562" s="86"/>
      <c r="W562" s="110"/>
      <c r="X562" s="110"/>
      <c r="Y562" s="110"/>
    </row>
    <row r="563" spans="1:25" s="104" customFormat="1" x14ac:dyDescent="0.2">
      <c r="A563" s="119"/>
      <c r="B563" s="136"/>
      <c r="C563" s="136"/>
      <c r="D563" s="137"/>
      <c r="E563" s="137"/>
      <c r="F563" s="138"/>
      <c r="G563" s="138"/>
      <c r="H563" s="112"/>
      <c r="I563" s="144"/>
      <c r="J563" s="144"/>
      <c r="K563" s="144"/>
      <c r="L563" s="86"/>
      <c r="M563" s="86"/>
      <c r="N563" s="316"/>
      <c r="O563" s="86"/>
      <c r="P563" s="86"/>
      <c r="Q563" s="86"/>
      <c r="R563" s="86"/>
      <c r="S563" s="86"/>
      <c r="T563" s="86"/>
      <c r="U563" s="86"/>
      <c r="V563" s="86"/>
      <c r="W563" s="110"/>
      <c r="X563" s="110"/>
      <c r="Y563" s="110"/>
    </row>
    <row r="564" spans="1:25" s="104" customFormat="1" x14ac:dyDescent="0.2">
      <c r="A564" s="119"/>
      <c r="B564" s="136"/>
      <c r="C564" s="136"/>
      <c r="D564" s="137"/>
      <c r="E564" s="137"/>
      <c r="F564" s="138"/>
      <c r="G564" s="138"/>
      <c r="H564" s="112"/>
      <c r="I564" s="144"/>
      <c r="J564" s="144"/>
      <c r="K564" s="144"/>
      <c r="L564" s="86"/>
      <c r="M564" s="86"/>
      <c r="N564" s="316"/>
      <c r="O564" s="86"/>
      <c r="P564" s="86"/>
      <c r="Q564" s="86"/>
      <c r="R564" s="86"/>
      <c r="S564" s="86"/>
      <c r="T564" s="86"/>
      <c r="U564" s="86"/>
      <c r="V564" s="86"/>
      <c r="W564" s="110"/>
      <c r="X564" s="110"/>
      <c r="Y564" s="110"/>
    </row>
    <row r="565" spans="1:25" s="104" customFormat="1" x14ac:dyDescent="0.2">
      <c r="A565" s="119"/>
      <c r="B565" s="136"/>
      <c r="C565" s="136"/>
      <c r="D565" s="136"/>
      <c r="E565" s="136"/>
      <c r="F565" s="136"/>
      <c r="G565" s="136"/>
      <c r="H565" s="119"/>
      <c r="I565" s="144"/>
      <c r="J565" s="144"/>
      <c r="K565" s="144"/>
      <c r="L565" s="111"/>
      <c r="M565" s="86"/>
      <c r="N565" s="316"/>
      <c r="O565" s="86"/>
      <c r="P565" s="86"/>
      <c r="Q565" s="86"/>
      <c r="R565" s="86"/>
      <c r="S565" s="110"/>
      <c r="T565" s="111"/>
      <c r="U565" s="86"/>
      <c r="V565" s="86"/>
      <c r="W565" s="110"/>
      <c r="X565" s="110"/>
      <c r="Y565" s="110"/>
    </row>
    <row r="566" spans="1:25" s="104" customFormat="1" x14ac:dyDescent="0.2">
      <c r="A566" s="119"/>
      <c r="B566" s="136"/>
      <c r="C566" s="136"/>
      <c r="D566" s="137"/>
      <c r="E566" s="137"/>
      <c r="F566" s="138"/>
      <c r="G566" s="138"/>
      <c r="H566" s="112"/>
      <c r="I566" s="144"/>
      <c r="J566" s="144"/>
      <c r="K566" s="144"/>
      <c r="L566" s="111"/>
      <c r="M566" s="86"/>
      <c r="N566" s="316"/>
      <c r="O566" s="86"/>
      <c r="P566" s="86"/>
      <c r="Q566" s="86"/>
      <c r="R566" s="86"/>
      <c r="S566" s="86"/>
      <c r="T566" s="86"/>
      <c r="U566" s="86"/>
      <c r="V566" s="86"/>
      <c r="W566" s="110"/>
      <c r="X566" s="110"/>
      <c r="Y566" s="110"/>
    </row>
    <row r="567" spans="1:25" s="104" customFormat="1" x14ac:dyDescent="0.2">
      <c r="A567" s="119"/>
      <c r="B567" s="136"/>
      <c r="C567" s="136"/>
      <c r="D567" s="137"/>
      <c r="E567" s="137"/>
      <c r="F567" s="138"/>
      <c r="G567" s="138"/>
      <c r="H567" s="112"/>
      <c r="I567" s="144"/>
      <c r="J567" s="144"/>
      <c r="K567" s="144"/>
      <c r="L567" s="111"/>
      <c r="M567" s="86"/>
      <c r="N567" s="316"/>
      <c r="O567" s="86"/>
      <c r="P567" s="86"/>
      <c r="Q567" s="86"/>
      <c r="R567" s="86"/>
      <c r="S567" s="86"/>
      <c r="T567" s="86"/>
      <c r="U567" s="86"/>
      <c r="V567" s="86"/>
      <c r="W567" s="110"/>
      <c r="X567" s="110"/>
      <c r="Y567" s="110"/>
    </row>
    <row r="568" spans="1:25" s="104" customFormat="1" x14ac:dyDescent="0.2">
      <c r="A568" s="119"/>
      <c r="B568" s="136"/>
      <c r="C568" s="136"/>
      <c r="D568" s="137"/>
      <c r="E568" s="137"/>
      <c r="F568" s="138"/>
      <c r="G568" s="138"/>
      <c r="H568" s="112"/>
      <c r="I568" s="144"/>
      <c r="J568" s="144"/>
      <c r="K568" s="144"/>
      <c r="L568" s="111"/>
      <c r="M568" s="86"/>
      <c r="N568" s="316"/>
      <c r="O568" s="86"/>
      <c r="P568" s="86"/>
      <c r="Q568" s="86"/>
      <c r="R568" s="86"/>
      <c r="S568" s="86"/>
      <c r="T568" s="86"/>
      <c r="U568" s="86"/>
      <c r="V568" s="86"/>
      <c r="W568" s="110"/>
      <c r="X568" s="110"/>
      <c r="Y568" s="110"/>
    </row>
    <row r="569" spans="1:25" s="104" customFormat="1" x14ac:dyDescent="0.2">
      <c r="A569" s="119"/>
      <c r="B569" s="136"/>
      <c r="C569" s="136"/>
      <c r="D569" s="137"/>
      <c r="E569" s="137"/>
      <c r="F569" s="138"/>
      <c r="G569" s="138"/>
      <c r="H569" s="112"/>
      <c r="I569" s="144"/>
      <c r="J569" s="144"/>
      <c r="K569" s="144"/>
      <c r="L569" s="111"/>
      <c r="M569" s="86"/>
      <c r="N569" s="316"/>
      <c r="O569" s="86"/>
      <c r="P569" s="86"/>
      <c r="Q569" s="86"/>
      <c r="R569" s="86"/>
      <c r="S569" s="86"/>
      <c r="T569" s="86"/>
      <c r="U569" s="86"/>
      <c r="V569" s="86"/>
      <c r="W569" s="110"/>
      <c r="X569" s="110"/>
      <c r="Y569" s="110"/>
    </row>
    <row r="570" spans="1:25" s="104" customFormat="1" x14ac:dyDescent="0.2">
      <c r="A570" s="119"/>
      <c r="B570" s="136"/>
      <c r="C570" s="136"/>
      <c r="D570" s="137"/>
      <c r="E570" s="137"/>
      <c r="F570" s="138"/>
      <c r="G570" s="138"/>
      <c r="H570" s="112"/>
      <c r="I570" s="144"/>
      <c r="J570" s="144"/>
      <c r="K570" s="144"/>
      <c r="L570" s="86"/>
      <c r="M570" s="86"/>
      <c r="N570" s="316"/>
      <c r="O570" s="86"/>
      <c r="P570" s="86"/>
      <c r="Q570" s="86"/>
      <c r="R570" s="86"/>
      <c r="S570" s="110"/>
      <c r="T570" s="111"/>
      <c r="U570" s="86"/>
      <c r="V570" s="86"/>
      <c r="W570" s="110"/>
      <c r="X570" s="110"/>
      <c r="Y570" s="110"/>
    </row>
    <row r="571" spans="1:25" s="104" customFormat="1" x14ac:dyDescent="0.2">
      <c r="A571" s="119"/>
      <c r="B571" s="136"/>
      <c r="C571" s="136"/>
      <c r="D571" s="137"/>
      <c r="E571" s="137"/>
      <c r="F571" s="138"/>
      <c r="G571" s="138"/>
      <c r="H571" s="112"/>
      <c r="I571" s="144"/>
      <c r="J571" s="144"/>
      <c r="K571" s="144"/>
      <c r="L571" s="86"/>
      <c r="M571" s="86"/>
      <c r="N571" s="316"/>
      <c r="O571" s="86"/>
      <c r="P571" s="86"/>
      <c r="Q571" s="86"/>
      <c r="R571" s="86"/>
      <c r="S571" s="86"/>
      <c r="T571" s="86"/>
      <c r="U571" s="86"/>
      <c r="V571" s="86"/>
      <c r="W571" s="110"/>
      <c r="X571" s="110"/>
      <c r="Y571" s="110"/>
    </row>
    <row r="572" spans="1:25" s="104" customFormat="1" x14ac:dyDescent="0.2">
      <c r="A572" s="119"/>
      <c r="B572" s="136"/>
      <c r="C572" s="136"/>
      <c r="D572" s="137"/>
      <c r="E572" s="137"/>
      <c r="F572" s="138"/>
      <c r="G572" s="138"/>
      <c r="H572" s="112"/>
      <c r="I572" s="144"/>
      <c r="J572" s="144"/>
      <c r="K572" s="144"/>
      <c r="L572" s="86"/>
      <c r="M572" s="86"/>
      <c r="N572" s="316"/>
      <c r="O572" s="86"/>
      <c r="P572" s="86"/>
      <c r="Q572" s="86"/>
      <c r="R572" s="86"/>
      <c r="S572" s="86"/>
      <c r="T572" s="86"/>
      <c r="U572" s="86"/>
      <c r="V572" s="86"/>
      <c r="W572" s="110"/>
      <c r="X572" s="110"/>
      <c r="Y572" s="110"/>
    </row>
    <row r="573" spans="1:25" s="104" customFormat="1" x14ac:dyDescent="0.2">
      <c r="A573" s="119"/>
      <c r="B573" s="136"/>
      <c r="C573" s="136"/>
      <c r="D573" s="137"/>
      <c r="E573" s="137"/>
      <c r="F573" s="138"/>
      <c r="G573" s="138"/>
      <c r="H573" s="112"/>
      <c r="I573" s="144"/>
      <c r="J573" s="144"/>
      <c r="K573" s="144"/>
      <c r="L573" s="86"/>
      <c r="M573" s="86"/>
      <c r="N573" s="316"/>
      <c r="O573" s="86"/>
      <c r="P573" s="86"/>
      <c r="Q573" s="86"/>
      <c r="R573" s="86"/>
      <c r="S573" s="86"/>
      <c r="T573" s="86"/>
      <c r="U573" s="86"/>
      <c r="V573" s="86"/>
      <c r="W573" s="110"/>
      <c r="X573" s="110"/>
      <c r="Y573" s="110"/>
    </row>
    <row r="574" spans="1:25" s="104" customFormat="1" x14ac:dyDescent="0.2">
      <c r="A574" s="119"/>
      <c r="B574" s="136"/>
      <c r="C574" s="136"/>
      <c r="D574" s="137"/>
      <c r="E574" s="137"/>
      <c r="F574" s="138"/>
      <c r="G574" s="138"/>
      <c r="H574" s="112"/>
      <c r="I574" s="144"/>
      <c r="J574" s="144"/>
      <c r="K574" s="144"/>
      <c r="L574" s="86"/>
      <c r="M574" s="86"/>
      <c r="N574" s="316"/>
      <c r="O574" s="86"/>
      <c r="P574" s="86"/>
      <c r="Q574" s="86"/>
      <c r="R574" s="86"/>
      <c r="S574" s="86"/>
      <c r="T574" s="86"/>
      <c r="U574" s="86"/>
      <c r="V574" s="86"/>
      <c r="W574" s="110"/>
      <c r="X574" s="110"/>
      <c r="Y574" s="110"/>
    </row>
    <row r="575" spans="1:25" s="104" customFormat="1" x14ac:dyDescent="0.2">
      <c r="A575" s="119"/>
      <c r="B575" s="136"/>
      <c r="C575" s="136"/>
      <c r="D575" s="136"/>
      <c r="E575" s="136"/>
      <c r="F575" s="136"/>
      <c r="G575" s="136"/>
      <c r="H575" s="119"/>
      <c r="I575" s="144"/>
      <c r="J575" s="144"/>
      <c r="K575" s="144"/>
      <c r="L575" s="111"/>
      <c r="M575" s="86"/>
      <c r="N575" s="316"/>
      <c r="O575" s="86"/>
      <c r="P575" s="86"/>
      <c r="Q575" s="86"/>
      <c r="R575" s="86"/>
      <c r="S575" s="110"/>
      <c r="T575" s="111"/>
      <c r="U575" s="86"/>
      <c r="V575" s="86"/>
      <c r="W575" s="110"/>
      <c r="X575" s="110"/>
      <c r="Y575" s="110"/>
    </row>
    <row r="576" spans="1:25" s="104" customFormat="1" x14ac:dyDescent="0.2">
      <c r="A576" s="119"/>
      <c r="B576" s="136"/>
      <c r="C576" s="136"/>
      <c r="D576" s="137"/>
      <c r="E576" s="137"/>
      <c r="F576" s="138"/>
      <c r="G576" s="138"/>
      <c r="H576" s="112"/>
      <c r="I576" s="144"/>
      <c r="J576" s="144"/>
      <c r="K576" s="144"/>
      <c r="L576" s="86"/>
      <c r="M576" s="86"/>
      <c r="N576" s="316"/>
      <c r="O576" s="86"/>
      <c r="P576" s="86"/>
      <c r="Q576" s="86"/>
      <c r="R576" s="86"/>
      <c r="S576" s="110"/>
      <c r="T576" s="111"/>
      <c r="U576" s="86"/>
      <c r="V576" s="86"/>
      <c r="W576" s="110"/>
      <c r="X576" s="110"/>
      <c r="Y576" s="110"/>
    </row>
    <row r="577" spans="1:25" s="104" customFormat="1" x14ac:dyDescent="0.2">
      <c r="A577" s="119"/>
      <c r="B577" s="136"/>
      <c r="C577" s="136"/>
      <c r="D577" s="137"/>
      <c r="E577" s="137"/>
      <c r="F577" s="138"/>
      <c r="G577" s="138"/>
      <c r="H577" s="112"/>
      <c r="I577" s="144"/>
      <c r="J577" s="144"/>
      <c r="K577" s="144"/>
      <c r="L577" s="111"/>
      <c r="M577" s="86"/>
      <c r="N577" s="316"/>
      <c r="O577" s="86"/>
      <c r="P577" s="86"/>
      <c r="Q577" s="86"/>
      <c r="R577" s="86"/>
      <c r="S577" s="86"/>
      <c r="T577" s="86"/>
      <c r="U577" s="86"/>
      <c r="V577" s="86"/>
      <c r="W577" s="110"/>
      <c r="X577" s="110"/>
      <c r="Y577" s="110"/>
    </row>
    <row r="578" spans="1:25" s="104" customFormat="1" x14ac:dyDescent="0.2">
      <c r="A578" s="119"/>
      <c r="B578" s="136"/>
      <c r="C578" s="136"/>
      <c r="D578" s="137"/>
      <c r="E578" s="137"/>
      <c r="F578" s="138"/>
      <c r="G578" s="138"/>
      <c r="H578" s="112"/>
      <c r="I578" s="144"/>
      <c r="J578" s="144"/>
      <c r="K578" s="144"/>
      <c r="L578" s="86"/>
      <c r="M578" s="86"/>
      <c r="N578" s="316"/>
      <c r="O578" s="86"/>
      <c r="P578" s="86"/>
      <c r="Q578" s="86"/>
      <c r="R578" s="86"/>
      <c r="S578" s="86"/>
      <c r="T578" s="86"/>
      <c r="U578" s="86"/>
      <c r="V578" s="86"/>
      <c r="W578" s="110"/>
      <c r="X578" s="110"/>
      <c r="Y578" s="110"/>
    </row>
    <row r="579" spans="1:25" s="104" customFormat="1" x14ac:dyDescent="0.2">
      <c r="A579" s="119"/>
      <c r="B579" s="136"/>
      <c r="C579" s="136"/>
      <c r="D579" s="136"/>
      <c r="E579" s="136"/>
      <c r="F579" s="136"/>
      <c r="G579" s="136"/>
      <c r="H579" s="119"/>
      <c r="I579" s="144"/>
      <c r="J579" s="144"/>
      <c r="K579" s="144"/>
      <c r="L579" s="86"/>
      <c r="M579" s="86"/>
      <c r="N579" s="316"/>
      <c r="O579" s="86"/>
      <c r="P579" s="86"/>
      <c r="Q579" s="86"/>
      <c r="R579" s="86"/>
      <c r="S579" s="86"/>
      <c r="T579" s="86"/>
      <c r="U579" s="86"/>
      <c r="V579" s="86"/>
      <c r="W579" s="110"/>
      <c r="X579" s="110"/>
      <c r="Y579" s="110"/>
    </row>
    <row r="580" spans="1:25" s="104" customFormat="1" x14ac:dyDescent="0.2">
      <c r="A580" s="119"/>
      <c r="B580" s="136"/>
      <c r="C580" s="136"/>
      <c r="D580" s="137"/>
      <c r="E580" s="137"/>
      <c r="F580" s="138"/>
      <c r="G580" s="138"/>
      <c r="H580" s="112"/>
      <c r="I580" s="144"/>
      <c r="J580" s="144"/>
      <c r="K580" s="144"/>
      <c r="L580" s="86"/>
      <c r="M580" s="86"/>
      <c r="N580" s="316"/>
      <c r="O580" s="86"/>
      <c r="P580" s="86"/>
      <c r="Q580" s="86"/>
      <c r="R580" s="86"/>
      <c r="S580" s="86"/>
      <c r="T580" s="86"/>
      <c r="U580" s="86"/>
      <c r="V580" s="86"/>
      <c r="W580" s="110"/>
      <c r="X580" s="110"/>
      <c r="Y580" s="110"/>
    </row>
    <row r="581" spans="1:25" s="104" customFormat="1" x14ac:dyDescent="0.2">
      <c r="A581" s="119"/>
      <c r="B581" s="136"/>
      <c r="C581" s="136"/>
      <c r="D581" s="137"/>
      <c r="E581" s="137"/>
      <c r="F581" s="138"/>
      <c r="G581" s="138"/>
      <c r="H581" s="112"/>
      <c r="I581" s="144"/>
      <c r="J581" s="144"/>
      <c r="K581" s="144"/>
      <c r="L581" s="86"/>
      <c r="M581" s="86"/>
      <c r="N581" s="316"/>
      <c r="O581" s="86"/>
      <c r="P581" s="86"/>
      <c r="Q581" s="86"/>
      <c r="R581" s="86"/>
      <c r="S581" s="86"/>
      <c r="T581" s="86"/>
      <c r="U581" s="86"/>
      <c r="V581" s="86"/>
      <c r="W581" s="110"/>
      <c r="X581" s="110"/>
      <c r="Y581" s="110"/>
    </row>
    <row r="582" spans="1:25" s="104" customFormat="1" x14ac:dyDescent="0.2">
      <c r="A582" s="119"/>
      <c r="B582" s="136"/>
      <c r="C582" s="136"/>
      <c r="D582" s="137"/>
      <c r="E582" s="137"/>
      <c r="F582" s="138"/>
      <c r="G582" s="138"/>
      <c r="H582" s="112"/>
      <c r="I582" s="144"/>
      <c r="J582" s="144"/>
      <c r="K582" s="144"/>
      <c r="L582" s="86"/>
      <c r="M582" s="86"/>
      <c r="N582" s="316"/>
      <c r="O582" s="86"/>
      <c r="P582" s="86"/>
      <c r="Q582" s="86"/>
      <c r="R582" s="86"/>
      <c r="S582" s="86"/>
      <c r="T582" s="86"/>
      <c r="U582" s="86"/>
      <c r="V582" s="86"/>
      <c r="W582" s="110"/>
      <c r="X582" s="110"/>
      <c r="Y582" s="110"/>
    </row>
    <row r="583" spans="1:25" s="104" customFormat="1" x14ac:dyDescent="0.2">
      <c r="A583" s="119"/>
      <c r="B583" s="136"/>
      <c r="C583" s="136"/>
      <c r="D583" s="137"/>
      <c r="E583" s="137"/>
      <c r="F583" s="138"/>
      <c r="G583" s="138"/>
      <c r="H583" s="112"/>
      <c r="I583" s="144"/>
      <c r="J583" s="144"/>
      <c r="K583" s="144"/>
      <c r="L583" s="86"/>
      <c r="M583" s="86"/>
      <c r="N583" s="316"/>
      <c r="O583" s="86"/>
      <c r="P583" s="86"/>
      <c r="Q583" s="86"/>
      <c r="R583" s="86"/>
      <c r="S583" s="86"/>
      <c r="T583" s="86"/>
      <c r="U583" s="86"/>
      <c r="V583" s="86"/>
      <c r="W583" s="110"/>
      <c r="X583" s="110"/>
      <c r="Y583" s="110"/>
    </row>
    <row r="584" spans="1:25" s="104" customFormat="1" x14ac:dyDescent="0.2">
      <c r="A584" s="119"/>
      <c r="B584" s="136"/>
      <c r="C584" s="136"/>
      <c r="D584" s="136"/>
      <c r="E584" s="136"/>
      <c r="F584" s="136"/>
      <c r="G584" s="136"/>
      <c r="H584" s="119"/>
      <c r="I584" s="144"/>
      <c r="J584" s="144"/>
      <c r="K584" s="144"/>
      <c r="L584" s="86"/>
      <c r="M584" s="86"/>
      <c r="N584" s="316"/>
      <c r="O584" s="86"/>
      <c r="P584" s="86"/>
      <c r="Q584" s="86"/>
      <c r="R584" s="86"/>
      <c r="S584" s="86"/>
      <c r="T584" s="86"/>
      <c r="U584" s="86"/>
      <c r="V584" s="86"/>
      <c r="W584" s="110"/>
      <c r="X584" s="110"/>
      <c r="Y584" s="110"/>
    </row>
    <row r="585" spans="1:25" s="104" customFormat="1" x14ac:dyDescent="0.2">
      <c r="A585" s="119"/>
      <c r="B585" s="136"/>
      <c r="C585" s="136"/>
      <c r="D585" s="137"/>
      <c r="E585" s="137"/>
      <c r="F585" s="138"/>
      <c r="G585" s="138"/>
      <c r="H585" s="112"/>
      <c r="I585" s="144"/>
      <c r="J585" s="144"/>
      <c r="K585" s="144"/>
      <c r="L585" s="86"/>
      <c r="M585" s="86"/>
      <c r="N585" s="316"/>
      <c r="O585" s="86"/>
      <c r="P585" s="86"/>
      <c r="Q585" s="86"/>
      <c r="R585" s="86"/>
      <c r="S585" s="86"/>
      <c r="T585" s="86"/>
      <c r="U585" s="86"/>
      <c r="V585" s="86"/>
      <c r="W585" s="110"/>
      <c r="X585" s="110"/>
      <c r="Y585" s="110"/>
    </row>
    <row r="586" spans="1:25" s="104" customFormat="1" x14ac:dyDescent="0.2">
      <c r="A586" s="121"/>
      <c r="B586" s="139"/>
      <c r="C586" s="139"/>
      <c r="D586" s="140"/>
      <c r="E586" s="139"/>
      <c r="F586" s="139"/>
      <c r="G586" s="139"/>
      <c r="H586" s="121"/>
      <c r="I586" s="143"/>
      <c r="J586" s="143"/>
      <c r="K586" s="143"/>
      <c r="L586" s="106"/>
      <c r="M586" s="106"/>
      <c r="N586" s="315"/>
      <c r="O586" s="106"/>
      <c r="P586" s="106"/>
      <c r="Q586" s="106"/>
      <c r="R586" s="106"/>
      <c r="S586" s="106"/>
      <c r="T586" s="106"/>
      <c r="U586" s="107"/>
      <c r="V586" s="107"/>
      <c r="W586" s="107"/>
      <c r="X586" s="107"/>
      <c r="Y586" s="107"/>
    </row>
    <row r="587" spans="1:25" s="104" customFormat="1" x14ac:dyDescent="0.2">
      <c r="A587" s="119"/>
      <c r="B587" s="136"/>
      <c r="C587" s="136"/>
      <c r="D587" s="136"/>
      <c r="E587" s="136"/>
      <c r="F587" s="136"/>
      <c r="G587" s="136"/>
      <c r="H587" s="119"/>
      <c r="I587" s="144"/>
      <c r="J587" s="144"/>
      <c r="K587" s="144"/>
      <c r="L587" s="86"/>
      <c r="M587" s="86"/>
      <c r="N587" s="316"/>
      <c r="O587" s="86"/>
      <c r="P587" s="86"/>
      <c r="Q587" s="86"/>
      <c r="R587" s="86"/>
      <c r="S587" s="86"/>
      <c r="T587" s="86"/>
      <c r="U587" s="110"/>
      <c r="V587" s="110"/>
      <c r="W587" s="110"/>
      <c r="X587" s="110"/>
      <c r="Y587" s="110"/>
    </row>
    <row r="588" spans="1:25" s="104" customFormat="1" x14ac:dyDescent="0.2">
      <c r="A588" s="113"/>
      <c r="B588" s="141"/>
      <c r="C588" s="141"/>
      <c r="D588" s="137"/>
      <c r="E588" s="137"/>
      <c r="F588" s="138"/>
      <c r="G588" s="138"/>
      <c r="H588" s="112"/>
      <c r="I588" s="144"/>
      <c r="J588" s="144"/>
      <c r="K588" s="144"/>
      <c r="L588" s="86"/>
      <c r="M588" s="86"/>
      <c r="N588" s="316"/>
      <c r="O588" s="86"/>
      <c r="P588" s="86"/>
      <c r="Q588" s="86"/>
      <c r="R588" s="86"/>
      <c r="S588" s="86"/>
      <c r="T588" s="86"/>
      <c r="U588" s="110"/>
      <c r="V588" s="110"/>
      <c r="W588" s="110"/>
      <c r="X588" s="110"/>
      <c r="Y588" s="110"/>
    </row>
    <row r="589" spans="1:25" s="104" customFormat="1" x14ac:dyDescent="0.2">
      <c r="A589" s="121"/>
      <c r="B589" s="139"/>
      <c r="C589" s="139"/>
      <c r="D589" s="140"/>
      <c r="E589" s="139"/>
      <c r="F589" s="139"/>
      <c r="G589" s="139"/>
      <c r="H589" s="121"/>
      <c r="I589" s="143"/>
      <c r="J589" s="143"/>
      <c r="K589" s="143"/>
      <c r="L589" s="106"/>
      <c r="M589" s="106"/>
      <c r="N589" s="315"/>
      <c r="O589" s="106"/>
      <c r="P589" s="106"/>
      <c r="Q589" s="106"/>
      <c r="R589" s="106"/>
      <c r="S589" s="106"/>
      <c r="T589" s="106"/>
      <c r="U589" s="107"/>
      <c r="V589" s="107"/>
      <c r="W589" s="107"/>
      <c r="X589" s="107"/>
      <c r="Y589" s="107"/>
    </row>
    <row r="590" spans="1:25" s="104" customFormat="1" x14ac:dyDescent="0.2">
      <c r="A590" s="119"/>
      <c r="B590" s="136"/>
      <c r="C590" s="136"/>
      <c r="D590" s="136"/>
      <c r="E590" s="136"/>
      <c r="F590" s="136"/>
      <c r="G590" s="136"/>
      <c r="H590" s="119"/>
      <c r="I590" s="144"/>
      <c r="J590" s="144"/>
      <c r="K590" s="144"/>
      <c r="L590" s="86"/>
      <c r="M590" s="86"/>
      <c r="N590" s="316"/>
      <c r="O590" s="86"/>
      <c r="P590" s="86"/>
      <c r="Q590" s="86"/>
      <c r="R590" s="86"/>
      <c r="S590" s="86"/>
      <c r="T590" s="86"/>
      <c r="U590" s="110"/>
      <c r="V590" s="110"/>
      <c r="W590" s="110"/>
      <c r="X590" s="110"/>
      <c r="Y590" s="110"/>
    </row>
    <row r="591" spans="1:25" s="104" customFormat="1" x14ac:dyDescent="0.2">
      <c r="A591" s="113"/>
      <c r="B591" s="141"/>
      <c r="C591" s="141"/>
      <c r="D591" s="137"/>
      <c r="E591" s="137"/>
      <c r="F591" s="138"/>
      <c r="G591" s="138"/>
      <c r="H591" s="112"/>
      <c r="I591" s="144"/>
      <c r="J591" s="144"/>
      <c r="K591" s="144"/>
      <c r="L591" s="86"/>
      <c r="M591" s="86"/>
      <c r="N591" s="316"/>
      <c r="O591" s="86"/>
      <c r="P591" s="86"/>
      <c r="Q591" s="86"/>
      <c r="R591" s="86"/>
      <c r="S591" s="86"/>
      <c r="T591" s="86"/>
      <c r="U591" s="110"/>
      <c r="V591" s="110"/>
      <c r="W591" s="110"/>
      <c r="X591" s="110"/>
      <c r="Y591" s="110"/>
    </row>
    <row r="592" spans="1:25" s="104" customFormat="1" x14ac:dyDescent="0.2">
      <c r="A592" s="121"/>
      <c r="B592" s="139"/>
      <c r="C592" s="139"/>
      <c r="D592" s="140"/>
      <c r="E592" s="139"/>
      <c r="F592" s="139"/>
      <c r="G592" s="139"/>
      <c r="H592" s="121"/>
      <c r="I592" s="143"/>
      <c r="J592" s="143"/>
      <c r="K592" s="143"/>
      <c r="L592" s="106"/>
      <c r="M592" s="106"/>
      <c r="N592" s="315"/>
      <c r="O592" s="106"/>
      <c r="P592" s="106"/>
      <c r="Q592" s="106"/>
      <c r="R592" s="106"/>
      <c r="S592" s="106"/>
      <c r="T592" s="106"/>
      <c r="U592" s="107"/>
      <c r="V592" s="107"/>
      <c r="W592" s="107"/>
      <c r="X592" s="107"/>
      <c r="Y592" s="107"/>
    </row>
    <row r="593" spans="1:28" x14ac:dyDescent="0.2">
      <c r="A593" s="119"/>
      <c r="B593" s="136"/>
      <c r="C593" s="136"/>
      <c r="D593" s="136"/>
      <c r="E593" s="136"/>
      <c r="F593" s="136"/>
      <c r="G593" s="136"/>
      <c r="H593" s="119"/>
      <c r="I593" s="144"/>
      <c r="J593" s="144"/>
      <c r="K593" s="144"/>
      <c r="L593" s="86"/>
      <c r="M593" s="86"/>
      <c r="N593" s="316"/>
      <c r="O593" s="86"/>
      <c r="P593" s="86"/>
      <c r="Q593" s="86"/>
      <c r="R593" s="86"/>
      <c r="S593" s="86"/>
      <c r="T593" s="86"/>
      <c r="U593" s="110"/>
      <c r="V593" s="110"/>
      <c r="W593" s="110"/>
      <c r="X593" s="110"/>
      <c r="Y593" s="110"/>
      <c r="Z593" s="104"/>
      <c r="AA593" s="104"/>
    </row>
    <row r="594" spans="1:28" x14ac:dyDescent="0.2">
      <c r="A594" s="113"/>
      <c r="B594" s="141"/>
      <c r="C594" s="141"/>
      <c r="D594" s="137"/>
      <c r="E594" s="137"/>
      <c r="F594" s="138"/>
      <c r="G594" s="138"/>
      <c r="H594" s="112"/>
      <c r="I594" s="144"/>
      <c r="J594" s="144"/>
      <c r="K594" s="144"/>
      <c r="L594" s="86"/>
      <c r="M594" s="86"/>
      <c r="N594" s="316"/>
      <c r="O594" s="86"/>
      <c r="P594" s="86"/>
      <c r="Q594" s="86"/>
      <c r="R594" s="86"/>
      <c r="S594" s="86"/>
      <c r="T594" s="86"/>
      <c r="U594" s="110"/>
      <c r="V594" s="110"/>
      <c r="W594" s="110"/>
      <c r="X594" s="110"/>
      <c r="Y594" s="110"/>
      <c r="Z594" s="104"/>
      <c r="AA594" s="104"/>
    </row>
    <row r="595" spans="1:28" x14ac:dyDescent="0.2">
      <c r="A595" s="121"/>
      <c r="B595" s="139"/>
      <c r="C595" s="139"/>
      <c r="D595" s="140"/>
      <c r="E595" s="139"/>
      <c r="F595" s="139"/>
      <c r="G595" s="139"/>
      <c r="H595" s="121"/>
      <c r="I595" s="143"/>
      <c r="J595" s="143"/>
      <c r="K595" s="143"/>
      <c r="L595" s="106"/>
      <c r="M595" s="106"/>
      <c r="N595" s="315"/>
      <c r="O595" s="106"/>
      <c r="P595" s="106"/>
      <c r="Q595" s="106"/>
      <c r="R595" s="106"/>
      <c r="S595" s="106"/>
      <c r="T595" s="106"/>
      <c r="U595" s="107"/>
      <c r="V595" s="107"/>
      <c r="W595" s="107"/>
      <c r="X595" s="107"/>
      <c r="Y595" s="107"/>
      <c r="Z595" s="104"/>
      <c r="AA595" s="104"/>
    </row>
    <row r="596" spans="1:28" x14ac:dyDescent="0.2">
      <c r="A596" s="119"/>
      <c r="B596" s="136"/>
      <c r="C596" s="136"/>
      <c r="D596" s="136"/>
      <c r="E596" s="136"/>
      <c r="F596" s="136"/>
      <c r="G596" s="136"/>
      <c r="H596" s="119"/>
      <c r="I596" s="144"/>
      <c r="J596" s="144"/>
      <c r="K596" s="144"/>
      <c r="L596" s="86"/>
      <c r="M596" s="86"/>
      <c r="N596" s="316"/>
      <c r="O596" s="86"/>
      <c r="P596" s="86"/>
      <c r="Q596" s="86"/>
      <c r="R596" s="86"/>
      <c r="S596" s="86"/>
      <c r="T596" s="86"/>
      <c r="U596" s="110"/>
      <c r="V596" s="110"/>
      <c r="W596" s="110"/>
      <c r="X596" s="110"/>
      <c r="Y596" s="110"/>
      <c r="Z596" s="104"/>
      <c r="AA596" s="104"/>
    </row>
    <row r="597" spans="1:28" x14ac:dyDescent="0.2">
      <c r="A597" s="113"/>
      <c r="B597" s="141"/>
      <c r="C597" s="141"/>
      <c r="D597" s="137"/>
      <c r="E597" s="137"/>
      <c r="F597" s="138"/>
      <c r="G597" s="138"/>
      <c r="H597" s="112"/>
      <c r="I597" s="144"/>
      <c r="J597" s="144"/>
      <c r="K597" s="144"/>
      <c r="L597" s="86"/>
      <c r="M597" s="86"/>
      <c r="N597" s="316"/>
      <c r="O597" s="86"/>
      <c r="P597" s="86"/>
      <c r="Q597" s="86"/>
      <c r="R597" s="86"/>
      <c r="S597" s="86"/>
      <c r="T597" s="86"/>
      <c r="U597" s="110"/>
      <c r="V597" s="110"/>
      <c r="W597" s="110"/>
      <c r="X597" s="110"/>
      <c r="Y597" s="110"/>
      <c r="Z597" s="104"/>
      <c r="AA597" s="104"/>
    </row>
    <row r="598" spans="1:28" x14ac:dyDescent="0.2">
      <c r="A598" s="121"/>
      <c r="B598" s="139"/>
      <c r="C598" s="139"/>
      <c r="D598" s="140"/>
      <c r="E598" s="139"/>
      <c r="F598" s="139"/>
      <c r="G598" s="139"/>
      <c r="H598" s="121"/>
      <c r="I598" s="143"/>
      <c r="J598" s="143"/>
      <c r="K598" s="143"/>
      <c r="L598" s="106"/>
      <c r="M598" s="106"/>
      <c r="N598" s="315"/>
      <c r="O598" s="106"/>
      <c r="P598" s="106"/>
      <c r="Q598" s="106"/>
      <c r="R598" s="106"/>
      <c r="S598" s="106"/>
      <c r="T598" s="106"/>
      <c r="U598" s="107"/>
      <c r="V598" s="107"/>
      <c r="W598" s="107"/>
      <c r="X598" s="107"/>
      <c r="Y598" s="107"/>
      <c r="Z598" s="104"/>
      <c r="AA598" s="104"/>
    </row>
    <row r="599" spans="1:28" x14ac:dyDescent="0.2">
      <c r="A599" s="119"/>
      <c r="B599" s="136"/>
      <c r="C599" s="136"/>
      <c r="D599" s="136"/>
      <c r="E599" s="136"/>
      <c r="F599" s="136"/>
      <c r="G599" s="136"/>
      <c r="H599" s="119"/>
      <c r="I599" s="144"/>
      <c r="J599" s="144"/>
      <c r="K599" s="144"/>
      <c r="L599" s="86"/>
      <c r="M599" s="86"/>
      <c r="N599" s="316"/>
      <c r="O599" s="86"/>
      <c r="P599" s="86"/>
      <c r="Q599" s="86"/>
      <c r="R599" s="86"/>
      <c r="S599" s="86"/>
      <c r="T599" s="86"/>
      <c r="U599" s="110"/>
      <c r="V599" s="110"/>
      <c r="W599" s="110"/>
      <c r="X599" s="110"/>
      <c r="Y599" s="110"/>
      <c r="Z599" s="104"/>
      <c r="AA599" s="104"/>
    </row>
    <row r="600" spans="1:28" x14ac:dyDescent="0.2">
      <c r="A600" s="113"/>
      <c r="B600" s="141"/>
      <c r="C600" s="141"/>
      <c r="D600" s="137"/>
      <c r="E600" s="137"/>
      <c r="F600" s="138"/>
      <c r="G600" s="138"/>
      <c r="H600" s="112"/>
      <c r="I600" s="144"/>
      <c r="J600" s="144"/>
      <c r="K600" s="144"/>
      <c r="L600" s="86"/>
      <c r="M600" s="86"/>
      <c r="N600" s="316"/>
      <c r="O600" s="86"/>
      <c r="P600" s="86"/>
      <c r="Q600" s="86"/>
      <c r="R600" s="86"/>
      <c r="S600" s="86"/>
      <c r="T600" s="86"/>
      <c r="U600" s="110"/>
      <c r="V600" s="110"/>
      <c r="W600" s="110"/>
      <c r="X600" s="110"/>
      <c r="Y600" s="110"/>
      <c r="Z600" s="104"/>
      <c r="AA600" s="104"/>
    </row>
    <row r="601" spans="1:28" x14ac:dyDescent="0.2">
      <c r="A601" s="121"/>
      <c r="B601" s="139"/>
      <c r="C601" s="139"/>
      <c r="D601" s="139"/>
      <c r="E601" s="139"/>
      <c r="F601" s="139"/>
      <c r="G601" s="139"/>
      <c r="H601" s="121"/>
      <c r="I601" s="143"/>
      <c r="J601" s="143"/>
      <c r="K601" s="143"/>
      <c r="L601" s="106"/>
      <c r="M601" s="106"/>
      <c r="N601" s="315"/>
      <c r="O601" s="106"/>
      <c r="P601" s="106"/>
      <c r="Q601" s="106"/>
      <c r="R601" s="106"/>
      <c r="S601" s="107"/>
      <c r="T601" s="108"/>
      <c r="U601" s="106"/>
      <c r="V601" s="106"/>
      <c r="W601" s="107"/>
      <c r="X601" s="107"/>
      <c r="Y601" s="109"/>
      <c r="AB601" s="103"/>
    </row>
    <row r="602" spans="1:28" x14ac:dyDescent="0.2">
      <c r="A602" s="121"/>
      <c r="B602" s="139"/>
      <c r="C602" s="139"/>
      <c r="D602" s="140"/>
      <c r="E602" s="139"/>
      <c r="F602" s="139"/>
      <c r="G602" s="139"/>
      <c r="H602" s="121"/>
      <c r="I602" s="143"/>
      <c r="J602" s="143"/>
      <c r="K602" s="143"/>
      <c r="L602" s="106"/>
      <c r="M602" s="106"/>
      <c r="N602" s="315"/>
      <c r="O602" s="106"/>
      <c r="P602" s="106"/>
      <c r="Q602" s="106"/>
      <c r="R602" s="106"/>
      <c r="S602" s="107"/>
      <c r="T602" s="108"/>
      <c r="U602" s="106"/>
      <c r="V602" s="106"/>
      <c r="W602" s="107"/>
      <c r="X602" s="107"/>
      <c r="Y602" s="107"/>
      <c r="Z602" s="104"/>
      <c r="AA602" s="104"/>
    </row>
    <row r="603" spans="1:28" x14ac:dyDescent="0.2">
      <c r="A603" s="119"/>
      <c r="B603" s="136"/>
      <c r="C603" s="136"/>
      <c r="D603" s="136"/>
      <c r="E603" s="136"/>
      <c r="F603" s="136"/>
      <c r="G603" s="136"/>
      <c r="H603" s="119"/>
      <c r="I603" s="144"/>
      <c r="J603" s="144"/>
      <c r="K603" s="144"/>
      <c r="L603" s="86"/>
      <c r="M603" s="86"/>
      <c r="N603" s="316"/>
      <c r="O603" s="86"/>
      <c r="P603" s="86"/>
      <c r="Q603" s="86"/>
      <c r="R603" s="86"/>
      <c r="S603" s="110"/>
      <c r="T603" s="111"/>
      <c r="U603" s="86"/>
      <c r="V603" s="86"/>
      <c r="W603" s="110"/>
      <c r="X603" s="110"/>
      <c r="Y603" s="110"/>
      <c r="Z603" s="104"/>
      <c r="AA603" s="104"/>
    </row>
    <row r="604" spans="1:28" x14ac:dyDescent="0.2">
      <c r="A604" s="119"/>
      <c r="B604" s="136"/>
      <c r="C604" s="136"/>
      <c r="D604" s="137"/>
      <c r="E604" s="137"/>
      <c r="F604" s="138"/>
      <c r="G604" s="138"/>
      <c r="H604" s="112"/>
      <c r="I604" s="144"/>
      <c r="J604" s="144"/>
      <c r="K604" s="144"/>
      <c r="L604" s="86"/>
      <c r="M604" s="86"/>
      <c r="N604" s="316"/>
      <c r="O604" s="86"/>
      <c r="P604" s="86"/>
      <c r="Q604" s="86"/>
      <c r="R604" s="86"/>
      <c r="S604" s="110"/>
      <c r="T604" s="111"/>
      <c r="U604" s="86"/>
      <c r="V604" s="86"/>
      <c r="W604" s="110"/>
      <c r="X604" s="110"/>
      <c r="Y604" s="110"/>
      <c r="Z604" s="104"/>
      <c r="AA604" s="104"/>
    </row>
    <row r="605" spans="1:28" x14ac:dyDescent="0.2">
      <c r="A605" s="121"/>
      <c r="B605" s="139"/>
      <c r="C605" s="139"/>
      <c r="D605" s="139"/>
      <c r="E605" s="139"/>
      <c r="F605" s="139"/>
      <c r="G605" s="139"/>
      <c r="H605" s="121"/>
      <c r="I605" s="143"/>
      <c r="J605" s="143"/>
      <c r="K605" s="143"/>
      <c r="L605" s="106"/>
      <c r="M605" s="106"/>
      <c r="N605" s="315"/>
      <c r="O605" s="106"/>
      <c r="P605" s="106"/>
      <c r="Q605" s="106"/>
      <c r="R605" s="106"/>
      <c r="S605" s="107"/>
      <c r="T605" s="108"/>
      <c r="U605" s="106"/>
      <c r="V605" s="106"/>
      <c r="W605" s="107"/>
      <c r="X605" s="107"/>
      <c r="Y605" s="109"/>
      <c r="AB605" s="103"/>
    </row>
    <row r="606" spans="1:28" x14ac:dyDescent="0.2">
      <c r="A606" s="121"/>
      <c r="B606" s="139"/>
      <c r="C606" s="139"/>
      <c r="D606" s="140"/>
      <c r="E606" s="139"/>
      <c r="F606" s="139"/>
      <c r="G606" s="139"/>
      <c r="H606" s="121"/>
      <c r="I606" s="143"/>
      <c r="J606" s="143"/>
      <c r="K606" s="143"/>
      <c r="L606" s="106"/>
      <c r="M606" s="106"/>
      <c r="N606" s="315"/>
      <c r="O606" s="106"/>
      <c r="P606" s="106"/>
      <c r="Q606" s="106"/>
      <c r="R606" s="106"/>
      <c r="S606" s="107"/>
      <c r="T606" s="108"/>
      <c r="U606" s="106"/>
      <c r="V606" s="106"/>
      <c r="W606" s="107"/>
      <c r="X606" s="107"/>
      <c r="Y606" s="107"/>
      <c r="Z606" s="104"/>
      <c r="AA606" s="104"/>
    </row>
    <row r="607" spans="1:28" x14ac:dyDescent="0.2">
      <c r="A607" s="119"/>
      <c r="B607" s="136"/>
      <c r="C607" s="136"/>
      <c r="D607" s="136"/>
      <c r="E607" s="136"/>
      <c r="F607" s="136"/>
      <c r="G607" s="136"/>
      <c r="H607" s="119"/>
      <c r="I607" s="144"/>
      <c r="J607" s="144"/>
      <c r="K607" s="144"/>
      <c r="L607" s="86"/>
      <c r="M607" s="86"/>
      <c r="N607" s="316"/>
      <c r="O607" s="86"/>
      <c r="P607" s="86"/>
      <c r="Q607" s="86"/>
      <c r="R607" s="86"/>
      <c r="S607" s="110"/>
      <c r="T607" s="111"/>
      <c r="U607" s="86"/>
      <c r="V607" s="86"/>
      <c r="W607" s="110"/>
      <c r="X607" s="110"/>
      <c r="Y607" s="110"/>
      <c r="Z607" s="104"/>
      <c r="AA607" s="104"/>
    </row>
    <row r="608" spans="1:28" x14ac:dyDescent="0.2">
      <c r="A608" s="119"/>
      <c r="B608" s="136"/>
      <c r="C608" s="136"/>
      <c r="D608" s="137"/>
      <c r="E608" s="137"/>
      <c r="F608" s="138"/>
      <c r="G608" s="138"/>
      <c r="H608" s="112"/>
      <c r="I608" s="144"/>
      <c r="J608" s="144"/>
      <c r="K608" s="144"/>
      <c r="L608" s="86"/>
      <c r="M608" s="86"/>
      <c r="N608" s="316"/>
      <c r="O608" s="86"/>
      <c r="P608" s="86"/>
      <c r="Q608" s="86"/>
      <c r="R608" s="86"/>
      <c r="S608" s="110"/>
      <c r="T608" s="111"/>
      <c r="U608" s="86"/>
      <c r="V608" s="86"/>
      <c r="W608" s="110"/>
      <c r="X608" s="110"/>
      <c r="Y608" s="110"/>
      <c r="Z608" s="104"/>
      <c r="AA608" s="104"/>
    </row>
    <row r="609" spans="1:28" x14ac:dyDescent="0.2">
      <c r="A609" s="121"/>
      <c r="B609" s="139"/>
      <c r="C609" s="139"/>
      <c r="D609" s="139"/>
      <c r="E609" s="139"/>
      <c r="F609" s="139"/>
      <c r="G609" s="139"/>
      <c r="H609" s="121"/>
      <c r="I609" s="143"/>
      <c r="J609" s="143"/>
      <c r="K609" s="143"/>
      <c r="L609" s="106"/>
      <c r="M609" s="106"/>
      <c r="N609" s="315"/>
      <c r="O609" s="106"/>
      <c r="P609" s="106"/>
      <c r="Q609" s="106"/>
      <c r="R609" s="106"/>
      <c r="S609" s="106"/>
      <c r="T609" s="106"/>
      <c r="U609" s="107"/>
      <c r="V609" s="107"/>
      <c r="W609" s="107"/>
      <c r="X609" s="107"/>
      <c r="Y609" s="109"/>
      <c r="AB609" s="103"/>
    </row>
    <row r="610" spans="1:28" x14ac:dyDescent="0.2">
      <c r="A610" s="121"/>
      <c r="B610" s="139"/>
      <c r="C610" s="139"/>
      <c r="D610" s="140"/>
      <c r="E610" s="139"/>
      <c r="F610" s="139"/>
      <c r="G610" s="139"/>
      <c r="H610" s="121"/>
      <c r="I610" s="143"/>
      <c r="J610" s="143"/>
      <c r="K610" s="143"/>
      <c r="L610" s="106"/>
      <c r="M610" s="106"/>
      <c r="N610" s="315"/>
      <c r="O610" s="106"/>
      <c r="P610" s="106"/>
      <c r="Q610" s="106"/>
      <c r="R610" s="106"/>
      <c r="S610" s="106"/>
      <c r="T610" s="106"/>
      <c r="U610" s="107"/>
      <c r="V610" s="107"/>
      <c r="W610" s="107"/>
      <c r="X610" s="107"/>
      <c r="Y610" s="107"/>
      <c r="Z610" s="104"/>
      <c r="AA610" s="104"/>
    </row>
    <row r="611" spans="1:28" x14ac:dyDescent="0.2">
      <c r="A611" s="119"/>
      <c r="B611" s="136"/>
      <c r="C611" s="136"/>
      <c r="D611" s="136"/>
      <c r="E611" s="136"/>
      <c r="F611" s="136"/>
      <c r="G611" s="136"/>
      <c r="H611" s="119"/>
      <c r="I611" s="144"/>
      <c r="J611" s="144"/>
      <c r="K611" s="144"/>
      <c r="L611" s="86"/>
      <c r="M611" s="86"/>
      <c r="N611" s="316"/>
      <c r="O611" s="86"/>
      <c r="P611" s="86"/>
      <c r="Q611" s="86"/>
      <c r="R611" s="86"/>
      <c r="S611" s="86"/>
      <c r="T611" s="86"/>
      <c r="U611" s="110"/>
      <c r="V611" s="110"/>
      <c r="W611" s="110"/>
      <c r="X611" s="110"/>
      <c r="Y611" s="110"/>
      <c r="Z611" s="104"/>
      <c r="AA611" s="104"/>
    </row>
    <row r="612" spans="1:28" x14ac:dyDescent="0.2">
      <c r="A612" s="113"/>
      <c r="B612" s="141"/>
      <c r="C612" s="141"/>
      <c r="D612" s="137"/>
      <c r="E612" s="137"/>
      <c r="F612" s="138"/>
      <c r="G612" s="138"/>
      <c r="H612" s="112"/>
      <c r="I612" s="144"/>
      <c r="J612" s="144"/>
      <c r="K612" s="144"/>
      <c r="L612" s="86"/>
      <c r="M612" s="86"/>
      <c r="N612" s="316"/>
      <c r="O612" s="86"/>
      <c r="P612" s="86"/>
      <c r="Q612" s="86"/>
      <c r="R612" s="86"/>
      <c r="S612" s="86"/>
      <c r="T612" s="86"/>
      <c r="U612" s="110"/>
      <c r="V612" s="110"/>
      <c r="W612" s="110"/>
      <c r="X612" s="110"/>
      <c r="Y612" s="110"/>
      <c r="Z612" s="104"/>
      <c r="AA612" s="104"/>
    </row>
    <row r="613" spans="1:28" x14ac:dyDescent="0.2">
      <c r="A613" s="121"/>
      <c r="B613" s="139"/>
      <c r="C613" s="139"/>
      <c r="D613" s="140"/>
      <c r="E613" s="139"/>
      <c r="F613" s="139"/>
      <c r="G613" s="139"/>
      <c r="H613" s="121"/>
      <c r="I613" s="143"/>
      <c r="J613" s="143"/>
      <c r="K613" s="143"/>
      <c r="L613" s="106"/>
      <c r="M613" s="106"/>
      <c r="N613" s="315"/>
      <c r="O613" s="106"/>
      <c r="P613" s="106"/>
      <c r="Q613" s="106"/>
      <c r="R613" s="106"/>
      <c r="S613" s="106"/>
      <c r="T613" s="106"/>
      <c r="U613" s="107"/>
      <c r="V613" s="114"/>
      <c r="W613" s="107"/>
      <c r="X613" s="107"/>
      <c r="Y613" s="107"/>
      <c r="Z613" s="104"/>
      <c r="AA613" s="104"/>
    </row>
    <row r="614" spans="1:28" x14ac:dyDescent="0.2">
      <c r="A614" s="119"/>
      <c r="B614" s="136"/>
      <c r="C614" s="136"/>
      <c r="D614" s="136"/>
      <c r="E614" s="136"/>
      <c r="F614" s="136"/>
      <c r="G614" s="136"/>
      <c r="H614" s="119"/>
      <c r="I614" s="144"/>
      <c r="J614" s="144"/>
      <c r="K614" s="144"/>
      <c r="L614" s="86"/>
      <c r="M614" s="86"/>
      <c r="N614" s="316"/>
      <c r="O614" s="86"/>
      <c r="P614" s="86"/>
      <c r="Q614" s="86"/>
      <c r="R614" s="86"/>
      <c r="S614" s="86"/>
      <c r="T614" s="86"/>
      <c r="U614" s="110"/>
      <c r="V614" s="115"/>
      <c r="W614" s="110"/>
      <c r="X614" s="110"/>
      <c r="Y614" s="110"/>
      <c r="Z614" s="104"/>
      <c r="AA614" s="104"/>
    </row>
    <row r="615" spans="1:28" x14ac:dyDescent="0.2">
      <c r="A615" s="113"/>
      <c r="B615" s="141"/>
      <c r="C615" s="141"/>
      <c r="D615" s="137"/>
      <c r="E615" s="137"/>
      <c r="F615" s="138"/>
      <c r="G615" s="138"/>
      <c r="H615" s="112"/>
      <c r="I615" s="144"/>
      <c r="J615" s="144"/>
      <c r="K615" s="144"/>
      <c r="L615" s="86"/>
      <c r="M615" s="86"/>
      <c r="N615" s="316"/>
      <c r="O615" s="86"/>
      <c r="P615" s="86"/>
      <c r="Q615" s="86"/>
      <c r="R615" s="86"/>
      <c r="S615" s="86"/>
      <c r="T615" s="86"/>
      <c r="U615" s="110"/>
      <c r="V615" s="115"/>
      <c r="W615" s="110"/>
      <c r="X615" s="110"/>
      <c r="Y615" s="110"/>
      <c r="Z615" s="104"/>
      <c r="AA615" s="104"/>
    </row>
    <row r="616" spans="1:28" x14ac:dyDescent="0.2">
      <c r="A616" s="121"/>
      <c r="B616" s="139"/>
      <c r="C616" s="139"/>
      <c r="D616" s="139"/>
      <c r="E616" s="139"/>
      <c r="F616" s="139"/>
      <c r="G616" s="139"/>
      <c r="H616" s="121"/>
      <c r="I616" s="143"/>
      <c r="J616" s="143"/>
      <c r="K616" s="143"/>
      <c r="L616" s="106"/>
      <c r="M616" s="106"/>
      <c r="N616" s="315"/>
      <c r="O616" s="106"/>
      <c r="P616" s="106"/>
      <c r="Q616" s="106"/>
      <c r="R616" s="106"/>
      <c r="S616" s="106"/>
      <c r="T616" s="106"/>
      <c r="U616" s="107"/>
      <c r="V616" s="107"/>
      <c r="W616" s="107"/>
      <c r="X616" s="107"/>
      <c r="Y616" s="109"/>
      <c r="AB616" s="103"/>
    </row>
    <row r="617" spans="1:28" x14ac:dyDescent="0.2">
      <c r="A617" s="121"/>
      <c r="B617" s="139"/>
      <c r="C617" s="139"/>
      <c r="D617" s="140"/>
      <c r="E617" s="139"/>
      <c r="F617" s="139"/>
      <c r="G617" s="139"/>
      <c r="H617" s="121"/>
      <c r="I617" s="143"/>
      <c r="J617" s="143"/>
      <c r="K617" s="143"/>
      <c r="L617" s="106"/>
      <c r="M617" s="106"/>
      <c r="N617" s="315"/>
      <c r="O617" s="106"/>
      <c r="P617" s="106"/>
      <c r="Q617" s="106"/>
      <c r="R617" s="106"/>
      <c r="S617" s="106"/>
      <c r="T617" s="106"/>
      <c r="U617" s="107"/>
      <c r="V617" s="107"/>
      <c r="W617" s="107"/>
      <c r="X617" s="107"/>
      <c r="Y617" s="107"/>
      <c r="Z617" s="104"/>
      <c r="AA617" s="104"/>
    </row>
    <row r="618" spans="1:28" x14ac:dyDescent="0.2">
      <c r="A618" s="119"/>
      <c r="B618" s="136"/>
      <c r="C618" s="136"/>
      <c r="D618" s="136"/>
      <c r="E618" s="136"/>
      <c r="F618" s="136"/>
      <c r="G618" s="136"/>
      <c r="H618" s="119"/>
      <c r="I618" s="144"/>
      <c r="J618" s="144"/>
      <c r="K618" s="144"/>
      <c r="L618" s="86"/>
      <c r="M618" s="86"/>
      <c r="N618" s="316"/>
      <c r="O618" s="86"/>
      <c r="P618" s="86"/>
      <c r="Q618" s="86"/>
      <c r="R618" s="86"/>
      <c r="S618" s="86"/>
      <c r="T618" s="86"/>
      <c r="U618" s="110"/>
      <c r="V618" s="110"/>
      <c r="W618" s="110"/>
      <c r="X618" s="110"/>
      <c r="Y618" s="110"/>
      <c r="Z618" s="104"/>
      <c r="AA618" s="104"/>
    </row>
    <row r="619" spans="1:28" x14ac:dyDescent="0.2">
      <c r="A619" s="113"/>
      <c r="B619" s="141"/>
      <c r="C619" s="141"/>
      <c r="D619" s="137"/>
      <c r="E619" s="137"/>
      <c r="F619" s="138"/>
      <c r="G619" s="138"/>
      <c r="H619" s="112"/>
      <c r="I619" s="144"/>
      <c r="J619" s="144"/>
      <c r="K619" s="144"/>
      <c r="L619" s="86"/>
      <c r="M619" s="86"/>
      <c r="N619" s="316"/>
      <c r="O619" s="86"/>
      <c r="P619" s="86"/>
      <c r="Q619" s="86"/>
      <c r="R619" s="86"/>
      <c r="S619" s="86"/>
      <c r="T619" s="86"/>
      <c r="U619" s="110"/>
      <c r="V619" s="110"/>
      <c r="W619" s="110"/>
      <c r="X619" s="110"/>
      <c r="Y619" s="110"/>
      <c r="Z619" s="104"/>
      <c r="AA619" s="104"/>
    </row>
    <row r="620" spans="1:28" x14ac:dyDescent="0.2">
      <c r="A620" s="121"/>
      <c r="B620" s="139"/>
      <c r="C620" s="139"/>
      <c r="D620" s="140"/>
      <c r="E620" s="139"/>
      <c r="F620" s="139"/>
      <c r="G620" s="139"/>
      <c r="H620" s="121"/>
      <c r="I620" s="143"/>
      <c r="J620" s="143"/>
      <c r="K620" s="143"/>
      <c r="L620" s="106"/>
      <c r="M620" s="106"/>
      <c r="N620" s="315"/>
      <c r="O620" s="106"/>
      <c r="P620" s="106"/>
      <c r="Q620" s="106"/>
      <c r="R620" s="106"/>
      <c r="S620" s="106"/>
      <c r="T620" s="106"/>
      <c r="U620" s="107"/>
      <c r="V620" s="114"/>
      <c r="W620" s="107"/>
      <c r="X620" s="107"/>
      <c r="Y620" s="107"/>
      <c r="Z620" s="104"/>
      <c r="AA620" s="104"/>
    </row>
    <row r="621" spans="1:28" x14ac:dyDescent="0.2">
      <c r="A621" s="119"/>
      <c r="B621" s="136"/>
      <c r="C621" s="136"/>
      <c r="D621" s="136"/>
      <c r="E621" s="136"/>
      <c r="F621" s="136"/>
      <c r="G621" s="136"/>
      <c r="H621" s="119"/>
      <c r="I621" s="144"/>
      <c r="J621" s="144"/>
      <c r="K621" s="144"/>
      <c r="L621" s="86"/>
      <c r="M621" s="86"/>
      <c r="N621" s="316"/>
      <c r="O621" s="86"/>
      <c r="P621" s="86"/>
      <c r="Q621" s="86"/>
      <c r="R621" s="86"/>
      <c r="S621" s="86"/>
      <c r="T621" s="86"/>
      <c r="U621" s="110"/>
      <c r="V621" s="115"/>
      <c r="W621" s="110"/>
      <c r="X621" s="110"/>
      <c r="Y621" s="110"/>
      <c r="Z621" s="104"/>
      <c r="AA621" s="104"/>
    </row>
    <row r="622" spans="1:28" x14ac:dyDescent="0.2">
      <c r="A622" s="113"/>
      <c r="B622" s="141"/>
      <c r="C622" s="141"/>
      <c r="D622" s="137"/>
      <c r="E622" s="137"/>
      <c r="F622" s="138"/>
      <c r="G622" s="138"/>
      <c r="H622" s="112"/>
      <c r="I622" s="144"/>
      <c r="J622" s="144"/>
      <c r="K622" s="144"/>
      <c r="L622" s="86"/>
      <c r="M622" s="86"/>
      <c r="N622" s="316"/>
      <c r="O622" s="86"/>
      <c r="P622" s="86"/>
      <c r="Q622" s="86"/>
      <c r="R622" s="86"/>
      <c r="S622" s="86"/>
      <c r="T622" s="86"/>
      <c r="U622" s="110"/>
      <c r="V622" s="115"/>
      <c r="W622" s="110"/>
      <c r="X622" s="110"/>
      <c r="Y622" s="110"/>
      <c r="Z622" s="104"/>
      <c r="AA622" s="104"/>
    </row>
    <row r="623" spans="1:28" x14ac:dyDescent="0.2">
      <c r="A623" s="121"/>
      <c r="B623" s="139"/>
      <c r="C623" s="139"/>
      <c r="D623" s="139"/>
      <c r="E623" s="139"/>
      <c r="F623" s="139"/>
      <c r="G623" s="139"/>
      <c r="H623" s="121"/>
      <c r="I623" s="143"/>
      <c r="J623" s="143"/>
      <c r="K623" s="143"/>
      <c r="L623" s="106"/>
      <c r="M623" s="106"/>
      <c r="N623" s="315"/>
      <c r="O623" s="106"/>
      <c r="P623" s="106"/>
      <c r="Q623" s="106"/>
      <c r="R623" s="106"/>
      <c r="S623" s="107"/>
      <c r="T623" s="108"/>
      <c r="U623" s="106"/>
      <c r="V623" s="106"/>
      <c r="W623" s="107"/>
      <c r="X623" s="107"/>
      <c r="Y623" s="109"/>
      <c r="AB623" s="103"/>
    </row>
    <row r="624" spans="1:28" x14ac:dyDescent="0.2">
      <c r="A624" s="121"/>
      <c r="B624" s="139"/>
      <c r="C624" s="139"/>
      <c r="D624" s="140"/>
      <c r="E624" s="139"/>
      <c r="F624" s="139"/>
      <c r="G624" s="139"/>
      <c r="H624" s="121"/>
      <c r="I624" s="143"/>
      <c r="J624" s="143"/>
      <c r="K624" s="143"/>
      <c r="L624" s="106"/>
      <c r="M624" s="106"/>
      <c r="N624" s="315"/>
      <c r="O624" s="106"/>
      <c r="P624" s="106"/>
      <c r="Q624" s="106"/>
      <c r="R624" s="106"/>
      <c r="S624" s="107"/>
      <c r="T624" s="108"/>
      <c r="U624" s="106"/>
      <c r="V624" s="106"/>
      <c r="W624" s="107"/>
      <c r="X624" s="107"/>
      <c r="Y624" s="107"/>
      <c r="Z624" s="104"/>
      <c r="AA624" s="104"/>
    </row>
    <row r="625" spans="1:28" x14ac:dyDescent="0.2">
      <c r="A625" s="119"/>
      <c r="B625" s="136"/>
      <c r="C625" s="136"/>
      <c r="D625" s="136"/>
      <c r="E625" s="136"/>
      <c r="F625" s="136"/>
      <c r="G625" s="136"/>
      <c r="H625" s="119"/>
      <c r="I625" s="144"/>
      <c r="J625" s="144"/>
      <c r="K625" s="144"/>
      <c r="L625" s="86"/>
      <c r="M625" s="86"/>
      <c r="N625" s="316"/>
      <c r="O625" s="86"/>
      <c r="P625" s="86"/>
      <c r="Q625" s="86"/>
      <c r="R625" s="86"/>
      <c r="S625" s="110"/>
      <c r="T625" s="111"/>
      <c r="U625" s="86"/>
      <c r="V625" s="86"/>
      <c r="W625" s="110"/>
      <c r="X625" s="110"/>
      <c r="Y625" s="110"/>
      <c r="Z625" s="104"/>
      <c r="AA625" s="104"/>
    </row>
    <row r="626" spans="1:28" x14ac:dyDescent="0.2">
      <c r="A626" s="119"/>
      <c r="B626" s="136"/>
      <c r="C626" s="136"/>
      <c r="D626" s="137"/>
      <c r="E626" s="137"/>
      <c r="F626" s="138"/>
      <c r="G626" s="138"/>
      <c r="H626" s="112"/>
      <c r="I626" s="144"/>
      <c r="J626" s="144"/>
      <c r="K626" s="144"/>
      <c r="L626" s="86"/>
      <c r="M626" s="86"/>
      <c r="N626" s="316"/>
      <c r="O626" s="86"/>
      <c r="P626" s="86"/>
      <c r="Q626" s="86"/>
      <c r="R626" s="86"/>
      <c r="S626" s="110"/>
      <c r="T626" s="111"/>
      <c r="U626" s="86"/>
      <c r="V626" s="86"/>
      <c r="W626" s="110"/>
      <c r="X626" s="110"/>
      <c r="Y626" s="110"/>
      <c r="Z626" s="104"/>
      <c r="AA626" s="104"/>
    </row>
    <row r="627" spans="1:28" x14ac:dyDescent="0.2">
      <c r="A627" s="121"/>
      <c r="B627" s="139"/>
      <c r="C627" s="139"/>
      <c r="D627" s="139"/>
      <c r="E627" s="139"/>
      <c r="F627" s="139"/>
      <c r="G627" s="139"/>
      <c r="H627" s="121"/>
      <c r="I627" s="143"/>
      <c r="J627" s="143"/>
      <c r="K627" s="143"/>
      <c r="L627" s="106"/>
      <c r="M627" s="106"/>
      <c r="N627" s="315"/>
      <c r="O627" s="106"/>
      <c r="P627" s="106"/>
      <c r="Q627" s="106"/>
      <c r="R627" s="106"/>
      <c r="S627" s="106"/>
      <c r="T627" s="106"/>
      <c r="U627" s="107"/>
      <c r="V627" s="107"/>
      <c r="W627" s="107"/>
      <c r="X627" s="107"/>
      <c r="Y627" s="109"/>
      <c r="AB627" s="103"/>
    </row>
    <row r="628" spans="1:28" x14ac:dyDescent="0.2">
      <c r="A628" s="121"/>
      <c r="B628" s="139"/>
      <c r="C628" s="139"/>
      <c r="D628" s="140"/>
      <c r="E628" s="139"/>
      <c r="F628" s="139"/>
      <c r="G628" s="139"/>
      <c r="H628" s="121"/>
      <c r="I628" s="143"/>
      <c r="J628" s="143"/>
      <c r="K628" s="143"/>
      <c r="L628" s="106"/>
      <c r="M628" s="106"/>
      <c r="N628" s="315"/>
      <c r="O628" s="106"/>
      <c r="P628" s="106"/>
      <c r="Q628" s="106"/>
      <c r="R628" s="106"/>
      <c r="S628" s="106"/>
      <c r="T628" s="106"/>
      <c r="U628" s="107"/>
      <c r="V628" s="114"/>
      <c r="W628" s="107"/>
      <c r="X628" s="107"/>
      <c r="Y628" s="107"/>
      <c r="Z628" s="104"/>
      <c r="AA628" s="104"/>
    </row>
    <row r="629" spans="1:28" x14ac:dyDescent="0.2">
      <c r="A629" s="119"/>
      <c r="B629" s="136"/>
      <c r="C629" s="136"/>
      <c r="D629" s="136"/>
      <c r="E629" s="136"/>
      <c r="F629" s="136"/>
      <c r="G629" s="136"/>
      <c r="H629" s="119"/>
      <c r="I629" s="144"/>
      <c r="J629" s="144"/>
      <c r="K629" s="144"/>
      <c r="L629" s="86"/>
      <c r="M629" s="86"/>
      <c r="N629" s="316"/>
      <c r="O629" s="86"/>
      <c r="P629" s="86"/>
      <c r="Q629" s="86"/>
      <c r="R629" s="86"/>
      <c r="S629" s="86"/>
      <c r="T629" s="86"/>
      <c r="U629" s="110"/>
      <c r="V629" s="115"/>
      <c r="W629" s="110"/>
      <c r="X629" s="110"/>
      <c r="Y629" s="110"/>
      <c r="Z629" s="104"/>
      <c r="AA629" s="104"/>
    </row>
    <row r="630" spans="1:28" x14ac:dyDescent="0.2">
      <c r="A630" s="113"/>
      <c r="B630" s="141"/>
      <c r="C630" s="141"/>
      <c r="D630" s="137"/>
      <c r="E630" s="137"/>
      <c r="F630" s="138"/>
      <c r="G630" s="138"/>
      <c r="H630" s="112"/>
      <c r="I630" s="144"/>
      <c r="J630" s="144"/>
      <c r="K630" s="144"/>
      <c r="L630" s="86"/>
      <c r="M630" s="86"/>
      <c r="N630" s="316"/>
      <c r="O630" s="86"/>
      <c r="P630" s="86"/>
      <c r="Q630" s="86"/>
      <c r="R630" s="86"/>
      <c r="S630" s="86"/>
      <c r="T630" s="86"/>
      <c r="U630" s="110"/>
      <c r="V630" s="115"/>
      <c r="W630" s="110"/>
      <c r="X630" s="110"/>
      <c r="Y630" s="110"/>
      <c r="Z630" s="104"/>
      <c r="AA630" s="104"/>
    </row>
    <row r="631" spans="1:28" x14ac:dyDescent="0.2">
      <c r="A631" s="121"/>
      <c r="B631" s="139"/>
      <c r="C631" s="139"/>
      <c r="D631" s="140"/>
      <c r="E631" s="139"/>
      <c r="F631" s="139"/>
      <c r="G631" s="139"/>
      <c r="H631" s="121"/>
      <c r="I631" s="143"/>
      <c r="J631" s="143"/>
      <c r="K631" s="143"/>
      <c r="L631" s="106"/>
      <c r="M631" s="106"/>
      <c r="N631" s="315"/>
      <c r="O631" s="106"/>
      <c r="P631" s="106"/>
      <c r="Q631" s="106"/>
      <c r="R631" s="106"/>
      <c r="S631" s="106"/>
      <c r="T631" s="106"/>
      <c r="U631" s="107"/>
      <c r="V631" s="114"/>
      <c r="W631" s="107"/>
      <c r="X631" s="107"/>
      <c r="Y631" s="107"/>
      <c r="Z631" s="104"/>
      <c r="AA631" s="104"/>
    </row>
    <row r="632" spans="1:28" x14ac:dyDescent="0.2">
      <c r="A632" s="119"/>
      <c r="B632" s="136"/>
      <c r="C632" s="136"/>
      <c r="D632" s="136"/>
      <c r="E632" s="136"/>
      <c r="F632" s="136"/>
      <c r="G632" s="136"/>
      <c r="H632" s="119"/>
      <c r="I632" s="144"/>
      <c r="J632" s="144"/>
      <c r="K632" s="144"/>
      <c r="L632" s="86"/>
      <c r="M632" s="86"/>
      <c r="N632" s="316"/>
      <c r="O632" s="86"/>
      <c r="P632" s="86"/>
      <c r="Q632" s="86"/>
      <c r="R632" s="86"/>
      <c r="S632" s="86"/>
      <c r="T632" s="86"/>
      <c r="U632" s="110"/>
      <c r="V632" s="115"/>
      <c r="W632" s="110"/>
      <c r="X632" s="110"/>
      <c r="Y632" s="110"/>
      <c r="Z632" s="104"/>
      <c r="AA632" s="104"/>
    </row>
    <row r="633" spans="1:28" x14ac:dyDescent="0.2">
      <c r="A633" s="113"/>
      <c r="B633" s="141"/>
      <c r="C633" s="141"/>
      <c r="D633" s="137"/>
      <c r="E633" s="137"/>
      <c r="F633" s="138"/>
      <c r="G633" s="138"/>
      <c r="H633" s="112"/>
      <c r="I633" s="144"/>
      <c r="J633" s="144"/>
      <c r="K633" s="144"/>
      <c r="L633" s="86"/>
      <c r="M633" s="86"/>
      <c r="N633" s="316"/>
      <c r="O633" s="86"/>
      <c r="P633" s="86"/>
      <c r="Q633" s="86"/>
      <c r="R633" s="86"/>
      <c r="S633" s="86"/>
      <c r="T633" s="86"/>
      <c r="U633" s="110"/>
      <c r="V633" s="115"/>
      <c r="W633" s="110"/>
      <c r="X633" s="110"/>
      <c r="Y633" s="110"/>
      <c r="Z633" s="104"/>
      <c r="AA633" s="104"/>
    </row>
    <row r="634" spans="1:28" x14ac:dyDescent="0.2">
      <c r="A634" s="121"/>
      <c r="B634" s="139"/>
      <c r="C634" s="139"/>
      <c r="D634" s="140"/>
      <c r="E634" s="139"/>
      <c r="F634" s="139"/>
      <c r="G634" s="139"/>
      <c r="H634" s="121"/>
      <c r="I634" s="143"/>
      <c r="J634" s="143"/>
      <c r="K634" s="143"/>
      <c r="L634" s="106"/>
      <c r="M634" s="106"/>
      <c r="N634" s="315"/>
      <c r="O634" s="106"/>
      <c r="P634" s="106"/>
      <c r="Q634" s="106"/>
      <c r="R634" s="106"/>
      <c r="S634" s="106"/>
      <c r="T634" s="106"/>
      <c r="U634" s="107"/>
      <c r="V634" s="107"/>
      <c r="W634" s="107"/>
      <c r="X634" s="107"/>
      <c r="Y634" s="107"/>
      <c r="Z634" s="104"/>
      <c r="AA634" s="104"/>
    </row>
    <row r="635" spans="1:28" x14ac:dyDescent="0.2">
      <c r="A635" s="119"/>
      <c r="B635" s="136"/>
      <c r="C635" s="136"/>
      <c r="D635" s="136"/>
      <c r="E635" s="136"/>
      <c r="F635" s="136"/>
      <c r="G635" s="136"/>
      <c r="H635" s="119"/>
      <c r="I635" s="144"/>
      <c r="J635" s="144"/>
      <c r="K635" s="144"/>
      <c r="L635" s="86"/>
      <c r="M635" s="86"/>
      <c r="N635" s="316"/>
      <c r="O635" s="86"/>
      <c r="P635" s="86"/>
      <c r="Q635" s="86"/>
      <c r="R635" s="86"/>
      <c r="S635" s="86"/>
      <c r="T635" s="86"/>
      <c r="U635" s="110"/>
      <c r="V635" s="110"/>
      <c r="W635" s="110"/>
      <c r="X635" s="110"/>
      <c r="Y635" s="110"/>
      <c r="Z635" s="104"/>
      <c r="AA635" s="104"/>
    </row>
    <row r="636" spans="1:28" x14ac:dyDescent="0.2">
      <c r="A636" s="113"/>
      <c r="B636" s="141"/>
      <c r="C636" s="141"/>
      <c r="D636" s="137"/>
      <c r="E636" s="137"/>
      <c r="F636" s="138"/>
      <c r="G636" s="138"/>
      <c r="H636" s="112"/>
      <c r="I636" s="144"/>
      <c r="J636" s="144"/>
      <c r="K636" s="144"/>
      <c r="L636" s="86"/>
      <c r="M636" s="86"/>
      <c r="N636" s="316"/>
      <c r="O636" s="86"/>
      <c r="P636" s="86"/>
      <c r="Q636" s="86"/>
      <c r="R636" s="86"/>
      <c r="S636" s="86"/>
      <c r="T636" s="86"/>
      <c r="U636" s="110"/>
      <c r="V636" s="110"/>
      <c r="W636" s="110"/>
      <c r="X636" s="110"/>
      <c r="Y636" s="110"/>
      <c r="Z636" s="104"/>
      <c r="AA636" s="104"/>
    </row>
    <row r="637" spans="1:28" x14ac:dyDescent="0.2">
      <c r="A637" s="121"/>
      <c r="B637" s="139"/>
      <c r="C637" s="139"/>
      <c r="D637" s="139"/>
      <c r="E637" s="139"/>
      <c r="F637" s="139"/>
      <c r="G637" s="139"/>
      <c r="H637" s="121"/>
      <c r="I637" s="143"/>
      <c r="J637" s="143"/>
      <c r="K637" s="143"/>
      <c r="L637" s="106"/>
      <c r="M637" s="106"/>
      <c r="N637" s="315"/>
      <c r="O637" s="106"/>
      <c r="P637" s="106"/>
      <c r="Q637" s="106"/>
      <c r="R637" s="106"/>
      <c r="S637" s="106"/>
      <c r="T637" s="106"/>
      <c r="U637" s="107"/>
      <c r="V637" s="114"/>
      <c r="W637" s="107"/>
      <c r="X637" s="107"/>
      <c r="Y637" s="109"/>
      <c r="AB637" s="103"/>
    </row>
    <row r="638" spans="1:28" x14ac:dyDescent="0.2">
      <c r="A638" s="121"/>
      <c r="B638" s="139"/>
      <c r="C638" s="139"/>
      <c r="D638" s="140"/>
      <c r="E638" s="139"/>
      <c r="F638" s="139"/>
      <c r="G638" s="139"/>
      <c r="H638" s="121"/>
      <c r="I638" s="143"/>
      <c r="J638" s="143"/>
      <c r="K638" s="143"/>
      <c r="L638" s="106"/>
      <c r="M638" s="106"/>
      <c r="N638" s="315"/>
      <c r="O638" s="106"/>
      <c r="P638" s="106"/>
      <c r="Q638" s="106"/>
      <c r="R638" s="106"/>
      <c r="S638" s="106"/>
      <c r="T638" s="106"/>
      <c r="U638" s="107"/>
      <c r="V638" s="114"/>
      <c r="W638" s="107"/>
      <c r="X638" s="107"/>
      <c r="Y638" s="107"/>
      <c r="Z638" s="104"/>
      <c r="AA638" s="104"/>
    </row>
    <row r="639" spans="1:28" x14ac:dyDescent="0.2">
      <c r="A639" s="119"/>
      <c r="B639" s="136"/>
      <c r="C639" s="136"/>
      <c r="D639" s="136"/>
      <c r="E639" s="136"/>
      <c r="F639" s="136"/>
      <c r="G639" s="136"/>
      <c r="H639" s="119"/>
      <c r="I639" s="144"/>
      <c r="J639" s="144"/>
      <c r="K639" s="144"/>
      <c r="L639" s="86"/>
      <c r="M639" s="86"/>
      <c r="N639" s="316"/>
      <c r="O639" s="86"/>
      <c r="P639" s="86"/>
      <c r="Q639" s="86"/>
      <c r="R639" s="86"/>
      <c r="S639" s="86"/>
      <c r="T639" s="86"/>
      <c r="U639" s="110"/>
      <c r="V639" s="115"/>
      <c r="W639" s="110"/>
      <c r="X639" s="110"/>
      <c r="Y639" s="110"/>
      <c r="Z639" s="104"/>
      <c r="AA639" s="104"/>
    </row>
    <row r="640" spans="1:28" x14ac:dyDescent="0.2">
      <c r="A640" s="113"/>
      <c r="B640" s="141"/>
      <c r="C640" s="141"/>
      <c r="D640" s="138"/>
      <c r="E640" s="137"/>
      <c r="F640" s="138"/>
      <c r="G640" s="138"/>
      <c r="H640" s="112"/>
      <c r="I640" s="144"/>
      <c r="J640" s="144"/>
      <c r="K640" s="144"/>
      <c r="L640" s="86"/>
      <c r="M640" s="86"/>
      <c r="N640" s="316"/>
      <c r="O640" s="86"/>
      <c r="P640" s="86"/>
      <c r="Q640" s="86"/>
      <c r="R640" s="86"/>
      <c r="S640" s="86"/>
      <c r="T640" s="86"/>
      <c r="U640" s="110"/>
      <c r="V640" s="115"/>
      <c r="W640" s="110"/>
      <c r="X640" s="110"/>
      <c r="Y640" s="110"/>
      <c r="Z640" s="104"/>
      <c r="AA640" s="104"/>
    </row>
    <row r="641" spans="1:28" x14ac:dyDescent="0.2">
      <c r="A641" s="121"/>
      <c r="B641" s="139"/>
      <c r="C641" s="139"/>
      <c r="D641" s="139"/>
      <c r="E641" s="139"/>
      <c r="F641" s="139"/>
      <c r="G641" s="139"/>
      <c r="H641" s="121"/>
      <c r="I641" s="143"/>
      <c r="J641" s="143"/>
      <c r="K641" s="143"/>
      <c r="L641" s="106"/>
      <c r="M641" s="106"/>
      <c r="N641" s="315"/>
      <c r="O641" s="106"/>
      <c r="P641" s="106"/>
      <c r="Q641" s="106"/>
      <c r="R641" s="106"/>
      <c r="S641" s="106"/>
      <c r="T641" s="106"/>
      <c r="U641" s="107"/>
      <c r="V641" s="107"/>
      <c r="W641" s="107"/>
      <c r="X641" s="107"/>
      <c r="Y641" s="109"/>
      <c r="AB641" s="103"/>
    </row>
    <row r="642" spans="1:28" x14ac:dyDescent="0.2">
      <c r="A642" s="121"/>
      <c r="B642" s="139"/>
      <c r="C642" s="139"/>
      <c r="D642" s="140"/>
      <c r="E642" s="139"/>
      <c r="F642" s="139"/>
      <c r="G642" s="139"/>
      <c r="H642" s="121"/>
      <c r="I642" s="143"/>
      <c r="J642" s="143"/>
      <c r="K642" s="143"/>
      <c r="L642" s="106"/>
      <c r="M642" s="106"/>
      <c r="N642" s="315"/>
      <c r="O642" s="106"/>
      <c r="P642" s="106"/>
      <c r="Q642" s="106"/>
      <c r="R642" s="106"/>
      <c r="S642" s="106"/>
      <c r="T642" s="106"/>
      <c r="U642" s="107"/>
      <c r="V642" s="114"/>
      <c r="W642" s="107"/>
      <c r="X642" s="107"/>
      <c r="Y642" s="107"/>
      <c r="Z642" s="104"/>
      <c r="AA642" s="104"/>
    </row>
    <row r="643" spans="1:28" x14ac:dyDescent="0.2">
      <c r="A643" s="119"/>
      <c r="B643" s="136"/>
      <c r="C643" s="136"/>
      <c r="D643" s="136"/>
      <c r="E643" s="136"/>
      <c r="F643" s="136"/>
      <c r="G643" s="136"/>
      <c r="H643" s="119"/>
      <c r="I643" s="144"/>
      <c r="J643" s="144"/>
      <c r="K643" s="144"/>
      <c r="L643" s="86"/>
      <c r="M643" s="86"/>
      <c r="N643" s="316"/>
      <c r="O643" s="86"/>
      <c r="P643" s="86"/>
      <c r="Q643" s="86"/>
      <c r="R643" s="86"/>
      <c r="S643" s="86"/>
      <c r="T643" s="86"/>
      <c r="U643" s="110"/>
      <c r="V643" s="115"/>
      <c r="W643" s="110"/>
      <c r="X643" s="110"/>
      <c r="Y643" s="110"/>
      <c r="Z643" s="104"/>
      <c r="AA643" s="104"/>
    </row>
    <row r="644" spans="1:28" x14ac:dyDescent="0.2">
      <c r="A644" s="113"/>
      <c r="B644" s="141"/>
      <c r="C644" s="141"/>
      <c r="D644" s="137"/>
      <c r="E644" s="137"/>
      <c r="F644" s="138"/>
      <c r="G644" s="138"/>
      <c r="H644" s="112"/>
      <c r="I644" s="144"/>
      <c r="J644" s="144"/>
      <c r="K644" s="144"/>
      <c r="L644" s="86"/>
      <c r="M644" s="86"/>
      <c r="N644" s="316"/>
      <c r="O644" s="86"/>
      <c r="P644" s="86"/>
      <c r="Q644" s="86"/>
      <c r="R644" s="86"/>
      <c r="S644" s="86"/>
      <c r="T644" s="86"/>
      <c r="U644" s="110"/>
      <c r="V644" s="115"/>
      <c r="W644" s="110"/>
      <c r="X644" s="110"/>
      <c r="Y644" s="110"/>
      <c r="Z644" s="104"/>
      <c r="AA644" s="104"/>
    </row>
    <row r="645" spans="1:28" x14ac:dyDescent="0.2">
      <c r="A645" s="121"/>
      <c r="B645" s="139"/>
      <c r="C645" s="139"/>
      <c r="D645" s="140"/>
      <c r="E645" s="139"/>
      <c r="F645" s="139"/>
      <c r="G645" s="139"/>
      <c r="H645" s="121"/>
      <c r="I645" s="143"/>
      <c r="J645" s="143"/>
      <c r="K645" s="143"/>
      <c r="L645" s="106"/>
      <c r="M645" s="106"/>
      <c r="N645" s="315"/>
      <c r="O645" s="106"/>
      <c r="P645" s="106"/>
      <c r="Q645" s="106"/>
      <c r="R645" s="106"/>
      <c r="S645" s="106"/>
      <c r="T645" s="106"/>
      <c r="U645" s="107"/>
      <c r="V645" s="114"/>
      <c r="W645" s="107"/>
      <c r="X645" s="107"/>
      <c r="Y645" s="107"/>
      <c r="Z645" s="104"/>
      <c r="AA645" s="104"/>
    </row>
    <row r="646" spans="1:28" x14ac:dyDescent="0.2">
      <c r="A646" s="119"/>
      <c r="B646" s="136"/>
      <c r="C646" s="136"/>
      <c r="D646" s="136"/>
      <c r="E646" s="136"/>
      <c r="F646" s="136"/>
      <c r="G646" s="136"/>
      <c r="H646" s="119"/>
      <c r="I646" s="144"/>
      <c r="J646" s="144"/>
      <c r="K646" s="144"/>
      <c r="L646" s="86"/>
      <c r="M646" s="86"/>
      <c r="N646" s="316"/>
      <c r="O646" s="86"/>
      <c r="P646" s="86"/>
      <c r="Q646" s="86"/>
      <c r="R646" s="86"/>
      <c r="S646" s="86"/>
      <c r="T646" s="86"/>
      <c r="U646" s="110"/>
      <c r="V646" s="115"/>
      <c r="W646" s="110"/>
      <c r="X646" s="110"/>
      <c r="Y646" s="110"/>
      <c r="Z646" s="104"/>
      <c r="AA646" s="104"/>
    </row>
    <row r="647" spans="1:28" x14ac:dyDescent="0.2">
      <c r="A647" s="113"/>
      <c r="B647" s="141"/>
      <c r="C647" s="141"/>
      <c r="D647" s="137"/>
      <c r="E647" s="137"/>
      <c r="F647" s="138"/>
      <c r="G647" s="138"/>
      <c r="H647" s="112"/>
      <c r="I647" s="144"/>
      <c r="J647" s="144"/>
      <c r="K647" s="144"/>
      <c r="L647" s="86"/>
      <c r="M647" s="86"/>
      <c r="N647" s="316"/>
      <c r="O647" s="86"/>
      <c r="P647" s="86"/>
      <c r="Q647" s="86"/>
      <c r="R647" s="86"/>
      <c r="S647" s="86"/>
      <c r="T647" s="86"/>
      <c r="U647" s="110"/>
      <c r="V647" s="115"/>
      <c r="W647" s="110"/>
      <c r="X647" s="110"/>
      <c r="Y647" s="110"/>
      <c r="Z647" s="104"/>
      <c r="AA647" s="104"/>
    </row>
    <row r="648" spans="1:28" x14ac:dyDescent="0.2">
      <c r="A648" s="121"/>
      <c r="B648" s="139"/>
      <c r="C648" s="139"/>
      <c r="D648" s="140"/>
      <c r="E648" s="139"/>
      <c r="F648" s="139"/>
      <c r="G648" s="139"/>
      <c r="H648" s="121"/>
      <c r="I648" s="143"/>
      <c r="J648" s="143"/>
      <c r="K648" s="143"/>
      <c r="L648" s="106"/>
      <c r="M648" s="106"/>
      <c r="N648" s="315"/>
      <c r="O648" s="106"/>
      <c r="P648" s="106"/>
      <c r="Q648" s="106"/>
      <c r="R648" s="106"/>
      <c r="S648" s="106"/>
      <c r="T648" s="106"/>
      <c r="U648" s="107"/>
      <c r="V648" s="114"/>
      <c r="W648" s="107"/>
      <c r="X648" s="107"/>
      <c r="Y648" s="107"/>
      <c r="Z648" s="104"/>
      <c r="AA648" s="104"/>
    </row>
    <row r="649" spans="1:28" x14ac:dyDescent="0.2">
      <c r="A649" s="119"/>
      <c r="B649" s="136"/>
      <c r="C649" s="136"/>
      <c r="D649" s="136"/>
      <c r="E649" s="136"/>
      <c r="F649" s="136"/>
      <c r="G649" s="136"/>
      <c r="H649" s="119"/>
      <c r="I649" s="144"/>
      <c r="J649" s="144"/>
      <c r="K649" s="144"/>
      <c r="L649" s="86"/>
      <c r="M649" s="86"/>
      <c r="N649" s="316"/>
      <c r="O649" s="86"/>
      <c r="P649" s="86"/>
      <c r="Q649" s="86"/>
      <c r="R649" s="86"/>
      <c r="S649" s="86"/>
      <c r="T649" s="86"/>
      <c r="U649" s="110"/>
      <c r="V649" s="115"/>
      <c r="W649" s="110"/>
      <c r="X649" s="110"/>
      <c r="Y649" s="110"/>
      <c r="Z649" s="104"/>
      <c r="AA649" s="104"/>
    </row>
    <row r="650" spans="1:28" x14ac:dyDescent="0.2">
      <c r="A650" s="113"/>
      <c r="B650" s="141"/>
      <c r="C650" s="141"/>
      <c r="D650" s="137"/>
      <c r="E650" s="137"/>
      <c r="F650" s="138"/>
      <c r="G650" s="138"/>
      <c r="H650" s="112"/>
      <c r="I650" s="144"/>
      <c r="J650" s="144"/>
      <c r="K650" s="144"/>
      <c r="L650" s="86"/>
      <c r="M650" s="86"/>
      <c r="N650" s="316"/>
      <c r="O650" s="86"/>
      <c r="P650" s="86"/>
      <c r="Q650" s="86"/>
      <c r="R650" s="86"/>
      <c r="S650" s="86"/>
      <c r="T650" s="86"/>
      <c r="U650" s="110"/>
      <c r="V650" s="115"/>
      <c r="W650" s="110"/>
      <c r="X650" s="110"/>
      <c r="Y650" s="110"/>
      <c r="Z650" s="104"/>
      <c r="AA650" s="104"/>
    </row>
    <row r="651" spans="1:28" x14ac:dyDescent="0.2">
      <c r="A651" s="121"/>
      <c r="B651" s="139"/>
      <c r="C651" s="139"/>
      <c r="D651" s="139"/>
      <c r="E651" s="139"/>
      <c r="F651" s="139"/>
      <c r="G651" s="139"/>
      <c r="H651" s="121"/>
      <c r="I651" s="143"/>
      <c r="J651" s="143"/>
      <c r="K651" s="143"/>
      <c r="L651" s="106"/>
      <c r="M651" s="114"/>
      <c r="N651" s="317"/>
      <c r="O651" s="106"/>
      <c r="P651" s="106"/>
      <c r="Q651" s="106"/>
      <c r="R651" s="106"/>
      <c r="S651" s="106"/>
      <c r="T651" s="106"/>
      <c r="U651" s="106"/>
      <c r="V651" s="106"/>
      <c r="W651" s="107"/>
      <c r="X651" s="107"/>
      <c r="Y651" s="109"/>
      <c r="AB651" s="103"/>
    </row>
    <row r="652" spans="1:28" x14ac:dyDescent="0.2">
      <c r="A652" s="121"/>
      <c r="B652" s="139"/>
      <c r="C652" s="139"/>
      <c r="D652" s="140"/>
      <c r="E652" s="139"/>
      <c r="F652" s="139"/>
      <c r="G652" s="139"/>
      <c r="H652" s="122"/>
      <c r="I652" s="143"/>
      <c r="J652" s="143"/>
      <c r="K652" s="143"/>
      <c r="L652" s="106"/>
      <c r="M652" s="114"/>
      <c r="N652" s="317"/>
      <c r="O652" s="106"/>
      <c r="P652" s="106"/>
      <c r="Q652" s="106"/>
      <c r="R652" s="106"/>
      <c r="S652" s="106"/>
      <c r="T652" s="106"/>
      <c r="U652" s="106"/>
      <c r="V652" s="106"/>
      <c r="W652" s="107"/>
      <c r="X652" s="107"/>
      <c r="Y652" s="107"/>
      <c r="Z652" s="104"/>
      <c r="AA652" s="104"/>
    </row>
    <row r="653" spans="1:28" x14ac:dyDescent="0.2">
      <c r="A653" s="119"/>
      <c r="B653" s="136"/>
      <c r="C653" s="136"/>
      <c r="D653" s="136"/>
      <c r="E653" s="136"/>
      <c r="F653" s="136"/>
      <c r="G653" s="136"/>
      <c r="H653" s="119"/>
      <c r="I653" s="144"/>
      <c r="J653" s="144"/>
      <c r="K653" s="144"/>
      <c r="L653" s="86"/>
      <c r="M653" s="86"/>
      <c r="N653" s="316"/>
      <c r="O653" s="86"/>
      <c r="P653" s="86"/>
      <c r="Q653" s="86"/>
      <c r="R653" s="86"/>
      <c r="S653" s="86"/>
      <c r="T653" s="86"/>
      <c r="U653" s="86"/>
      <c r="V653" s="86"/>
      <c r="W653" s="110"/>
      <c r="X653" s="110"/>
      <c r="Y653" s="110"/>
      <c r="Z653" s="104"/>
      <c r="AA653" s="104"/>
    </row>
    <row r="654" spans="1:28" x14ac:dyDescent="0.2">
      <c r="A654" s="119"/>
      <c r="B654" s="136"/>
      <c r="C654" s="136"/>
      <c r="D654" s="137"/>
      <c r="E654" s="137"/>
      <c r="F654" s="138"/>
      <c r="G654" s="138"/>
      <c r="H654" s="116"/>
      <c r="I654" s="144"/>
      <c r="J654" s="144"/>
      <c r="K654" s="144"/>
      <c r="L654" s="86"/>
      <c r="M654" s="86"/>
      <c r="N654" s="316"/>
      <c r="O654" s="86"/>
      <c r="P654" s="86"/>
      <c r="Q654" s="86"/>
      <c r="R654" s="86"/>
      <c r="S654" s="86"/>
      <c r="T654" s="86"/>
      <c r="U654" s="86"/>
      <c r="V654" s="86"/>
      <c r="W654" s="110"/>
      <c r="X654" s="110"/>
      <c r="Y654" s="110"/>
      <c r="Z654" s="104"/>
      <c r="AA654" s="104"/>
    </row>
    <row r="655" spans="1:28" x14ac:dyDescent="0.2">
      <c r="A655" s="119"/>
      <c r="B655" s="136"/>
      <c r="C655" s="136"/>
      <c r="D655" s="136"/>
      <c r="E655" s="136"/>
      <c r="F655" s="136"/>
      <c r="G655" s="136"/>
      <c r="H655" s="119"/>
      <c r="I655" s="144"/>
      <c r="J655" s="144"/>
      <c r="K655" s="144"/>
      <c r="L655" s="86"/>
      <c r="M655" s="115"/>
      <c r="N655" s="318"/>
      <c r="O655" s="86"/>
      <c r="P655" s="86"/>
      <c r="Q655" s="86"/>
      <c r="R655" s="86"/>
      <c r="S655" s="86"/>
      <c r="T655" s="86"/>
      <c r="U655" s="86"/>
      <c r="V655" s="86"/>
      <c r="W655" s="115"/>
      <c r="X655" s="115"/>
      <c r="Y655" s="115"/>
      <c r="Z655" s="104"/>
      <c r="AA655" s="104"/>
    </row>
    <row r="656" spans="1:28" x14ac:dyDescent="0.2">
      <c r="A656" s="119"/>
      <c r="B656" s="136"/>
      <c r="C656" s="136"/>
      <c r="D656" s="137"/>
      <c r="E656" s="137"/>
      <c r="F656" s="138"/>
      <c r="G656" s="138"/>
      <c r="H656" s="116"/>
      <c r="I656" s="144"/>
      <c r="J656" s="144"/>
      <c r="K656" s="144"/>
      <c r="L656" s="86"/>
      <c r="M656" s="115"/>
      <c r="N656" s="318"/>
      <c r="O656" s="86"/>
      <c r="P656" s="86"/>
      <c r="Q656" s="86"/>
      <c r="R656" s="86"/>
      <c r="S656" s="86"/>
      <c r="T656" s="86"/>
      <c r="U656" s="86"/>
      <c r="V656" s="86"/>
      <c r="W656" s="115"/>
      <c r="X656" s="115"/>
      <c r="Y656" s="115"/>
      <c r="Z656" s="104"/>
      <c r="AA656" s="104"/>
    </row>
    <row r="657" spans="1:28" x14ac:dyDescent="0.2">
      <c r="A657" s="121"/>
      <c r="B657" s="139"/>
      <c r="C657" s="139"/>
      <c r="D657" s="139"/>
      <c r="E657" s="139"/>
      <c r="F657" s="139"/>
      <c r="G657" s="139"/>
      <c r="H657" s="121"/>
      <c r="I657" s="143"/>
      <c r="J657" s="143"/>
      <c r="K657" s="143"/>
      <c r="L657" s="106"/>
      <c r="M657" s="106"/>
      <c r="N657" s="315"/>
      <c r="O657" s="106"/>
      <c r="P657" s="106"/>
      <c r="Q657" s="106"/>
      <c r="R657" s="106"/>
      <c r="S657" s="106"/>
      <c r="T657" s="106"/>
      <c r="U657" s="107"/>
      <c r="V657" s="107"/>
      <c r="W657" s="107"/>
      <c r="X657" s="107"/>
      <c r="Y657" s="109"/>
      <c r="AB657" s="103"/>
    </row>
    <row r="658" spans="1:28" x14ac:dyDescent="0.2">
      <c r="A658" s="121"/>
      <c r="B658" s="139"/>
      <c r="C658" s="139"/>
      <c r="D658" s="140"/>
      <c r="E658" s="139"/>
      <c r="F658" s="139"/>
      <c r="G658" s="139"/>
      <c r="H658" s="121"/>
      <c r="I658" s="143"/>
      <c r="J658" s="143"/>
      <c r="K658" s="143"/>
      <c r="L658" s="106"/>
      <c r="M658" s="106"/>
      <c r="N658" s="315"/>
      <c r="O658" s="106"/>
      <c r="P658" s="106"/>
      <c r="Q658" s="106"/>
      <c r="R658" s="106"/>
      <c r="S658" s="106"/>
      <c r="T658" s="106"/>
      <c r="U658" s="107"/>
      <c r="V658" s="107"/>
      <c r="W658" s="107"/>
      <c r="X658" s="107"/>
      <c r="Y658" s="107"/>
      <c r="Z658" s="104"/>
      <c r="AA658" s="104"/>
    </row>
    <row r="659" spans="1:28" x14ac:dyDescent="0.2">
      <c r="A659" s="119"/>
      <c r="B659" s="136"/>
      <c r="C659" s="136"/>
      <c r="D659" s="136"/>
      <c r="E659" s="136"/>
      <c r="F659" s="136"/>
      <c r="G659" s="136"/>
      <c r="H659" s="119"/>
      <c r="I659" s="144"/>
      <c r="J659" s="144"/>
      <c r="K659" s="144"/>
      <c r="L659" s="86"/>
      <c r="M659" s="86"/>
      <c r="N659" s="316"/>
      <c r="O659" s="86"/>
      <c r="P659" s="86"/>
      <c r="Q659" s="86"/>
      <c r="R659" s="86"/>
      <c r="S659" s="86"/>
      <c r="T659" s="86"/>
      <c r="U659" s="110"/>
      <c r="V659" s="110"/>
      <c r="W659" s="110"/>
      <c r="X659" s="110"/>
      <c r="Y659" s="110"/>
      <c r="Z659" s="104"/>
      <c r="AA659" s="104"/>
    </row>
    <row r="660" spans="1:28" x14ac:dyDescent="0.2">
      <c r="A660" s="113"/>
      <c r="B660" s="141"/>
      <c r="C660" s="141"/>
      <c r="D660" s="137"/>
      <c r="E660" s="137"/>
      <c r="F660" s="138"/>
      <c r="G660" s="138"/>
      <c r="H660" s="112"/>
      <c r="I660" s="144"/>
      <c r="J660" s="144"/>
      <c r="K660" s="144"/>
      <c r="L660" s="86"/>
      <c r="M660" s="86"/>
      <c r="N660" s="316"/>
      <c r="O660" s="86"/>
      <c r="P660" s="86"/>
      <c r="Q660" s="86"/>
      <c r="R660" s="86"/>
      <c r="S660" s="86"/>
      <c r="T660" s="86"/>
      <c r="U660" s="110"/>
      <c r="V660" s="110"/>
      <c r="W660" s="110"/>
      <c r="X660" s="110"/>
      <c r="Y660" s="110"/>
      <c r="Z660" s="104"/>
      <c r="AA660" s="104"/>
    </row>
    <row r="661" spans="1:28" x14ac:dyDescent="0.2">
      <c r="A661" s="121"/>
      <c r="B661" s="139"/>
      <c r="C661" s="139"/>
      <c r="D661" s="140"/>
      <c r="E661" s="139"/>
      <c r="F661" s="139"/>
      <c r="G661" s="139"/>
      <c r="H661" s="121"/>
      <c r="I661" s="143"/>
      <c r="J661" s="143"/>
      <c r="K661" s="143"/>
      <c r="L661" s="106"/>
      <c r="M661" s="106"/>
      <c r="N661" s="315"/>
      <c r="O661" s="106"/>
      <c r="P661" s="106"/>
      <c r="Q661" s="106"/>
      <c r="R661" s="106"/>
      <c r="S661" s="106"/>
      <c r="T661" s="106"/>
      <c r="U661" s="107"/>
      <c r="V661" s="114"/>
      <c r="W661" s="107"/>
      <c r="X661" s="107"/>
      <c r="Y661" s="107"/>
      <c r="Z661" s="104"/>
      <c r="AA661" s="104"/>
    </row>
    <row r="662" spans="1:28" x14ac:dyDescent="0.2">
      <c r="A662" s="119"/>
      <c r="B662" s="136"/>
      <c r="C662" s="136"/>
      <c r="D662" s="136"/>
      <c r="E662" s="136"/>
      <c r="F662" s="136"/>
      <c r="G662" s="136"/>
      <c r="H662" s="119"/>
      <c r="I662" s="144"/>
      <c r="J662" s="144"/>
      <c r="K662" s="144"/>
      <c r="L662" s="86"/>
      <c r="M662" s="86"/>
      <c r="N662" s="316"/>
      <c r="O662" s="86"/>
      <c r="P662" s="86"/>
      <c r="Q662" s="86"/>
      <c r="R662" s="86"/>
      <c r="S662" s="86"/>
      <c r="T662" s="86"/>
      <c r="U662" s="110"/>
      <c r="V662" s="115"/>
      <c r="W662" s="110"/>
      <c r="X662" s="110"/>
      <c r="Y662" s="110"/>
      <c r="Z662" s="104"/>
      <c r="AA662" s="104"/>
    </row>
    <row r="663" spans="1:28" x14ac:dyDescent="0.2">
      <c r="A663" s="113"/>
      <c r="B663" s="141"/>
      <c r="C663" s="141"/>
      <c r="D663" s="137"/>
      <c r="E663" s="137"/>
      <c r="F663" s="138"/>
      <c r="G663" s="138"/>
      <c r="H663" s="112"/>
      <c r="I663" s="144"/>
      <c r="J663" s="144"/>
      <c r="K663" s="144"/>
      <c r="L663" s="86"/>
      <c r="M663" s="86"/>
      <c r="N663" s="316"/>
      <c r="O663" s="86"/>
      <c r="P663" s="86"/>
      <c r="Q663" s="86"/>
      <c r="R663" s="86"/>
      <c r="S663" s="86"/>
      <c r="T663" s="86"/>
      <c r="U663" s="110"/>
      <c r="V663" s="115"/>
      <c r="W663" s="110"/>
      <c r="X663" s="110"/>
      <c r="Y663" s="110"/>
      <c r="Z663" s="104"/>
      <c r="AA663" s="104"/>
    </row>
    <row r="664" spans="1:28" x14ac:dyDescent="0.2">
      <c r="A664" s="121"/>
      <c r="B664" s="139"/>
      <c r="C664" s="139"/>
      <c r="D664" s="139"/>
      <c r="E664" s="139"/>
      <c r="F664" s="139"/>
      <c r="G664" s="139"/>
      <c r="H664" s="121"/>
      <c r="I664" s="143"/>
      <c r="J664" s="143"/>
      <c r="K664" s="143"/>
      <c r="L664" s="106"/>
      <c r="M664" s="106"/>
      <c r="N664" s="315"/>
      <c r="O664" s="106"/>
      <c r="P664" s="106"/>
      <c r="Q664" s="106"/>
      <c r="R664" s="106"/>
      <c r="S664" s="106"/>
      <c r="T664" s="106"/>
      <c r="U664" s="107"/>
      <c r="V664" s="114"/>
      <c r="W664" s="107"/>
      <c r="X664" s="107"/>
      <c r="Y664" s="109"/>
      <c r="AB664" s="103"/>
    </row>
    <row r="665" spans="1:28" x14ac:dyDescent="0.2">
      <c r="A665" s="121"/>
      <c r="B665" s="139"/>
      <c r="C665" s="139"/>
      <c r="D665" s="140"/>
      <c r="E665" s="139"/>
      <c r="F665" s="139"/>
      <c r="G665" s="139"/>
      <c r="H665" s="121"/>
      <c r="I665" s="143"/>
      <c r="J665" s="143"/>
      <c r="K665" s="143"/>
      <c r="L665" s="106"/>
      <c r="M665" s="106"/>
      <c r="N665" s="315"/>
      <c r="O665" s="106"/>
      <c r="P665" s="106"/>
      <c r="Q665" s="106"/>
      <c r="R665" s="106"/>
      <c r="S665" s="106"/>
      <c r="T665" s="106"/>
      <c r="U665" s="107"/>
      <c r="V665" s="114"/>
      <c r="W665" s="107"/>
      <c r="X665" s="107"/>
      <c r="Y665" s="107"/>
      <c r="Z665" s="104"/>
      <c r="AA665" s="104"/>
    </row>
    <row r="666" spans="1:28" x14ac:dyDescent="0.2">
      <c r="A666" s="119"/>
      <c r="B666" s="136"/>
      <c r="C666" s="136"/>
      <c r="D666" s="136"/>
      <c r="E666" s="136"/>
      <c r="F666" s="136"/>
      <c r="G666" s="136"/>
      <c r="H666" s="119"/>
      <c r="I666" s="144"/>
      <c r="J666" s="144"/>
      <c r="K666" s="144"/>
      <c r="L666" s="86"/>
      <c r="M666" s="86"/>
      <c r="N666" s="316"/>
      <c r="O666" s="86"/>
      <c r="P666" s="86"/>
      <c r="Q666" s="86"/>
      <c r="R666" s="86"/>
      <c r="S666" s="86"/>
      <c r="T666" s="86"/>
      <c r="U666" s="110"/>
      <c r="V666" s="115"/>
      <c r="W666" s="110"/>
      <c r="X666" s="110"/>
      <c r="Y666" s="110"/>
      <c r="Z666" s="104"/>
      <c r="AA666" s="104"/>
    </row>
    <row r="667" spans="1:28" x14ac:dyDescent="0.2">
      <c r="A667" s="113"/>
      <c r="B667" s="141"/>
      <c r="C667" s="141"/>
      <c r="D667" s="138"/>
      <c r="E667" s="137"/>
      <c r="F667" s="138"/>
      <c r="G667" s="138"/>
      <c r="H667" s="112"/>
      <c r="I667" s="144"/>
      <c r="J667" s="144"/>
      <c r="K667" s="144"/>
      <c r="L667" s="86"/>
      <c r="M667" s="86"/>
      <c r="N667" s="316"/>
      <c r="O667" s="86"/>
      <c r="P667" s="86"/>
      <c r="Q667" s="86"/>
      <c r="R667" s="86"/>
      <c r="S667" s="86"/>
      <c r="T667" s="86"/>
      <c r="U667" s="110"/>
      <c r="V667" s="115"/>
      <c r="W667" s="110"/>
      <c r="X667" s="110"/>
      <c r="Y667" s="110"/>
      <c r="Z667" s="104"/>
      <c r="AA667" s="104"/>
    </row>
    <row r="668" spans="1:28" x14ac:dyDescent="0.2">
      <c r="A668" s="121"/>
      <c r="B668" s="139"/>
      <c r="C668" s="139"/>
      <c r="D668" s="139"/>
      <c r="E668" s="139"/>
      <c r="F668" s="139"/>
      <c r="G668" s="139"/>
      <c r="H668" s="121"/>
      <c r="I668" s="143"/>
      <c r="J668" s="143"/>
      <c r="K668" s="143"/>
      <c r="L668" s="106"/>
      <c r="M668" s="106"/>
      <c r="N668" s="315"/>
      <c r="O668" s="106"/>
      <c r="P668" s="106"/>
      <c r="Q668" s="106"/>
      <c r="R668" s="106"/>
      <c r="S668" s="106"/>
      <c r="T668" s="106"/>
      <c r="U668" s="106"/>
      <c r="V668" s="106"/>
      <c r="W668" s="107"/>
      <c r="X668" s="107"/>
      <c r="Y668" s="109"/>
      <c r="AB668" s="103"/>
    </row>
    <row r="669" spans="1:28" x14ac:dyDescent="0.2">
      <c r="A669" s="121"/>
      <c r="B669" s="139"/>
      <c r="C669" s="139"/>
      <c r="D669" s="140"/>
      <c r="E669" s="139"/>
      <c r="F669" s="139"/>
      <c r="G669" s="139"/>
      <c r="H669" s="121"/>
      <c r="I669" s="143"/>
      <c r="J669" s="143"/>
      <c r="K669" s="143"/>
      <c r="L669" s="106"/>
      <c r="M669" s="106"/>
      <c r="N669" s="315"/>
      <c r="O669" s="106"/>
      <c r="P669" s="106"/>
      <c r="Q669" s="106"/>
      <c r="R669" s="106"/>
      <c r="S669" s="106"/>
      <c r="T669" s="106"/>
      <c r="U669" s="106"/>
      <c r="V669" s="106"/>
      <c r="W669" s="107"/>
      <c r="X669" s="107"/>
      <c r="Y669" s="107"/>
      <c r="Z669" s="104"/>
      <c r="AA669" s="104"/>
    </row>
    <row r="670" spans="1:28" x14ac:dyDescent="0.2">
      <c r="A670" s="119"/>
      <c r="B670" s="136"/>
      <c r="C670" s="136"/>
      <c r="D670" s="136"/>
      <c r="E670" s="136"/>
      <c r="F670" s="136"/>
      <c r="G670" s="136"/>
      <c r="H670" s="119"/>
      <c r="I670" s="144"/>
      <c r="J670" s="144"/>
      <c r="K670" s="144"/>
      <c r="L670" s="86"/>
      <c r="M670" s="86"/>
      <c r="N670" s="316"/>
      <c r="O670" s="86"/>
      <c r="P670" s="86"/>
      <c r="Q670" s="86"/>
      <c r="R670" s="86"/>
      <c r="S670" s="86"/>
      <c r="T670" s="86"/>
      <c r="U670" s="86"/>
      <c r="V670" s="86"/>
      <c r="W670" s="110"/>
      <c r="X670" s="110"/>
      <c r="Y670" s="110"/>
      <c r="Z670" s="104"/>
      <c r="AA670" s="104"/>
    </row>
    <row r="671" spans="1:28" x14ac:dyDescent="0.2">
      <c r="A671" s="119"/>
      <c r="B671" s="136"/>
      <c r="C671" s="136"/>
      <c r="D671" s="137"/>
      <c r="E671" s="137"/>
      <c r="F671" s="138"/>
      <c r="G671" s="138"/>
      <c r="H671" s="112"/>
      <c r="I671" s="144"/>
      <c r="J671" s="144"/>
      <c r="K671" s="144"/>
      <c r="L671" s="86"/>
      <c r="M671" s="86"/>
      <c r="N671" s="316"/>
      <c r="O671" s="86"/>
      <c r="P671" s="86"/>
      <c r="Q671" s="86"/>
      <c r="R671" s="86"/>
      <c r="S671" s="86"/>
      <c r="T671" s="86"/>
      <c r="U671" s="86"/>
      <c r="V671" s="86"/>
      <c r="W671" s="110"/>
      <c r="X671" s="110"/>
      <c r="Y671" s="110"/>
      <c r="Z671" s="104"/>
      <c r="AA671" s="104"/>
    </row>
    <row r="672" spans="1:28" x14ac:dyDescent="0.2">
      <c r="A672" s="119"/>
      <c r="B672" s="136"/>
      <c r="C672" s="136"/>
      <c r="D672" s="136"/>
      <c r="E672" s="136"/>
      <c r="F672" s="136"/>
      <c r="G672" s="136"/>
      <c r="H672" s="119"/>
      <c r="I672" s="144"/>
      <c r="J672" s="144"/>
      <c r="K672" s="144"/>
      <c r="L672" s="86"/>
      <c r="M672" s="86"/>
      <c r="N672" s="316"/>
      <c r="O672" s="86"/>
      <c r="P672" s="86"/>
      <c r="Q672" s="86"/>
      <c r="R672" s="86"/>
      <c r="S672" s="86"/>
      <c r="T672" s="86"/>
      <c r="U672" s="86"/>
      <c r="V672" s="86"/>
      <c r="W672" s="110"/>
      <c r="X672" s="110"/>
      <c r="Y672" s="110"/>
      <c r="Z672" s="104"/>
      <c r="AA672" s="104"/>
    </row>
    <row r="673" spans="1:28" x14ac:dyDescent="0.2">
      <c r="A673" s="119"/>
      <c r="B673" s="136"/>
      <c r="C673" s="136"/>
      <c r="D673" s="137"/>
      <c r="E673" s="137"/>
      <c r="F673" s="138"/>
      <c r="G673" s="138"/>
      <c r="H673" s="112"/>
      <c r="I673" s="144"/>
      <c r="J673" s="144"/>
      <c r="K673" s="144"/>
      <c r="L673" s="86"/>
      <c r="M673" s="86"/>
      <c r="N673" s="316"/>
      <c r="O673" s="86"/>
      <c r="P673" s="86"/>
      <c r="Q673" s="86"/>
      <c r="R673" s="86"/>
      <c r="S673" s="86"/>
      <c r="T673" s="86"/>
      <c r="U673" s="86"/>
      <c r="V673" s="86"/>
      <c r="W673" s="110"/>
      <c r="X673" s="110"/>
      <c r="Y673" s="110"/>
      <c r="Z673" s="104"/>
      <c r="AA673" s="104"/>
    </row>
    <row r="674" spans="1:28" x14ac:dyDescent="0.2">
      <c r="A674" s="119"/>
      <c r="B674" s="136"/>
      <c r="C674" s="136"/>
      <c r="D674" s="136"/>
      <c r="E674" s="136"/>
      <c r="F674" s="136"/>
      <c r="G674" s="136"/>
      <c r="H674" s="119"/>
      <c r="I674" s="144"/>
      <c r="J674" s="144"/>
      <c r="K674" s="144"/>
      <c r="L674" s="86"/>
      <c r="M674" s="86"/>
      <c r="N674" s="316"/>
      <c r="O674" s="86"/>
      <c r="P674" s="86"/>
      <c r="Q674" s="86"/>
      <c r="R674" s="86"/>
      <c r="S674" s="86"/>
      <c r="T674" s="86"/>
      <c r="U674" s="86"/>
      <c r="V674" s="86"/>
      <c r="W674" s="110"/>
      <c r="X674" s="110"/>
      <c r="Y674" s="110"/>
      <c r="Z674" s="104"/>
      <c r="AA674" s="104"/>
    </row>
    <row r="675" spans="1:28" x14ac:dyDescent="0.2">
      <c r="A675" s="119"/>
      <c r="B675" s="136"/>
      <c r="C675" s="136"/>
      <c r="D675" s="137"/>
      <c r="E675" s="137"/>
      <c r="F675" s="138"/>
      <c r="G675" s="138"/>
      <c r="H675" s="112"/>
      <c r="I675" s="144"/>
      <c r="J675" s="144"/>
      <c r="K675" s="144"/>
      <c r="L675" s="86"/>
      <c r="M675" s="86"/>
      <c r="N675" s="316"/>
      <c r="O675" s="86"/>
      <c r="P675" s="86"/>
      <c r="Q675" s="86"/>
      <c r="R675" s="86"/>
      <c r="S675" s="86"/>
      <c r="T675" s="86"/>
      <c r="U675" s="86"/>
      <c r="V675" s="86"/>
      <c r="W675" s="110"/>
      <c r="X675" s="110"/>
      <c r="Y675" s="110"/>
      <c r="Z675" s="104"/>
      <c r="AA675" s="104"/>
    </row>
    <row r="676" spans="1:28" x14ac:dyDescent="0.2">
      <c r="A676" s="119"/>
      <c r="B676" s="136"/>
      <c r="C676" s="136"/>
      <c r="D676" s="136"/>
      <c r="E676" s="136"/>
      <c r="F676" s="136"/>
      <c r="G676" s="136"/>
      <c r="H676" s="119"/>
      <c r="I676" s="144"/>
      <c r="J676" s="144"/>
      <c r="K676" s="144"/>
      <c r="L676" s="86"/>
      <c r="M676" s="86"/>
      <c r="N676" s="316"/>
      <c r="O676" s="86"/>
      <c r="P676" s="86"/>
      <c r="Q676" s="86"/>
      <c r="R676" s="86"/>
      <c r="S676" s="86"/>
      <c r="T676" s="86"/>
      <c r="U676" s="86"/>
      <c r="V676" s="86"/>
      <c r="W676" s="110"/>
      <c r="X676" s="110"/>
      <c r="Y676" s="110"/>
      <c r="Z676" s="104"/>
      <c r="AA676" s="104"/>
    </row>
    <row r="677" spans="1:28" x14ac:dyDescent="0.2">
      <c r="A677" s="119"/>
      <c r="B677" s="136"/>
      <c r="C677" s="136"/>
      <c r="D677" s="137"/>
      <c r="E677" s="137"/>
      <c r="F677" s="138"/>
      <c r="G677" s="138"/>
      <c r="H677" s="112"/>
      <c r="I677" s="144"/>
      <c r="J677" s="144"/>
      <c r="K677" s="144"/>
      <c r="L677" s="86"/>
      <c r="M677" s="86"/>
      <c r="N677" s="316"/>
      <c r="O677" s="86"/>
      <c r="P677" s="86"/>
      <c r="Q677" s="86"/>
      <c r="R677" s="86"/>
      <c r="S677" s="86"/>
      <c r="T677" s="86"/>
      <c r="U677" s="86"/>
      <c r="V677" s="86"/>
      <c r="W677" s="110"/>
      <c r="X677" s="110"/>
      <c r="Y677" s="110"/>
      <c r="Z677" s="104"/>
      <c r="AA677" s="104"/>
    </row>
    <row r="678" spans="1:28" x14ac:dyDescent="0.2">
      <c r="A678" s="121"/>
      <c r="B678" s="139"/>
      <c r="C678" s="139"/>
      <c r="D678" s="139"/>
      <c r="E678" s="139"/>
      <c r="F678" s="139"/>
      <c r="G678" s="139"/>
      <c r="H678" s="121"/>
      <c r="I678" s="143"/>
      <c r="J678" s="143"/>
      <c r="K678" s="143"/>
      <c r="L678" s="106"/>
      <c r="M678" s="106"/>
      <c r="N678" s="315"/>
      <c r="O678" s="106"/>
      <c r="P678" s="106"/>
      <c r="Q678" s="106"/>
      <c r="R678" s="106"/>
      <c r="S678" s="106"/>
      <c r="T678" s="106"/>
      <c r="U678" s="107"/>
      <c r="V678" s="107"/>
      <c r="W678" s="107"/>
      <c r="X678" s="107"/>
      <c r="Y678" s="109"/>
      <c r="AB678" s="103"/>
    </row>
    <row r="679" spans="1:28" x14ac:dyDescent="0.2">
      <c r="A679" s="121"/>
      <c r="B679" s="139"/>
      <c r="C679" s="139"/>
      <c r="D679" s="140"/>
      <c r="E679" s="139"/>
      <c r="F679" s="139"/>
      <c r="G679" s="139"/>
      <c r="H679" s="121"/>
      <c r="I679" s="143"/>
      <c r="J679" s="143"/>
      <c r="K679" s="143"/>
      <c r="L679" s="106"/>
      <c r="M679" s="106"/>
      <c r="N679" s="315"/>
      <c r="O679" s="106"/>
      <c r="P679" s="106"/>
      <c r="Q679" s="106"/>
      <c r="R679" s="106"/>
      <c r="S679" s="106"/>
      <c r="T679" s="106"/>
      <c r="U679" s="107"/>
      <c r="V679" s="114"/>
      <c r="W679" s="107"/>
      <c r="X679" s="107"/>
      <c r="Y679" s="107"/>
      <c r="Z679" s="104"/>
      <c r="AA679" s="104"/>
    </row>
    <row r="680" spans="1:28" x14ac:dyDescent="0.2">
      <c r="A680" s="119"/>
      <c r="B680" s="136"/>
      <c r="C680" s="136"/>
      <c r="D680" s="136"/>
      <c r="E680" s="136"/>
      <c r="F680" s="136"/>
      <c r="G680" s="136"/>
      <c r="H680" s="119"/>
      <c r="I680" s="144"/>
      <c r="J680" s="144"/>
      <c r="K680" s="144"/>
      <c r="L680" s="86"/>
      <c r="M680" s="86"/>
      <c r="N680" s="316"/>
      <c r="O680" s="86"/>
      <c r="P680" s="86"/>
      <c r="Q680" s="86"/>
      <c r="R680" s="86"/>
      <c r="S680" s="86"/>
      <c r="T680" s="86"/>
      <c r="U680" s="110"/>
      <c r="V680" s="115"/>
      <c r="W680" s="110"/>
      <c r="X680" s="110"/>
      <c r="Y680" s="110"/>
      <c r="Z680" s="104"/>
      <c r="AA680" s="104"/>
    </row>
    <row r="681" spans="1:28" x14ac:dyDescent="0.2">
      <c r="A681" s="113"/>
      <c r="B681" s="141"/>
      <c r="C681" s="141"/>
      <c r="D681" s="137"/>
      <c r="E681" s="137"/>
      <c r="F681" s="138"/>
      <c r="G681" s="138"/>
      <c r="H681" s="112"/>
      <c r="I681" s="144"/>
      <c r="J681" s="144"/>
      <c r="K681" s="144"/>
      <c r="L681" s="86"/>
      <c r="M681" s="86"/>
      <c r="N681" s="316"/>
      <c r="O681" s="86"/>
      <c r="P681" s="86"/>
      <c r="Q681" s="86"/>
      <c r="R681" s="86"/>
      <c r="S681" s="86"/>
      <c r="T681" s="86"/>
      <c r="U681" s="110"/>
      <c r="V681" s="115"/>
      <c r="W681" s="110"/>
      <c r="X681" s="110"/>
      <c r="Y681" s="110"/>
      <c r="Z681" s="104"/>
      <c r="AA681" s="104"/>
    </row>
    <row r="682" spans="1:28" x14ac:dyDescent="0.2">
      <c r="A682" s="121"/>
      <c r="B682" s="139"/>
      <c r="C682" s="139"/>
      <c r="D682" s="140"/>
      <c r="E682" s="139"/>
      <c r="F682" s="139"/>
      <c r="G682" s="139"/>
      <c r="H682" s="121"/>
      <c r="I682" s="143"/>
      <c r="J682" s="143"/>
      <c r="K682" s="143"/>
      <c r="L682" s="106"/>
      <c r="M682" s="106"/>
      <c r="N682" s="315"/>
      <c r="O682" s="106"/>
      <c r="P682" s="106"/>
      <c r="Q682" s="106"/>
      <c r="R682" s="106"/>
      <c r="S682" s="106"/>
      <c r="T682" s="106"/>
      <c r="U682" s="107"/>
      <c r="V682" s="107"/>
      <c r="W682" s="107"/>
      <c r="X682" s="107"/>
      <c r="Y682" s="107"/>
      <c r="Z682" s="104"/>
      <c r="AA682" s="104"/>
    </row>
    <row r="683" spans="1:28" x14ac:dyDescent="0.2">
      <c r="A683" s="119"/>
      <c r="B683" s="136"/>
      <c r="C683" s="136"/>
      <c r="D683" s="136"/>
      <c r="E683" s="136"/>
      <c r="F683" s="136"/>
      <c r="G683" s="136"/>
      <c r="H683" s="119"/>
      <c r="I683" s="144"/>
      <c r="J683" s="144"/>
      <c r="K683" s="144"/>
      <c r="L683" s="86"/>
      <c r="M683" s="86"/>
      <c r="N683" s="316"/>
      <c r="O683" s="86"/>
      <c r="P683" s="86"/>
      <c r="Q683" s="86"/>
      <c r="R683" s="86"/>
      <c r="S683" s="86"/>
      <c r="T683" s="86"/>
      <c r="U683" s="110"/>
      <c r="V683" s="110"/>
      <c r="W683" s="110"/>
      <c r="X683" s="110"/>
      <c r="Y683" s="110"/>
      <c r="Z683" s="104"/>
      <c r="AA683" s="104"/>
    </row>
    <row r="684" spans="1:28" x14ac:dyDescent="0.2">
      <c r="A684" s="113"/>
      <c r="B684" s="141"/>
      <c r="C684" s="141"/>
      <c r="D684" s="137"/>
      <c r="E684" s="137"/>
      <c r="F684" s="138"/>
      <c r="G684" s="138"/>
      <c r="H684" s="112"/>
      <c r="I684" s="144"/>
      <c r="J684" s="144"/>
      <c r="K684" s="144"/>
      <c r="L684" s="86"/>
      <c r="M684" s="86"/>
      <c r="N684" s="316"/>
      <c r="O684" s="86"/>
      <c r="P684" s="86"/>
      <c r="Q684" s="86"/>
      <c r="R684" s="86"/>
      <c r="S684" s="86"/>
      <c r="T684" s="86"/>
      <c r="U684" s="110"/>
      <c r="V684" s="110"/>
      <c r="W684" s="110"/>
      <c r="X684" s="110"/>
      <c r="Y684" s="110"/>
      <c r="Z684" s="104"/>
      <c r="AA684" s="104"/>
    </row>
    <row r="685" spans="1:28" x14ac:dyDescent="0.2">
      <c r="A685" s="121"/>
      <c r="B685" s="139"/>
      <c r="C685" s="139"/>
      <c r="D685" s="140"/>
      <c r="E685" s="139"/>
      <c r="F685" s="139"/>
      <c r="G685" s="139"/>
      <c r="H685" s="121"/>
      <c r="I685" s="143"/>
      <c r="J685" s="143"/>
      <c r="K685" s="143"/>
      <c r="L685" s="106"/>
      <c r="M685" s="106"/>
      <c r="N685" s="315"/>
      <c r="O685" s="106"/>
      <c r="P685" s="106"/>
      <c r="Q685" s="106"/>
      <c r="R685" s="106"/>
      <c r="S685" s="106"/>
      <c r="T685" s="106"/>
      <c r="U685" s="107"/>
      <c r="V685" s="107"/>
      <c r="W685" s="107"/>
      <c r="X685" s="107"/>
      <c r="Y685" s="107"/>
      <c r="Z685" s="104"/>
      <c r="AA685" s="104"/>
    </row>
    <row r="686" spans="1:28" x14ac:dyDescent="0.2">
      <c r="A686" s="119"/>
      <c r="B686" s="136"/>
      <c r="C686" s="136"/>
      <c r="D686" s="136"/>
      <c r="E686" s="136"/>
      <c r="F686" s="136"/>
      <c r="G686" s="136"/>
      <c r="H686" s="119"/>
      <c r="I686" s="144"/>
      <c r="J686" s="144"/>
      <c r="K686" s="144"/>
      <c r="L686" s="86"/>
      <c r="M686" s="86"/>
      <c r="N686" s="316"/>
      <c r="O686" s="86"/>
      <c r="P686" s="86"/>
      <c r="Q686" s="86"/>
      <c r="R686" s="86"/>
      <c r="S686" s="86"/>
      <c r="T686" s="86"/>
      <c r="U686" s="110"/>
      <c r="V686" s="110"/>
      <c r="W686" s="110"/>
      <c r="X686" s="110"/>
      <c r="Y686" s="110"/>
      <c r="Z686" s="104"/>
      <c r="AA686" s="104"/>
    </row>
    <row r="687" spans="1:28" x14ac:dyDescent="0.2">
      <c r="A687" s="113"/>
      <c r="B687" s="141"/>
      <c r="C687" s="141"/>
      <c r="D687" s="137"/>
      <c r="E687" s="137"/>
      <c r="F687" s="138"/>
      <c r="G687" s="138"/>
      <c r="H687" s="112"/>
      <c r="I687" s="144"/>
      <c r="J687" s="144"/>
      <c r="K687" s="144"/>
      <c r="L687" s="86"/>
      <c r="M687" s="86"/>
      <c r="N687" s="316"/>
      <c r="O687" s="86"/>
      <c r="P687" s="86"/>
      <c r="Q687" s="86"/>
      <c r="R687" s="86"/>
      <c r="S687" s="86"/>
      <c r="T687" s="86"/>
      <c r="U687" s="110"/>
      <c r="V687" s="110"/>
      <c r="W687" s="110"/>
      <c r="X687" s="110"/>
      <c r="Y687" s="110"/>
      <c r="Z687" s="104"/>
      <c r="AA687" s="104"/>
    </row>
    <row r="688" spans="1:28" x14ac:dyDescent="0.2">
      <c r="A688" s="121"/>
      <c r="B688" s="139"/>
      <c r="C688" s="139"/>
      <c r="D688" s="139"/>
      <c r="E688" s="139"/>
      <c r="F688" s="139"/>
      <c r="G688" s="139"/>
      <c r="H688" s="121"/>
      <c r="I688" s="143"/>
      <c r="J688" s="143"/>
      <c r="K688" s="143"/>
      <c r="L688" s="106"/>
      <c r="M688" s="106"/>
      <c r="N688" s="315"/>
      <c r="O688" s="106"/>
      <c r="P688" s="106"/>
      <c r="Q688" s="106"/>
      <c r="R688" s="106"/>
      <c r="S688" s="106"/>
      <c r="T688" s="106"/>
      <c r="U688" s="107"/>
      <c r="V688" s="107"/>
      <c r="W688" s="107"/>
      <c r="X688" s="107"/>
      <c r="Y688" s="109"/>
      <c r="AB688" s="103"/>
    </row>
    <row r="689" spans="1:25" s="104" customFormat="1" x14ac:dyDescent="0.2">
      <c r="A689" s="121"/>
      <c r="B689" s="139"/>
      <c r="C689" s="139"/>
      <c r="D689" s="140"/>
      <c r="E689" s="139"/>
      <c r="F689" s="139"/>
      <c r="G689" s="139"/>
      <c r="H689" s="121"/>
      <c r="I689" s="143"/>
      <c r="J689" s="143"/>
      <c r="K689" s="143"/>
      <c r="L689" s="106"/>
      <c r="M689" s="106"/>
      <c r="N689" s="315"/>
      <c r="O689" s="106"/>
      <c r="P689" s="106"/>
      <c r="Q689" s="106"/>
      <c r="R689" s="106"/>
      <c r="S689" s="106"/>
      <c r="T689" s="106"/>
      <c r="U689" s="107"/>
      <c r="V689" s="107"/>
      <c r="W689" s="107"/>
      <c r="X689" s="107"/>
      <c r="Y689" s="107"/>
    </row>
    <row r="690" spans="1:25" s="104" customFormat="1" x14ac:dyDescent="0.2">
      <c r="A690" s="119"/>
      <c r="B690" s="136"/>
      <c r="C690" s="136"/>
      <c r="D690" s="136"/>
      <c r="E690" s="136"/>
      <c r="F690" s="136"/>
      <c r="G690" s="136"/>
      <c r="H690" s="119"/>
      <c r="I690" s="144"/>
      <c r="J690" s="144"/>
      <c r="K690" s="144"/>
      <c r="L690" s="86"/>
      <c r="M690" s="86"/>
      <c r="N690" s="316"/>
      <c r="O690" s="86"/>
      <c r="P690" s="86"/>
      <c r="Q690" s="86"/>
      <c r="R690" s="86"/>
      <c r="S690" s="86"/>
      <c r="T690" s="86"/>
      <c r="U690" s="110"/>
      <c r="V690" s="110"/>
      <c r="W690" s="110"/>
      <c r="X690" s="110"/>
      <c r="Y690" s="110"/>
    </row>
    <row r="691" spans="1:25" s="104" customFormat="1" x14ac:dyDescent="0.2">
      <c r="A691" s="113"/>
      <c r="B691" s="141"/>
      <c r="C691" s="141"/>
      <c r="D691" s="137"/>
      <c r="E691" s="137"/>
      <c r="F691" s="138"/>
      <c r="G691" s="138"/>
      <c r="H691" s="112"/>
      <c r="I691" s="144"/>
      <c r="J691" s="144"/>
      <c r="K691" s="144"/>
      <c r="L691" s="86"/>
      <c r="M691" s="86"/>
      <c r="N691" s="316"/>
      <c r="O691" s="86"/>
      <c r="P691" s="86"/>
      <c r="Q691" s="86"/>
      <c r="R691" s="86"/>
      <c r="S691" s="86"/>
      <c r="T691" s="86"/>
      <c r="U691" s="110"/>
      <c r="V691" s="110"/>
      <c r="W691" s="110"/>
      <c r="X691" s="110"/>
      <c r="Y691" s="110"/>
    </row>
    <row r="692" spans="1:25" s="104" customFormat="1" x14ac:dyDescent="0.2">
      <c r="A692" s="121"/>
      <c r="B692" s="139"/>
      <c r="C692" s="139"/>
      <c r="D692" s="140"/>
      <c r="E692" s="139"/>
      <c r="F692" s="139"/>
      <c r="G692" s="139"/>
      <c r="H692" s="121"/>
      <c r="I692" s="143"/>
      <c r="J692" s="143"/>
      <c r="K692" s="143"/>
      <c r="L692" s="106"/>
      <c r="M692" s="106"/>
      <c r="N692" s="315"/>
      <c r="O692" s="106"/>
      <c r="P692" s="106"/>
      <c r="Q692" s="106"/>
      <c r="R692" s="106"/>
      <c r="S692" s="106"/>
      <c r="T692" s="106"/>
      <c r="U692" s="107"/>
      <c r="V692" s="107"/>
      <c r="W692" s="107"/>
      <c r="X692" s="107"/>
      <c r="Y692" s="107"/>
    </row>
    <row r="693" spans="1:25" s="104" customFormat="1" x14ac:dyDescent="0.2">
      <c r="A693" s="119"/>
      <c r="B693" s="136"/>
      <c r="C693" s="136"/>
      <c r="D693" s="136"/>
      <c r="E693" s="136"/>
      <c r="F693" s="136"/>
      <c r="G693" s="136"/>
      <c r="H693" s="119"/>
      <c r="I693" s="144"/>
      <c r="J693" s="144"/>
      <c r="K693" s="144"/>
      <c r="L693" s="86"/>
      <c r="M693" s="86"/>
      <c r="N693" s="316"/>
      <c r="O693" s="86"/>
      <c r="P693" s="86"/>
      <c r="Q693" s="86"/>
      <c r="R693" s="86"/>
      <c r="S693" s="86"/>
      <c r="T693" s="86"/>
      <c r="U693" s="110"/>
      <c r="V693" s="110"/>
      <c r="W693" s="110"/>
      <c r="X693" s="110"/>
      <c r="Y693" s="110"/>
    </row>
    <row r="694" spans="1:25" s="104" customFormat="1" x14ac:dyDescent="0.2">
      <c r="A694" s="113"/>
      <c r="B694" s="141"/>
      <c r="C694" s="141"/>
      <c r="D694" s="137"/>
      <c r="E694" s="137"/>
      <c r="F694" s="138"/>
      <c r="G694" s="138"/>
      <c r="H694" s="112"/>
      <c r="I694" s="144"/>
      <c r="J694" s="144"/>
      <c r="K694" s="144"/>
      <c r="L694" s="86"/>
      <c r="M694" s="86"/>
      <c r="N694" s="316"/>
      <c r="O694" s="86"/>
      <c r="P694" s="86"/>
      <c r="Q694" s="86"/>
      <c r="R694" s="86"/>
      <c r="S694" s="86"/>
      <c r="T694" s="86"/>
      <c r="U694" s="110"/>
      <c r="V694" s="110"/>
      <c r="W694" s="110"/>
      <c r="X694" s="110"/>
      <c r="Y694" s="110"/>
    </row>
    <row r="695" spans="1:25" s="104" customFormat="1" x14ac:dyDescent="0.2">
      <c r="A695" s="121"/>
      <c r="B695" s="139"/>
      <c r="C695" s="139"/>
      <c r="D695" s="140"/>
      <c r="E695" s="139"/>
      <c r="F695" s="139"/>
      <c r="G695" s="139"/>
      <c r="H695" s="121"/>
      <c r="I695" s="143"/>
      <c r="J695" s="143"/>
      <c r="K695" s="143"/>
      <c r="L695" s="106"/>
      <c r="M695" s="106"/>
      <c r="N695" s="315"/>
      <c r="O695" s="106"/>
      <c r="P695" s="106"/>
      <c r="Q695" s="106"/>
      <c r="R695" s="106"/>
      <c r="S695" s="106"/>
      <c r="T695" s="106"/>
      <c r="U695" s="107"/>
      <c r="V695" s="107"/>
      <c r="W695" s="107"/>
      <c r="X695" s="107"/>
      <c r="Y695" s="107"/>
    </row>
    <row r="696" spans="1:25" s="104" customFormat="1" x14ac:dyDescent="0.2">
      <c r="A696" s="119"/>
      <c r="B696" s="136"/>
      <c r="C696" s="136"/>
      <c r="D696" s="136"/>
      <c r="E696" s="136"/>
      <c r="F696" s="136"/>
      <c r="G696" s="136"/>
      <c r="H696" s="119"/>
      <c r="I696" s="144"/>
      <c r="J696" s="144"/>
      <c r="K696" s="144"/>
      <c r="L696" s="86"/>
      <c r="M696" s="86"/>
      <c r="N696" s="316"/>
      <c r="O696" s="86"/>
      <c r="P696" s="86"/>
      <c r="Q696" s="86"/>
      <c r="R696" s="86"/>
      <c r="S696" s="86"/>
      <c r="T696" s="86"/>
      <c r="U696" s="110"/>
      <c r="V696" s="110"/>
      <c r="W696" s="110"/>
      <c r="X696" s="110"/>
      <c r="Y696" s="110"/>
    </row>
    <row r="697" spans="1:25" s="104" customFormat="1" x14ac:dyDescent="0.2">
      <c r="A697" s="113"/>
      <c r="B697" s="141"/>
      <c r="C697" s="141"/>
      <c r="D697" s="137"/>
      <c r="E697" s="137"/>
      <c r="F697" s="138"/>
      <c r="G697" s="138"/>
      <c r="H697" s="112"/>
      <c r="I697" s="144"/>
      <c r="J697" s="144"/>
      <c r="K697" s="144"/>
      <c r="L697" s="86"/>
      <c r="M697" s="86"/>
      <c r="N697" s="316"/>
      <c r="O697" s="86"/>
      <c r="P697" s="86"/>
      <c r="Q697" s="86"/>
      <c r="R697" s="86"/>
      <c r="S697" s="86"/>
      <c r="T697" s="86"/>
      <c r="U697" s="110"/>
      <c r="V697" s="110"/>
      <c r="W697" s="110"/>
      <c r="X697" s="110"/>
      <c r="Y697" s="110"/>
    </row>
    <row r="698" spans="1:25" s="104" customFormat="1" x14ac:dyDescent="0.2">
      <c r="A698" s="121"/>
      <c r="B698" s="139"/>
      <c r="C698" s="139"/>
      <c r="D698" s="140"/>
      <c r="E698" s="139"/>
      <c r="F698" s="139"/>
      <c r="G698" s="139"/>
      <c r="H698" s="121"/>
      <c r="I698" s="143"/>
      <c r="J698" s="143"/>
      <c r="K698" s="143"/>
      <c r="L698" s="106"/>
      <c r="M698" s="106"/>
      <c r="N698" s="315"/>
      <c r="O698" s="106"/>
      <c r="P698" s="106"/>
      <c r="Q698" s="106"/>
      <c r="R698" s="106"/>
      <c r="S698" s="106"/>
      <c r="T698" s="106"/>
      <c r="U698" s="107"/>
      <c r="V698" s="107"/>
      <c r="W698" s="107"/>
      <c r="X698" s="107"/>
      <c r="Y698" s="107"/>
    </row>
    <row r="699" spans="1:25" s="104" customFormat="1" x14ac:dyDescent="0.2">
      <c r="A699" s="119"/>
      <c r="B699" s="136"/>
      <c r="C699" s="136"/>
      <c r="D699" s="136"/>
      <c r="E699" s="136"/>
      <c r="F699" s="136"/>
      <c r="G699" s="136"/>
      <c r="H699" s="119"/>
      <c r="I699" s="144"/>
      <c r="J699" s="144"/>
      <c r="K699" s="144"/>
      <c r="L699" s="86"/>
      <c r="M699" s="86"/>
      <c r="N699" s="316"/>
      <c r="O699" s="86"/>
      <c r="P699" s="86"/>
      <c r="Q699" s="86"/>
      <c r="R699" s="86"/>
      <c r="S699" s="86"/>
      <c r="T699" s="86"/>
      <c r="U699" s="110"/>
      <c r="V699" s="110"/>
      <c r="W699" s="110"/>
      <c r="X699" s="110"/>
      <c r="Y699" s="110"/>
    </row>
    <row r="700" spans="1:25" s="104" customFormat="1" x14ac:dyDescent="0.2">
      <c r="A700" s="113"/>
      <c r="B700" s="141"/>
      <c r="C700" s="141"/>
      <c r="D700" s="137"/>
      <c r="E700" s="137"/>
      <c r="F700" s="138"/>
      <c r="G700" s="138"/>
      <c r="H700" s="112"/>
      <c r="I700" s="144"/>
      <c r="J700" s="144"/>
      <c r="K700" s="144"/>
      <c r="L700" s="86"/>
      <c r="M700" s="86"/>
      <c r="N700" s="316"/>
      <c r="O700" s="86"/>
      <c r="P700" s="86"/>
      <c r="Q700" s="86"/>
      <c r="R700" s="86"/>
      <c r="S700" s="86"/>
      <c r="T700" s="86"/>
      <c r="U700" s="110"/>
      <c r="V700" s="110"/>
      <c r="W700" s="110"/>
      <c r="X700" s="110"/>
      <c r="Y700" s="110"/>
    </row>
    <row r="701" spans="1:25" s="104" customFormat="1" x14ac:dyDescent="0.2">
      <c r="A701" s="121"/>
      <c r="B701" s="139"/>
      <c r="C701" s="139"/>
      <c r="D701" s="140"/>
      <c r="E701" s="139"/>
      <c r="F701" s="139"/>
      <c r="G701" s="139"/>
      <c r="H701" s="121"/>
      <c r="I701" s="143"/>
      <c r="J701" s="143"/>
      <c r="K701" s="143"/>
      <c r="L701" s="106"/>
      <c r="M701" s="106"/>
      <c r="N701" s="315"/>
      <c r="O701" s="106"/>
      <c r="P701" s="106"/>
      <c r="Q701" s="106"/>
      <c r="R701" s="106"/>
      <c r="S701" s="106"/>
      <c r="T701" s="106"/>
      <c r="U701" s="107"/>
      <c r="V701" s="107"/>
      <c r="W701" s="107"/>
      <c r="X701" s="107"/>
      <c r="Y701" s="107"/>
    </row>
    <row r="702" spans="1:25" s="104" customFormat="1" x14ac:dyDescent="0.2">
      <c r="A702" s="119"/>
      <c r="B702" s="136"/>
      <c r="C702" s="136"/>
      <c r="D702" s="136"/>
      <c r="E702" s="136"/>
      <c r="F702" s="136"/>
      <c r="G702" s="136"/>
      <c r="H702" s="119"/>
      <c r="I702" s="144"/>
      <c r="J702" s="144"/>
      <c r="K702" s="144"/>
      <c r="L702" s="86"/>
      <c r="M702" s="86"/>
      <c r="N702" s="316"/>
      <c r="O702" s="86"/>
      <c r="P702" s="86"/>
      <c r="Q702" s="86"/>
      <c r="R702" s="86"/>
      <c r="S702" s="86"/>
      <c r="T702" s="86"/>
      <c r="U702" s="110"/>
      <c r="V702" s="110"/>
      <c r="W702" s="110"/>
      <c r="X702" s="110"/>
      <c r="Y702" s="110"/>
    </row>
    <row r="703" spans="1:25" s="104" customFormat="1" x14ac:dyDescent="0.2">
      <c r="A703" s="113"/>
      <c r="B703" s="141"/>
      <c r="C703" s="141"/>
      <c r="D703" s="137"/>
      <c r="E703" s="137"/>
      <c r="F703" s="138"/>
      <c r="G703" s="138"/>
      <c r="H703" s="112"/>
      <c r="I703" s="144"/>
      <c r="J703" s="144"/>
      <c r="K703" s="144"/>
      <c r="L703" s="86"/>
      <c r="M703" s="86"/>
      <c r="N703" s="316"/>
      <c r="O703" s="86"/>
      <c r="P703" s="86"/>
      <c r="Q703" s="86"/>
      <c r="R703" s="86"/>
      <c r="S703" s="86"/>
      <c r="T703" s="86"/>
      <c r="U703" s="110"/>
      <c r="V703" s="110"/>
      <c r="W703" s="110"/>
      <c r="X703" s="110"/>
      <c r="Y703" s="110"/>
    </row>
    <row r="704" spans="1:25" s="104" customFormat="1" x14ac:dyDescent="0.2">
      <c r="A704" s="121"/>
      <c r="B704" s="139"/>
      <c r="C704" s="139"/>
      <c r="D704" s="140"/>
      <c r="E704" s="139"/>
      <c r="F704" s="139"/>
      <c r="G704" s="139"/>
      <c r="H704" s="122"/>
      <c r="I704" s="143"/>
      <c r="J704" s="143"/>
      <c r="K704" s="143"/>
      <c r="L704" s="106"/>
      <c r="M704" s="106"/>
      <c r="N704" s="315"/>
      <c r="O704" s="106"/>
      <c r="P704" s="106"/>
      <c r="Q704" s="106"/>
      <c r="R704" s="106"/>
      <c r="S704" s="106"/>
      <c r="T704" s="106"/>
      <c r="U704" s="106"/>
      <c r="V704" s="106"/>
      <c r="W704" s="107"/>
      <c r="X704" s="107"/>
      <c r="Y704" s="107"/>
    </row>
    <row r="705" spans="1:28" x14ac:dyDescent="0.2">
      <c r="A705" s="119"/>
      <c r="B705" s="136"/>
      <c r="C705" s="136"/>
      <c r="D705" s="136"/>
      <c r="E705" s="136"/>
      <c r="F705" s="136"/>
      <c r="G705" s="136"/>
      <c r="H705" s="119"/>
      <c r="I705" s="144"/>
      <c r="J705" s="144"/>
      <c r="K705" s="144"/>
      <c r="L705" s="86"/>
      <c r="M705" s="86"/>
      <c r="N705" s="316"/>
      <c r="O705" s="86"/>
      <c r="P705" s="86"/>
      <c r="Q705" s="86"/>
      <c r="R705" s="86"/>
      <c r="S705" s="86"/>
      <c r="T705" s="86"/>
      <c r="U705" s="86"/>
      <c r="V705" s="86"/>
      <c r="W705" s="110"/>
      <c r="X705" s="110"/>
      <c r="Y705" s="110"/>
      <c r="Z705" s="104"/>
      <c r="AA705" s="104"/>
    </row>
    <row r="706" spans="1:28" x14ac:dyDescent="0.2">
      <c r="A706" s="119"/>
      <c r="B706" s="136"/>
      <c r="C706" s="136"/>
      <c r="D706" s="137"/>
      <c r="E706" s="137"/>
      <c r="F706" s="138"/>
      <c r="G706" s="138"/>
      <c r="H706" s="112"/>
      <c r="I706" s="144"/>
      <c r="J706" s="144"/>
      <c r="K706" s="144"/>
      <c r="L706" s="86"/>
      <c r="M706" s="86"/>
      <c r="N706" s="316"/>
      <c r="O706" s="86"/>
      <c r="P706" s="86"/>
      <c r="Q706" s="86"/>
      <c r="R706" s="86"/>
      <c r="S706" s="86"/>
      <c r="T706" s="86"/>
      <c r="U706" s="86"/>
      <c r="V706" s="86"/>
      <c r="W706" s="110"/>
      <c r="X706" s="110"/>
      <c r="Y706" s="110"/>
      <c r="Z706" s="104"/>
      <c r="AA706" s="104"/>
    </row>
    <row r="707" spans="1:28" x14ac:dyDescent="0.2">
      <c r="A707" s="119"/>
      <c r="B707" s="136"/>
      <c r="C707" s="136"/>
      <c r="D707" s="137"/>
      <c r="E707" s="137"/>
      <c r="F707" s="138"/>
      <c r="G707" s="138"/>
      <c r="H707" s="112"/>
      <c r="I707" s="144"/>
      <c r="J707" s="144"/>
      <c r="K707" s="144"/>
      <c r="L707" s="86"/>
      <c r="M707" s="86"/>
      <c r="N707" s="316"/>
      <c r="O707" s="86"/>
      <c r="P707" s="86"/>
      <c r="Q707" s="86"/>
      <c r="R707" s="86"/>
      <c r="S707" s="86"/>
      <c r="T707" s="86"/>
      <c r="U707" s="86"/>
      <c r="V707" s="86"/>
      <c r="W707" s="110"/>
      <c r="X707" s="110"/>
      <c r="Y707" s="110"/>
      <c r="Z707" s="104"/>
      <c r="AA707" s="104"/>
    </row>
    <row r="708" spans="1:28" x14ac:dyDescent="0.2">
      <c r="A708" s="119"/>
      <c r="B708" s="136"/>
      <c r="C708" s="136"/>
      <c r="D708" s="137"/>
      <c r="E708" s="137"/>
      <c r="F708" s="138"/>
      <c r="G708" s="138"/>
      <c r="H708" s="112"/>
      <c r="I708" s="144"/>
      <c r="J708" s="144"/>
      <c r="K708" s="144"/>
      <c r="L708" s="86"/>
      <c r="M708" s="86"/>
      <c r="N708" s="316"/>
      <c r="O708" s="86"/>
      <c r="P708" s="86"/>
      <c r="Q708" s="86"/>
      <c r="R708" s="86"/>
      <c r="S708" s="86"/>
      <c r="T708" s="86"/>
      <c r="U708" s="86"/>
      <c r="V708" s="86"/>
      <c r="W708" s="110"/>
      <c r="X708" s="110"/>
      <c r="Y708" s="110"/>
      <c r="Z708" s="104"/>
      <c r="AA708" s="104"/>
    </row>
    <row r="709" spans="1:28" x14ac:dyDescent="0.2">
      <c r="A709" s="119"/>
      <c r="B709" s="136"/>
      <c r="C709" s="136"/>
      <c r="D709" s="137"/>
      <c r="E709" s="137"/>
      <c r="F709" s="138"/>
      <c r="G709" s="138"/>
      <c r="H709" s="112"/>
      <c r="I709" s="144"/>
      <c r="J709" s="144"/>
      <c r="K709" s="144"/>
      <c r="L709" s="86"/>
      <c r="M709" s="86"/>
      <c r="N709" s="316"/>
      <c r="O709" s="86"/>
      <c r="P709" s="86"/>
      <c r="Q709" s="86"/>
      <c r="R709" s="86"/>
      <c r="S709" s="86"/>
      <c r="T709" s="86"/>
      <c r="U709" s="86"/>
      <c r="V709" s="86"/>
      <c r="W709" s="110"/>
      <c r="X709" s="110"/>
      <c r="Y709" s="110"/>
      <c r="Z709" s="104"/>
      <c r="AA709" s="104"/>
    </row>
    <row r="710" spans="1:28" x14ac:dyDescent="0.2">
      <c r="A710" s="119"/>
      <c r="B710" s="136"/>
      <c r="C710" s="136"/>
      <c r="D710" s="137"/>
      <c r="E710" s="137"/>
      <c r="F710" s="138"/>
      <c r="G710" s="138"/>
      <c r="H710" s="112"/>
      <c r="I710" s="144"/>
      <c r="J710" s="144"/>
      <c r="K710" s="144"/>
      <c r="L710" s="86"/>
      <c r="M710" s="86"/>
      <c r="N710" s="316"/>
      <c r="O710" s="86"/>
      <c r="P710" s="86"/>
      <c r="Q710" s="86"/>
      <c r="R710" s="86"/>
      <c r="S710" s="86"/>
      <c r="T710" s="86"/>
      <c r="U710" s="86"/>
      <c r="V710" s="86"/>
      <c r="W710" s="110"/>
      <c r="X710" s="110"/>
      <c r="Y710" s="110"/>
      <c r="Z710" s="104"/>
      <c r="AA710" s="104"/>
    </row>
    <row r="711" spans="1:28" x14ac:dyDescent="0.2">
      <c r="A711" s="119"/>
      <c r="B711" s="136"/>
      <c r="C711" s="136"/>
      <c r="D711" s="137"/>
      <c r="E711" s="137"/>
      <c r="F711" s="138"/>
      <c r="G711" s="138"/>
      <c r="H711" s="112"/>
      <c r="I711" s="144"/>
      <c r="J711" s="144"/>
      <c r="K711" s="144"/>
      <c r="L711" s="86"/>
      <c r="M711" s="86"/>
      <c r="N711" s="316"/>
      <c r="O711" s="86"/>
      <c r="P711" s="86"/>
      <c r="Q711" s="86"/>
      <c r="R711" s="86"/>
      <c r="S711" s="86"/>
      <c r="T711" s="86"/>
      <c r="U711" s="86"/>
      <c r="V711" s="86"/>
      <c r="W711" s="110"/>
      <c r="X711" s="110"/>
      <c r="Y711" s="110"/>
      <c r="Z711" s="104"/>
      <c r="AA711" s="104"/>
    </row>
    <row r="712" spans="1:28" x14ac:dyDescent="0.2">
      <c r="A712" s="119"/>
      <c r="B712" s="136"/>
      <c r="C712" s="136"/>
      <c r="D712" s="137"/>
      <c r="E712" s="137"/>
      <c r="F712" s="138"/>
      <c r="G712" s="138"/>
      <c r="H712" s="112"/>
      <c r="I712" s="144"/>
      <c r="J712" s="144"/>
      <c r="K712" s="144"/>
      <c r="L712" s="86"/>
      <c r="M712" s="86"/>
      <c r="N712" s="316"/>
      <c r="O712" s="86"/>
      <c r="P712" s="86"/>
      <c r="Q712" s="86"/>
      <c r="R712" s="86"/>
      <c r="S712" s="86"/>
      <c r="T712" s="86"/>
      <c r="U712" s="86"/>
      <c r="V712" s="86"/>
      <c r="W712" s="110"/>
      <c r="X712" s="110"/>
      <c r="Y712" s="110"/>
      <c r="Z712" s="104"/>
      <c r="AA712" s="104"/>
    </row>
    <row r="713" spans="1:28" x14ac:dyDescent="0.2">
      <c r="A713" s="119"/>
      <c r="B713" s="136"/>
      <c r="C713" s="136"/>
      <c r="D713" s="137"/>
      <c r="E713" s="137"/>
      <c r="F713" s="138"/>
      <c r="G713" s="138"/>
      <c r="H713" s="112"/>
      <c r="I713" s="144"/>
      <c r="J713" s="144"/>
      <c r="K713" s="144"/>
      <c r="L713" s="86"/>
      <c r="M713" s="86"/>
      <c r="N713" s="316"/>
      <c r="O713" s="86"/>
      <c r="P713" s="86"/>
      <c r="Q713" s="86"/>
      <c r="R713" s="86"/>
      <c r="S713" s="86"/>
      <c r="T713" s="86"/>
      <c r="U713" s="86"/>
      <c r="V713" s="86"/>
      <c r="W713" s="110"/>
      <c r="X713" s="110"/>
      <c r="Y713" s="110"/>
      <c r="Z713" s="104"/>
      <c r="AA713" s="104"/>
    </row>
    <row r="714" spans="1:28" x14ac:dyDescent="0.2">
      <c r="A714" s="119"/>
      <c r="B714" s="136"/>
      <c r="C714" s="136"/>
      <c r="D714" s="136"/>
      <c r="E714" s="136"/>
      <c r="F714" s="136"/>
      <c r="G714" s="136"/>
      <c r="H714" s="119"/>
      <c r="I714" s="144"/>
      <c r="J714" s="144"/>
      <c r="K714" s="144"/>
      <c r="L714" s="86"/>
      <c r="M714" s="86"/>
      <c r="N714" s="316"/>
      <c r="O714" s="86"/>
      <c r="P714" s="86"/>
      <c r="Q714" s="86"/>
      <c r="R714" s="86"/>
      <c r="S714" s="86"/>
      <c r="T714" s="86"/>
      <c r="U714" s="86"/>
      <c r="V714" s="86"/>
      <c r="W714" s="110"/>
      <c r="X714" s="110"/>
      <c r="Y714" s="110"/>
      <c r="Z714" s="104"/>
      <c r="AA714" s="104"/>
    </row>
    <row r="715" spans="1:28" x14ac:dyDescent="0.2">
      <c r="A715" s="119"/>
      <c r="B715" s="136"/>
      <c r="C715" s="136"/>
      <c r="D715" s="137"/>
      <c r="E715" s="137"/>
      <c r="F715" s="138"/>
      <c r="G715" s="138"/>
      <c r="H715" s="112"/>
      <c r="I715" s="144"/>
      <c r="J715" s="144"/>
      <c r="K715" s="144"/>
      <c r="L715" s="86"/>
      <c r="M715" s="86"/>
      <c r="N715" s="316"/>
      <c r="O715" s="86"/>
      <c r="P715" s="86"/>
      <c r="Q715" s="86"/>
      <c r="R715" s="86"/>
      <c r="S715" s="86"/>
      <c r="T715" s="86"/>
      <c r="U715" s="86"/>
      <c r="V715" s="86"/>
      <c r="W715" s="110"/>
      <c r="X715" s="110"/>
      <c r="Y715" s="110"/>
      <c r="Z715" s="104"/>
      <c r="AA715" s="104"/>
    </row>
    <row r="716" spans="1:28" x14ac:dyDescent="0.2">
      <c r="A716" s="119"/>
      <c r="B716" s="136"/>
      <c r="C716" s="136"/>
      <c r="D716" s="137"/>
      <c r="E716" s="137"/>
      <c r="F716" s="138"/>
      <c r="G716" s="138"/>
      <c r="H716" s="112"/>
      <c r="I716" s="144"/>
      <c r="J716" s="144"/>
      <c r="K716" s="144"/>
      <c r="L716" s="86"/>
      <c r="M716" s="86"/>
      <c r="N716" s="316"/>
      <c r="O716" s="86"/>
      <c r="P716" s="86"/>
      <c r="Q716" s="86"/>
      <c r="R716" s="86"/>
      <c r="S716" s="86"/>
      <c r="T716" s="86"/>
      <c r="U716" s="86"/>
      <c r="V716" s="86"/>
      <c r="W716" s="110"/>
      <c r="X716" s="110"/>
      <c r="Y716" s="110"/>
      <c r="Z716" s="104"/>
      <c r="AA716" s="104"/>
    </row>
    <row r="717" spans="1:28" x14ac:dyDescent="0.2">
      <c r="A717" s="119"/>
      <c r="B717" s="136"/>
      <c r="C717" s="136"/>
      <c r="D717" s="136"/>
      <c r="E717" s="136"/>
      <c r="F717" s="136"/>
      <c r="G717" s="136"/>
      <c r="H717" s="119"/>
      <c r="I717" s="144"/>
      <c r="J717" s="144"/>
      <c r="K717" s="144"/>
      <c r="L717" s="86"/>
      <c r="M717" s="86"/>
      <c r="N717" s="316"/>
      <c r="O717" s="86"/>
      <c r="P717" s="86"/>
      <c r="Q717" s="86"/>
      <c r="R717" s="86"/>
      <c r="S717" s="86"/>
      <c r="T717" s="86"/>
      <c r="U717" s="86"/>
      <c r="V717" s="86"/>
      <c r="W717" s="110"/>
      <c r="X717" s="110"/>
      <c r="Y717" s="110"/>
      <c r="Z717" s="104"/>
      <c r="AA717" s="104"/>
    </row>
    <row r="718" spans="1:28" x14ac:dyDescent="0.2">
      <c r="A718" s="119"/>
      <c r="B718" s="136"/>
      <c r="C718" s="136"/>
      <c r="D718" s="137"/>
      <c r="E718" s="137"/>
      <c r="F718" s="138"/>
      <c r="G718" s="138"/>
      <c r="H718" s="112"/>
      <c r="I718" s="144"/>
      <c r="J718" s="144"/>
      <c r="K718" s="144"/>
      <c r="L718" s="86"/>
      <c r="M718" s="86"/>
      <c r="N718" s="316"/>
      <c r="O718" s="86"/>
      <c r="P718" s="86"/>
      <c r="Q718" s="86"/>
      <c r="R718" s="86"/>
      <c r="S718" s="86"/>
      <c r="T718" s="86"/>
      <c r="U718" s="86"/>
      <c r="V718" s="86"/>
      <c r="W718" s="110"/>
      <c r="X718" s="110"/>
      <c r="Y718" s="110"/>
      <c r="Z718" s="104"/>
      <c r="AA718" s="104"/>
    </row>
    <row r="719" spans="1:28" x14ac:dyDescent="0.2">
      <c r="A719" s="121"/>
      <c r="B719" s="139"/>
      <c r="C719" s="139"/>
      <c r="D719" s="139"/>
      <c r="E719" s="139"/>
      <c r="F719" s="139"/>
      <c r="G719" s="139"/>
      <c r="H719" s="121"/>
      <c r="I719" s="143"/>
      <c r="J719" s="143"/>
      <c r="K719" s="143"/>
      <c r="L719" s="108"/>
      <c r="M719" s="106"/>
      <c r="N719" s="315"/>
      <c r="O719" s="106"/>
      <c r="P719" s="106"/>
      <c r="Q719" s="106"/>
      <c r="R719" s="106"/>
      <c r="S719" s="107"/>
      <c r="T719" s="108"/>
      <c r="U719" s="107"/>
      <c r="V719" s="107"/>
      <c r="W719" s="107"/>
      <c r="X719" s="107"/>
      <c r="Y719" s="109"/>
      <c r="AB719" s="103"/>
    </row>
    <row r="720" spans="1:28" x14ac:dyDescent="0.2">
      <c r="A720" s="121"/>
      <c r="B720" s="139"/>
      <c r="C720" s="139"/>
      <c r="D720" s="140"/>
      <c r="E720" s="139"/>
      <c r="F720" s="139"/>
      <c r="G720" s="139"/>
      <c r="H720" s="122"/>
      <c r="I720" s="143"/>
      <c r="J720" s="143"/>
      <c r="K720" s="143"/>
      <c r="L720" s="108"/>
      <c r="M720" s="106"/>
      <c r="N720" s="315"/>
      <c r="O720" s="106"/>
      <c r="P720" s="106"/>
      <c r="Q720" s="106"/>
      <c r="R720" s="106"/>
      <c r="S720" s="107"/>
      <c r="T720" s="108"/>
      <c r="U720" s="106"/>
      <c r="V720" s="106"/>
      <c r="W720" s="107"/>
      <c r="X720" s="107"/>
      <c r="Y720" s="107"/>
      <c r="Z720" s="104"/>
      <c r="AA720" s="104"/>
    </row>
    <row r="721" spans="1:25" s="104" customFormat="1" x14ac:dyDescent="0.2">
      <c r="A721" s="119"/>
      <c r="B721" s="136"/>
      <c r="C721" s="136"/>
      <c r="D721" s="136"/>
      <c r="E721" s="136"/>
      <c r="F721" s="136"/>
      <c r="G721" s="136"/>
      <c r="H721" s="119"/>
      <c r="I721" s="144"/>
      <c r="J721" s="144"/>
      <c r="K721" s="144"/>
      <c r="L721" s="111"/>
      <c r="M721" s="86"/>
      <c r="N721" s="316"/>
      <c r="O721" s="86"/>
      <c r="P721" s="86"/>
      <c r="Q721" s="86"/>
      <c r="R721" s="86"/>
      <c r="S721" s="110"/>
      <c r="T721" s="111"/>
      <c r="U721" s="86"/>
      <c r="V721" s="86"/>
      <c r="W721" s="110"/>
      <c r="X721" s="110"/>
      <c r="Y721" s="110"/>
    </row>
    <row r="722" spans="1:25" s="104" customFormat="1" x14ac:dyDescent="0.2">
      <c r="A722" s="119"/>
      <c r="B722" s="136"/>
      <c r="C722" s="136"/>
      <c r="D722" s="137"/>
      <c r="E722" s="137"/>
      <c r="F722" s="138"/>
      <c r="G722" s="138"/>
      <c r="H722" s="116"/>
      <c r="I722" s="144"/>
      <c r="J722" s="144"/>
      <c r="K722" s="144"/>
      <c r="L722" s="86"/>
      <c r="M722" s="86"/>
      <c r="N722" s="316"/>
      <c r="O722" s="86"/>
      <c r="P722" s="86"/>
      <c r="Q722" s="86"/>
      <c r="R722" s="86"/>
      <c r="S722" s="110"/>
      <c r="T722" s="111"/>
      <c r="U722" s="86"/>
      <c r="V722" s="86"/>
      <c r="W722" s="110"/>
      <c r="X722" s="110"/>
      <c r="Y722" s="110"/>
    </row>
    <row r="723" spans="1:25" s="104" customFormat="1" x14ac:dyDescent="0.2">
      <c r="A723" s="119"/>
      <c r="B723" s="136"/>
      <c r="C723" s="136"/>
      <c r="D723" s="137"/>
      <c r="E723" s="137"/>
      <c r="F723" s="138"/>
      <c r="G723" s="138"/>
      <c r="H723" s="116"/>
      <c r="I723" s="144"/>
      <c r="J723" s="144"/>
      <c r="K723" s="144"/>
      <c r="L723" s="111"/>
      <c r="M723" s="86"/>
      <c r="N723" s="316"/>
      <c r="O723" s="86"/>
      <c r="P723" s="86"/>
      <c r="Q723" s="86"/>
      <c r="R723" s="86"/>
      <c r="S723" s="86"/>
      <c r="T723" s="86"/>
      <c r="U723" s="86"/>
      <c r="V723" s="86"/>
      <c r="W723" s="110"/>
      <c r="X723" s="110"/>
      <c r="Y723" s="110"/>
    </row>
    <row r="724" spans="1:25" s="104" customFormat="1" x14ac:dyDescent="0.2">
      <c r="A724" s="119"/>
      <c r="B724" s="136"/>
      <c r="C724" s="136"/>
      <c r="D724" s="137"/>
      <c r="E724" s="137"/>
      <c r="F724" s="138"/>
      <c r="G724" s="138"/>
      <c r="H724" s="116"/>
      <c r="I724" s="144"/>
      <c r="J724" s="144"/>
      <c r="K724" s="144"/>
      <c r="L724" s="111"/>
      <c r="M724" s="86"/>
      <c r="N724" s="316"/>
      <c r="O724" s="86"/>
      <c r="P724" s="86"/>
      <c r="Q724" s="86"/>
      <c r="R724" s="86"/>
      <c r="S724" s="86"/>
      <c r="T724" s="86"/>
      <c r="U724" s="86"/>
      <c r="V724" s="86"/>
      <c r="W724" s="110"/>
      <c r="X724" s="110"/>
      <c r="Y724" s="110"/>
    </row>
    <row r="725" spans="1:25" s="104" customFormat="1" x14ac:dyDescent="0.2">
      <c r="A725" s="119"/>
      <c r="B725" s="136"/>
      <c r="C725" s="136"/>
      <c r="D725" s="137"/>
      <c r="E725" s="137"/>
      <c r="F725" s="138"/>
      <c r="G725" s="138"/>
      <c r="H725" s="116"/>
      <c r="I725" s="144"/>
      <c r="J725" s="144"/>
      <c r="K725" s="144"/>
      <c r="L725" s="111"/>
      <c r="M725" s="86"/>
      <c r="N725" s="316"/>
      <c r="O725" s="86"/>
      <c r="P725" s="86"/>
      <c r="Q725" s="86"/>
      <c r="R725" s="86"/>
      <c r="S725" s="86"/>
      <c r="T725" s="86"/>
      <c r="U725" s="86"/>
      <c r="V725" s="86"/>
      <c r="W725" s="110"/>
      <c r="X725" s="110"/>
      <c r="Y725" s="110"/>
    </row>
    <row r="726" spans="1:25" s="104" customFormat="1" x14ac:dyDescent="0.2">
      <c r="A726" s="119"/>
      <c r="B726" s="136"/>
      <c r="C726" s="136"/>
      <c r="D726" s="137"/>
      <c r="E726" s="137"/>
      <c r="F726" s="138"/>
      <c r="G726" s="138"/>
      <c r="H726" s="116"/>
      <c r="I726" s="144"/>
      <c r="J726" s="144"/>
      <c r="K726" s="144"/>
      <c r="L726" s="111"/>
      <c r="M726" s="86"/>
      <c r="N726" s="316"/>
      <c r="O726" s="86"/>
      <c r="P726" s="86"/>
      <c r="Q726" s="86"/>
      <c r="R726" s="86"/>
      <c r="S726" s="86"/>
      <c r="T726" s="86"/>
      <c r="U726" s="86"/>
      <c r="V726" s="86"/>
      <c r="W726" s="110"/>
      <c r="X726" s="110"/>
      <c r="Y726" s="110"/>
    </row>
    <row r="727" spans="1:25" s="104" customFormat="1" x14ac:dyDescent="0.2">
      <c r="A727" s="119"/>
      <c r="B727" s="136"/>
      <c r="C727" s="136"/>
      <c r="D727" s="137"/>
      <c r="E727" s="137"/>
      <c r="F727" s="138"/>
      <c r="G727" s="138"/>
      <c r="H727" s="116"/>
      <c r="I727" s="144"/>
      <c r="J727" s="144"/>
      <c r="K727" s="144"/>
      <c r="L727" s="111"/>
      <c r="M727" s="86"/>
      <c r="N727" s="316"/>
      <c r="O727" s="86"/>
      <c r="P727" s="86"/>
      <c r="Q727" s="86"/>
      <c r="R727" s="86"/>
      <c r="S727" s="86"/>
      <c r="T727" s="86"/>
      <c r="U727" s="86"/>
      <c r="V727" s="86"/>
      <c r="W727" s="110"/>
      <c r="X727" s="110"/>
      <c r="Y727" s="110"/>
    </row>
    <row r="728" spans="1:25" s="104" customFormat="1" x14ac:dyDescent="0.2">
      <c r="A728" s="119"/>
      <c r="B728" s="136"/>
      <c r="C728" s="136"/>
      <c r="D728" s="137"/>
      <c r="E728" s="137"/>
      <c r="F728" s="138"/>
      <c r="G728" s="138"/>
      <c r="H728" s="116"/>
      <c r="I728" s="144"/>
      <c r="J728" s="144"/>
      <c r="K728" s="144"/>
      <c r="L728" s="111"/>
      <c r="M728" s="86"/>
      <c r="N728" s="316"/>
      <c r="O728" s="86"/>
      <c r="P728" s="86"/>
      <c r="Q728" s="86"/>
      <c r="R728" s="86"/>
      <c r="S728" s="86"/>
      <c r="T728" s="86"/>
      <c r="U728" s="86"/>
      <c r="V728" s="86"/>
      <c r="W728" s="110"/>
      <c r="X728" s="110"/>
      <c r="Y728" s="110"/>
    </row>
    <row r="729" spans="1:25" s="104" customFormat="1" x14ac:dyDescent="0.2">
      <c r="A729" s="119"/>
      <c r="B729" s="136"/>
      <c r="C729" s="136"/>
      <c r="D729" s="137"/>
      <c r="E729" s="137"/>
      <c r="F729" s="138"/>
      <c r="G729" s="138"/>
      <c r="H729" s="116"/>
      <c r="I729" s="144"/>
      <c r="J729" s="144"/>
      <c r="K729" s="144"/>
      <c r="L729" s="111"/>
      <c r="M729" s="86"/>
      <c r="N729" s="316"/>
      <c r="O729" s="86"/>
      <c r="P729" s="86"/>
      <c r="Q729" s="86"/>
      <c r="R729" s="86"/>
      <c r="S729" s="86"/>
      <c r="T729" s="86"/>
      <c r="U729" s="86"/>
      <c r="V729" s="86"/>
      <c r="W729" s="110"/>
      <c r="X729" s="110"/>
      <c r="Y729" s="110"/>
    </row>
    <row r="730" spans="1:25" s="104" customFormat="1" x14ac:dyDescent="0.2">
      <c r="A730" s="119"/>
      <c r="B730" s="136"/>
      <c r="C730" s="136"/>
      <c r="D730" s="137"/>
      <c r="E730" s="137"/>
      <c r="F730" s="138"/>
      <c r="G730" s="138"/>
      <c r="H730" s="116"/>
      <c r="I730" s="144"/>
      <c r="J730" s="144"/>
      <c r="K730" s="144"/>
      <c r="L730" s="86"/>
      <c r="M730" s="86"/>
      <c r="N730" s="316"/>
      <c r="O730" s="86"/>
      <c r="P730" s="86"/>
      <c r="Q730" s="86"/>
      <c r="R730" s="86"/>
      <c r="S730" s="86"/>
      <c r="T730" s="86"/>
      <c r="U730" s="86"/>
      <c r="V730" s="86"/>
      <c r="W730" s="110"/>
      <c r="X730" s="110"/>
      <c r="Y730" s="110"/>
    </row>
    <row r="731" spans="1:25" s="104" customFormat="1" x14ac:dyDescent="0.2">
      <c r="A731" s="119"/>
      <c r="B731" s="136"/>
      <c r="C731" s="136"/>
      <c r="D731" s="137"/>
      <c r="E731" s="137"/>
      <c r="F731" s="138"/>
      <c r="G731" s="138"/>
      <c r="H731" s="116"/>
      <c r="I731" s="144"/>
      <c r="J731" s="144"/>
      <c r="K731" s="144"/>
      <c r="L731" s="86"/>
      <c r="M731" s="86"/>
      <c r="N731" s="316"/>
      <c r="O731" s="86"/>
      <c r="P731" s="86"/>
      <c r="Q731" s="86"/>
      <c r="R731" s="86"/>
      <c r="S731" s="86"/>
      <c r="T731" s="86"/>
      <c r="U731" s="86"/>
      <c r="V731" s="86"/>
      <c r="W731" s="110"/>
      <c r="X731" s="110"/>
      <c r="Y731" s="110"/>
    </row>
    <row r="732" spans="1:25" s="104" customFormat="1" x14ac:dyDescent="0.2">
      <c r="A732" s="119"/>
      <c r="B732" s="136"/>
      <c r="C732" s="136"/>
      <c r="D732" s="137"/>
      <c r="E732" s="137"/>
      <c r="F732" s="138"/>
      <c r="G732" s="138"/>
      <c r="H732" s="116"/>
      <c r="I732" s="144"/>
      <c r="J732" s="144"/>
      <c r="K732" s="144"/>
      <c r="L732" s="86"/>
      <c r="M732" s="86"/>
      <c r="N732" s="316"/>
      <c r="O732" s="86"/>
      <c r="P732" s="86"/>
      <c r="Q732" s="86"/>
      <c r="R732" s="86"/>
      <c r="S732" s="86"/>
      <c r="T732" s="86"/>
      <c r="U732" s="86"/>
      <c r="V732" s="86"/>
      <c r="W732" s="110"/>
      <c r="X732" s="110"/>
      <c r="Y732" s="110"/>
    </row>
    <row r="733" spans="1:25" s="104" customFormat="1" x14ac:dyDescent="0.2">
      <c r="A733" s="119"/>
      <c r="B733" s="136"/>
      <c r="C733" s="136"/>
      <c r="D733" s="137"/>
      <c r="E733" s="137"/>
      <c r="F733" s="138"/>
      <c r="G733" s="138"/>
      <c r="H733" s="116"/>
      <c r="I733" s="144"/>
      <c r="J733" s="144"/>
      <c r="K733" s="144"/>
      <c r="L733" s="86"/>
      <c r="M733" s="86"/>
      <c r="N733" s="316"/>
      <c r="O733" s="86"/>
      <c r="P733" s="86"/>
      <c r="Q733" s="86"/>
      <c r="R733" s="86"/>
      <c r="S733" s="86"/>
      <c r="T733" s="86"/>
      <c r="U733" s="86"/>
      <c r="V733" s="86"/>
      <c r="W733" s="110"/>
      <c r="X733" s="110"/>
      <c r="Y733" s="110"/>
    </row>
    <row r="734" spans="1:25" s="104" customFormat="1" x14ac:dyDescent="0.2">
      <c r="A734" s="119"/>
      <c r="B734" s="136"/>
      <c r="C734" s="136"/>
      <c r="D734" s="137"/>
      <c r="E734" s="137"/>
      <c r="F734" s="138"/>
      <c r="G734" s="138"/>
      <c r="H734" s="116"/>
      <c r="I734" s="144"/>
      <c r="J734" s="144"/>
      <c r="K734" s="144"/>
      <c r="L734" s="86"/>
      <c r="M734" s="86"/>
      <c r="N734" s="316"/>
      <c r="O734" s="86"/>
      <c r="P734" s="86"/>
      <c r="Q734" s="86"/>
      <c r="R734" s="86"/>
      <c r="S734" s="86"/>
      <c r="T734" s="86"/>
      <c r="U734" s="86"/>
      <c r="V734" s="86"/>
      <c r="W734" s="110"/>
      <c r="X734" s="110"/>
      <c r="Y734" s="110"/>
    </row>
    <row r="735" spans="1:25" s="104" customFormat="1" x14ac:dyDescent="0.2">
      <c r="A735" s="119"/>
      <c r="B735" s="136"/>
      <c r="C735" s="136"/>
      <c r="D735" s="137"/>
      <c r="E735" s="137"/>
      <c r="F735" s="138"/>
      <c r="G735" s="138"/>
      <c r="H735" s="116"/>
      <c r="I735" s="144"/>
      <c r="J735" s="144"/>
      <c r="K735" s="144"/>
      <c r="L735" s="86"/>
      <c r="M735" s="86"/>
      <c r="N735" s="316"/>
      <c r="O735" s="86"/>
      <c r="P735" s="86"/>
      <c r="Q735" s="86"/>
      <c r="R735" s="86"/>
      <c r="S735" s="86"/>
      <c r="T735" s="86"/>
      <c r="U735" s="86"/>
      <c r="V735" s="86"/>
      <c r="W735" s="110"/>
      <c r="X735" s="110"/>
      <c r="Y735" s="110"/>
    </row>
    <row r="736" spans="1:25" s="104" customFormat="1" x14ac:dyDescent="0.2">
      <c r="A736" s="119"/>
      <c r="B736" s="136"/>
      <c r="C736" s="136"/>
      <c r="D736" s="136"/>
      <c r="E736" s="136"/>
      <c r="F736" s="136"/>
      <c r="G736" s="136"/>
      <c r="H736" s="119"/>
      <c r="I736" s="144"/>
      <c r="J736" s="144"/>
      <c r="K736" s="144"/>
      <c r="L736" s="111"/>
      <c r="M736" s="86"/>
      <c r="N736" s="316"/>
      <c r="O736" s="86"/>
      <c r="P736" s="86"/>
      <c r="Q736" s="86"/>
      <c r="R736" s="86"/>
      <c r="S736" s="86"/>
      <c r="T736" s="86"/>
      <c r="U736" s="86"/>
      <c r="V736" s="86"/>
      <c r="W736" s="110"/>
      <c r="X736" s="110"/>
      <c r="Y736" s="110"/>
    </row>
    <row r="737" spans="1:25" s="104" customFormat="1" x14ac:dyDescent="0.2">
      <c r="A737" s="119"/>
      <c r="B737" s="136"/>
      <c r="C737" s="136"/>
      <c r="D737" s="137"/>
      <c r="E737" s="137"/>
      <c r="F737" s="138"/>
      <c r="G737" s="138"/>
      <c r="H737" s="116"/>
      <c r="I737" s="144"/>
      <c r="J737" s="144"/>
      <c r="K737" s="144"/>
      <c r="L737" s="111"/>
      <c r="M737" s="86"/>
      <c r="N737" s="316"/>
      <c r="O737" s="86"/>
      <c r="P737" s="86"/>
      <c r="Q737" s="86"/>
      <c r="R737" s="86"/>
      <c r="S737" s="86"/>
      <c r="T737" s="86"/>
      <c r="U737" s="86"/>
      <c r="V737" s="86"/>
      <c r="W737" s="110"/>
      <c r="X737" s="110"/>
      <c r="Y737" s="110"/>
    </row>
    <row r="738" spans="1:25" s="104" customFormat="1" x14ac:dyDescent="0.2">
      <c r="A738" s="119"/>
      <c r="B738" s="136"/>
      <c r="C738" s="136"/>
      <c r="D738" s="137"/>
      <c r="E738" s="137"/>
      <c r="F738" s="138"/>
      <c r="G738" s="138"/>
      <c r="H738" s="116"/>
      <c r="I738" s="144"/>
      <c r="J738" s="144"/>
      <c r="K738" s="144"/>
      <c r="L738" s="86"/>
      <c r="M738" s="86"/>
      <c r="N738" s="316"/>
      <c r="O738" s="86"/>
      <c r="P738" s="86"/>
      <c r="Q738" s="86"/>
      <c r="R738" s="86"/>
      <c r="S738" s="86"/>
      <c r="T738" s="86"/>
      <c r="U738" s="86"/>
      <c r="V738" s="86"/>
      <c r="W738" s="110"/>
      <c r="X738" s="110"/>
      <c r="Y738" s="110"/>
    </row>
    <row r="739" spans="1:25" s="104" customFormat="1" x14ac:dyDescent="0.2">
      <c r="A739" s="119"/>
      <c r="B739" s="136"/>
      <c r="C739" s="136"/>
      <c r="D739" s="137"/>
      <c r="E739" s="137"/>
      <c r="F739" s="138"/>
      <c r="G739" s="138"/>
      <c r="H739" s="116"/>
      <c r="I739" s="144"/>
      <c r="J739" s="144"/>
      <c r="K739" s="144"/>
      <c r="L739" s="86"/>
      <c r="M739" s="86"/>
      <c r="N739" s="316"/>
      <c r="O739" s="86"/>
      <c r="P739" s="86"/>
      <c r="Q739" s="86"/>
      <c r="R739" s="86"/>
      <c r="S739" s="86"/>
      <c r="T739" s="86"/>
      <c r="U739" s="86"/>
      <c r="V739" s="86"/>
      <c r="W739" s="110"/>
      <c r="X739" s="110"/>
      <c r="Y739" s="110"/>
    </row>
    <row r="740" spans="1:25" s="104" customFormat="1" x14ac:dyDescent="0.2">
      <c r="A740" s="121"/>
      <c r="B740" s="139"/>
      <c r="C740" s="139"/>
      <c r="D740" s="140"/>
      <c r="E740" s="139"/>
      <c r="F740" s="139"/>
      <c r="G740" s="139"/>
      <c r="H740" s="121"/>
      <c r="I740" s="143"/>
      <c r="J740" s="143"/>
      <c r="K740" s="143"/>
      <c r="L740" s="106"/>
      <c r="M740" s="106"/>
      <c r="N740" s="315"/>
      <c r="O740" s="106"/>
      <c r="P740" s="106"/>
      <c r="Q740" s="106"/>
      <c r="R740" s="106"/>
      <c r="S740" s="106"/>
      <c r="T740" s="106"/>
      <c r="U740" s="107"/>
      <c r="V740" s="107"/>
      <c r="W740" s="107"/>
      <c r="X740" s="107"/>
      <c r="Y740" s="107"/>
    </row>
    <row r="741" spans="1:25" s="104" customFormat="1" x14ac:dyDescent="0.2">
      <c r="A741" s="119"/>
      <c r="B741" s="136"/>
      <c r="C741" s="136"/>
      <c r="D741" s="136"/>
      <c r="E741" s="136"/>
      <c r="F741" s="136"/>
      <c r="G741" s="136"/>
      <c r="H741" s="119"/>
      <c r="I741" s="144"/>
      <c r="J741" s="144"/>
      <c r="K741" s="144"/>
      <c r="L741" s="86"/>
      <c r="M741" s="86"/>
      <c r="N741" s="316"/>
      <c r="O741" s="86"/>
      <c r="P741" s="86"/>
      <c r="Q741" s="86"/>
      <c r="R741" s="86"/>
      <c r="S741" s="86"/>
      <c r="T741" s="86"/>
      <c r="U741" s="110"/>
      <c r="V741" s="110"/>
      <c r="W741" s="110"/>
      <c r="X741" s="110"/>
      <c r="Y741" s="110"/>
    </row>
    <row r="742" spans="1:25" s="104" customFormat="1" x14ac:dyDescent="0.2">
      <c r="A742" s="113"/>
      <c r="B742" s="141"/>
      <c r="C742" s="141"/>
      <c r="D742" s="137"/>
      <c r="E742" s="137"/>
      <c r="F742" s="138"/>
      <c r="G742" s="138"/>
      <c r="H742" s="112"/>
      <c r="I742" s="144"/>
      <c r="J742" s="144"/>
      <c r="K742" s="144"/>
      <c r="L742" s="86"/>
      <c r="M742" s="86"/>
      <c r="N742" s="316"/>
      <c r="O742" s="86"/>
      <c r="P742" s="86"/>
      <c r="Q742" s="86"/>
      <c r="R742" s="86"/>
      <c r="S742" s="86"/>
      <c r="T742" s="86"/>
      <c r="U742" s="110"/>
      <c r="V742" s="110"/>
      <c r="W742" s="110"/>
      <c r="X742" s="110"/>
      <c r="Y742" s="110"/>
    </row>
    <row r="743" spans="1:25" s="104" customFormat="1" x14ac:dyDescent="0.2">
      <c r="A743" s="121"/>
      <c r="B743" s="139"/>
      <c r="C743" s="139"/>
      <c r="D743" s="140"/>
      <c r="E743" s="139"/>
      <c r="F743" s="139"/>
      <c r="G743" s="139"/>
      <c r="H743" s="121"/>
      <c r="I743" s="143"/>
      <c r="J743" s="143"/>
      <c r="K743" s="143"/>
      <c r="L743" s="106"/>
      <c r="M743" s="106"/>
      <c r="N743" s="315"/>
      <c r="O743" s="106"/>
      <c r="P743" s="106"/>
      <c r="Q743" s="106"/>
      <c r="R743" s="106"/>
      <c r="S743" s="106"/>
      <c r="T743" s="106"/>
      <c r="U743" s="107"/>
      <c r="V743" s="107"/>
      <c r="W743" s="107"/>
      <c r="X743" s="107"/>
      <c r="Y743" s="107"/>
    </row>
    <row r="744" spans="1:25" s="104" customFormat="1" x14ac:dyDescent="0.2">
      <c r="A744" s="119"/>
      <c r="B744" s="136"/>
      <c r="C744" s="136"/>
      <c r="D744" s="136"/>
      <c r="E744" s="136"/>
      <c r="F744" s="136"/>
      <c r="G744" s="136"/>
      <c r="H744" s="119"/>
      <c r="I744" s="144"/>
      <c r="J744" s="144"/>
      <c r="K744" s="144"/>
      <c r="L744" s="86"/>
      <c r="M744" s="86"/>
      <c r="N744" s="316"/>
      <c r="O744" s="86"/>
      <c r="P744" s="86"/>
      <c r="Q744" s="86"/>
      <c r="R744" s="86"/>
      <c r="S744" s="86"/>
      <c r="T744" s="86"/>
      <c r="U744" s="110"/>
      <c r="V744" s="110"/>
      <c r="W744" s="110"/>
      <c r="X744" s="110"/>
      <c r="Y744" s="110"/>
    </row>
    <row r="745" spans="1:25" s="104" customFormat="1" x14ac:dyDescent="0.2">
      <c r="A745" s="113"/>
      <c r="B745" s="141"/>
      <c r="C745" s="141"/>
      <c r="D745" s="137"/>
      <c r="E745" s="137"/>
      <c r="F745" s="138"/>
      <c r="G745" s="138"/>
      <c r="H745" s="112"/>
      <c r="I745" s="144"/>
      <c r="J745" s="144"/>
      <c r="K745" s="144"/>
      <c r="L745" s="86"/>
      <c r="M745" s="86"/>
      <c r="N745" s="316"/>
      <c r="O745" s="86"/>
      <c r="P745" s="86"/>
      <c r="Q745" s="86"/>
      <c r="R745" s="86"/>
      <c r="S745" s="86"/>
      <c r="T745" s="86"/>
      <c r="U745" s="110"/>
      <c r="V745" s="110"/>
      <c r="W745" s="110"/>
      <c r="X745" s="110"/>
      <c r="Y745" s="110"/>
    </row>
    <row r="746" spans="1:25" s="104" customFormat="1" x14ac:dyDescent="0.2">
      <c r="A746" s="121"/>
      <c r="B746" s="139"/>
      <c r="C746" s="139"/>
      <c r="D746" s="140"/>
      <c r="E746" s="139"/>
      <c r="F746" s="139"/>
      <c r="G746" s="139"/>
      <c r="H746" s="121"/>
      <c r="I746" s="143"/>
      <c r="J746" s="143"/>
      <c r="K746" s="143"/>
      <c r="L746" s="106"/>
      <c r="M746" s="106"/>
      <c r="N746" s="315"/>
      <c r="O746" s="106"/>
      <c r="P746" s="106"/>
      <c r="Q746" s="106"/>
      <c r="R746" s="106"/>
      <c r="S746" s="106"/>
      <c r="T746" s="106"/>
      <c r="U746" s="107"/>
      <c r="V746" s="107"/>
      <c r="W746" s="107"/>
      <c r="X746" s="107"/>
      <c r="Y746" s="107"/>
    </row>
    <row r="747" spans="1:25" s="104" customFormat="1" x14ac:dyDescent="0.2">
      <c r="A747" s="119"/>
      <c r="B747" s="136"/>
      <c r="C747" s="136"/>
      <c r="D747" s="136"/>
      <c r="E747" s="136"/>
      <c r="F747" s="136"/>
      <c r="G747" s="136"/>
      <c r="H747" s="119"/>
      <c r="I747" s="144"/>
      <c r="J747" s="144"/>
      <c r="K747" s="144"/>
      <c r="L747" s="86"/>
      <c r="M747" s="86"/>
      <c r="N747" s="316"/>
      <c r="O747" s="86"/>
      <c r="P747" s="86"/>
      <c r="Q747" s="86"/>
      <c r="R747" s="86"/>
      <c r="S747" s="86"/>
      <c r="T747" s="86"/>
      <c r="U747" s="110"/>
      <c r="V747" s="110"/>
      <c r="W747" s="110"/>
      <c r="X747" s="110"/>
      <c r="Y747" s="110"/>
    </row>
    <row r="748" spans="1:25" s="104" customFormat="1" x14ac:dyDescent="0.2">
      <c r="A748" s="113"/>
      <c r="B748" s="141"/>
      <c r="C748" s="141"/>
      <c r="D748" s="137"/>
      <c r="E748" s="137"/>
      <c r="F748" s="138"/>
      <c r="G748" s="138"/>
      <c r="H748" s="112"/>
      <c r="I748" s="144"/>
      <c r="J748" s="144"/>
      <c r="K748" s="144"/>
      <c r="L748" s="86"/>
      <c r="M748" s="86"/>
      <c r="N748" s="316"/>
      <c r="O748" s="86"/>
      <c r="P748" s="86"/>
      <c r="Q748" s="86"/>
      <c r="R748" s="86"/>
      <c r="S748" s="86"/>
      <c r="T748" s="86"/>
      <c r="U748" s="110"/>
      <c r="V748" s="110"/>
      <c r="W748" s="110"/>
      <c r="X748" s="110"/>
      <c r="Y748" s="110"/>
    </row>
    <row r="749" spans="1:25" s="104" customFormat="1" x14ac:dyDescent="0.2">
      <c r="A749" s="121"/>
      <c r="B749" s="139"/>
      <c r="C749" s="139"/>
      <c r="D749" s="140"/>
      <c r="E749" s="139"/>
      <c r="F749" s="139"/>
      <c r="G749" s="139"/>
      <c r="H749" s="121"/>
      <c r="I749" s="143"/>
      <c r="J749" s="143"/>
      <c r="K749" s="143"/>
      <c r="L749" s="106"/>
      <c r="M749" s="106"/>
      <c r="N749" s="315"/>
      <c r="O749" s="106"/>
      <c r="P749" s="106"/>
      <c r="Q749" s="106"/>
      <c r="R749" s="106"/>
      <c r="S749" s="106"/>
      <c r="T749" s="106"/>
      <c r="U749" s="107"/>
      <c r="V749" s="107"/>
      <c r="W749" s="107"/>
      <c r="X749" s="107"/>
      <c r="Y749" s="107"/>
    </row>
    <row r="750" spans="1:25" s="104" customFormat="1" x14ac:dyDescent="0.2">
      <c r="A750" s="119"/>
      <c r="B750" s="136"/>
      <c r="C750" s="136"/>
      <c r="D750" s="136"/>
      <c r="E750" s="136"/>
      <c r="F750" s="136"/>
      <c r="G750" s="136"/>
      <c r="H750" s="119"/>
      <c r="I750" s="144"/>
      <c r="J750" s="144"/>
      <c r="K750" s="144"/>
      <c r="L750" s="86"/>
      <c r="M750" s="86"/>
      <c r="N750" s="316"/>
      <c r="O750" s="86"/>
      <c r="P750" s="86"/>
      <c r="Q750" s="86"/>
      <c r="R750" s="86"/>
      <c r="S750" s="86"/>
      <c r="T750" s="86"/>
      <c r="U750" s="110"/>
      <c r="V750" s="110"/>
      <c r="W750" s="110"/>
      <c r="X750" s="110"/>
      <c r="Y750" s="110"/>
    </row>
    <row r="751" spans="1:25" s="104" customFormat="1" x14ac:dyDescent="0.2">
      <c r="A751" s="113"/>
      <c r="B751" s="141"/>
      <c r="C751" s="141"/>
      <c r="D751" s="137"/>
      <c r="E751" s="137"/>
      <c r="F751" s="138"/>
      <c r="G751" s="138"/>
      <c r="H751" s="112"/>
      <c r="I751" s="144"/>
      <c r="J751" s="144"/>
      <c r="K751" s="144"/>
      <c r="L751" s="86"/>
      <c r="M751" s="86"/>
      <c r="N751" s="316"/>
      <c r="O751" s="86"/>
      <c r="P751" s="86"/>
      <c r="Q751" s="86"/>
      <c r="R751" s="86"/>
      <c r="S751" s="86"/>
      <c r="T751" s="86"/>
      <c r="U751" s="110"/>
      <c r="V751" s="110"/>
      <c r="W751" s="110"/>
      <c r="X751" s="110"/>
      <c r="Y751" s="110"/>
    </row>
    <row r="752" spans="1:25" s="104" customFormat="1" x14ac:dyDescent="0.2">
      <c r="A752" s="121"/>
      <c r="B752" s="139"/>
      <c r="C752" s="139"/>
      <c r="D752" s="140"/>
      <c r="E752" s="139"/>
      <c r="F752" s="139"/>
      <c r="G752" s="139"/>
      <c r="H752" s="121"/>
      <c r="I752" s="143"/>
      <c r="J752" s="143"/>
      <c r="K752" s="143"/>
      <c r="L752" s="106"/>
      <c r="M752" s="106"/>
      <c r="N752" s="315"/>
      <c r="O752" s="106"/>
      <c r="P752" s="106"/>
      <c r="Q752" s="106"/>
      <c r="R752" s="106"/>
      <c r="S752" s="106"/>
      <c r="T752" s="106"/>
      <c r="U752" s="107"/>
      <c r="V752" s="107"/>
      <c r="W752" s="107"/>
      <c r="X752" s="107"/>
      <c r="Y752" s="107"/>
    </row>
    <row r="753" spans="1:28" x14ac:dyDescent="0.2">
      <c r="A753" s="119"/>
      <c r="B753" s="136"/>
      <c r="C753" s="136"/>
      <c r="D753" s="136"/>
      <c r="E753" s="136"/>
      <c r="F753" s="136"/>
      <c r="G753" s="136"/>
      <c r="H753" s="119"/>
      <c r="I753" s="144"/>
      <c r="J753" s="144"/>
      <c r="K753" s="144"/>
      <c r="L753" s="86"/>
      <c r="M753" s="86"/>
      <c r="N753" s="316"/>
      <c r="O753" s="86"/>
      <c r="P753" s="86"/>
      <c r="Q753" s="86"/>
      <c r="R753" s="86"/>
      <c r="S753" s="86"/>
      <c r="T753" s="86"/>
      <c r="U753" s="110"/>
      <c r="V753" s="110"/>
      <c r="W753" s="110"/>
      <c r="X753" s="110"/>
      <c r="Y753" s="110"/>
      <c r="Z753" s="104"/>
      <c r="AA753" s="104"/>
    </row>
    <row r="754" spans="1:28" x14ac:dyDescent="0.2">
      <c r="A754" s="113"/>
      <c r="B754" s="141"/>
      <c r="C754" s="141"/>
      <c r="D754" s="137"/>
      <c r="E754" s="137"/>
      <c r="F754" s="138"/>
      <c r="G754" s="138"/>
      <c r="H754" s="112"/>
      <c r="I754" s="144"/>
      <c r="J754" s="144"/>
      <c r="K754" s="144"/>
      <c r="L754" s="86"/>
      <c r="M754" s="86"/>
      <c r="N754" s="316"/>
      <c r="O754" s="86"/>
      <c r="P754" s="86"/>
      <c r="Q754" s="86"/>
      <c r="R754" s="86"/>
      <c r="S754" s="86"/>
      <c r="T754" s="86"/>
      <c r="U754" s="110"/>
      <c r="V754" s="110"/>
      <c r="W754" s="110"/>
      <c r="X754" s="110"/>
      <c r="Y754" s="110"/>
      <c r="Z754" s="104"/>
      <c r="AA754" s="104"/>
    </row>
    <row r="755" spans="1:28" x14ac:dyDescent="0.2">
      <c r="A755" s="121"/>
      <c r="B755" s="139"/>
      <c r="C755" s="139"/>
      <c r="D755" s="140"/>
      <c r="E755" s="139"/>
      <c r="F755" s="139"/>
      <c r="G755" s="139"/>
      <c r="H755" s="121"/>
      <c r="I755" s="143"/>
      <c r="J755" s="143"/>
      <c r="K755" s="143"/>
      <c r="L755" s="106"/>
      <c r="M755" s="106"/>
      <c r="N755" s="315"/>
      <c r="O755" s="106"/>
      <c r="P755" s="106"/>
      <c r="Q755" s="106"/>
      <c r="R755" s="106"/>
      <c r="S755" s="106"/>
      <c r="T755" s="106"/>
      <c r="U755" s="107"/>
      <c r="V755" s="107"/>
      <c r="W755" s="107"/>
      <c r="X755" s="107"/>
      <c r="Y755" s="107"/>
      <c r="Z755" s="104"/>
      <c r="AA755" s="104"/>
    </row>
    <row r="756" spans="1:28" x14ac:dyDescent="0.2">
      <c r="A756" s="119"/>
      <c r="B756" s="136"/>
      <c r="C756" s="136"/>
      <c r="D756" s="136"/>
      <c r="E756" s="136"/>
      <c r="F756" s="136"/>
      <c r="G756" s="136"/>
      <c r="H756" s="119"/>
      <c r="I756" s="144"/>
      <c r="J756" s="144"/>
      <c r="K756" s="144"/>
      <c r="L756" s="86"/>
      <c r="M756" s="86"/>
      <c r="N756" s="316"/>
      <c r="O756" s="86"/>
      <c r="P756" s="86"/>
      <c r="Q756" s="86"/>
      <c r="R756" s="86"/>
      <c r="S756" s="86"/>
      <c r="T756" s="86"/>
      <c r="U756" s="110"/>
      <c r="V756" s="110"/>
      <c r="W756" s="110"/>
      <c r="X756" s="110"/>
      <c r="Y756" s="110"/>
      <c r="Z756" s="104"/>
      <c r="AA756" s="104"/>
    </row>
    <row r="757" spans="1:28" x14ac:dyDescent="0.2">
      <c r="A757" s="113"/>
      <c r="B757" s="141"/>
      <c r="C757" s="141"/>
      <c r="D757" s="137"/>
      <c r="E757" s="137"/>
      <c r="F757" s="138"/>
      <c r="G757" s="138"/>
      <c r="H757" s="112"/>
      <c r="I757" s="144"/>
      <c r="J757" s="144"/>
      <c r="K757" s="144"/>
      <c r="L757" s="86"/>
      <c r="M757" s="86"/>
      <c r="N757" s="316"/>
      <c r="O757" s="86"/>
      <c r="P757" s="86"/>
      <c r="Q757" s="86"/>
      <c r="R757" s="86"/>
      <c r="S757" s="86"/>
      <c r="T757" s="86"/>
      <c r="U757" s="110"/>
      <c r="V757" s="110"/>
      <c r="W757" s="110"/>
      <c r="X757" s="110"/>
      <c r="Y757" s="110"/>
      <c r="Z757" s="104"/>
      <c r="AA757" s="104"/>
    </row>
    <row r="758" spans="1:28" x14ac:dyDescent="0.2">
      <c r="A758" s="121"/>
      <c r="B758" s="139"/>
      <c r="C758" s="139"/>
      <c r="D758" s="140"/>
      <c r="E758" s="139"/>
      <c r="F758" s="139"/>
      <c r="G758" s="139"/>
      <c r="H758" s="121"/>
      <c r="I758" s="143"/>
      <c r="J758" s="143"/>
      <c r="K758" s="143"/>
      <c r="L758" s="106"/>
      <c r="M758" s="106"/>
      <c r="N758" s="315"/>
      <c r="O758" s="106"/>
      <c r="P758" s="106"/>
      <c r="Q758" s="106"/>
      <c r="R758" s="106"/>
      <c r="S758" s="106"/>
      <c r="T758" s="106"/>
      <c r="U758" s="107"/>
      <c r="V758" s="107"/>
      <c r="W758" s="107"/>
      <c r="X758" s="107"/>
      <c r="Y758" s="107"/>
      <c r="Z758" s="104"/>
      <c r="AA758" s="104"/>
    </row>
    <row r="759" spans="1:28" x14ac:dyDescent="0.2">
      <c r="A759" s="119"/>
      <c r="B759" s="136"/>
      <c r="C759" s="136"/>
      <c r="D759" s="136"/>
      <c r="E759" s="136"/>
      <c r="F759" s="136"/>
      <c r="G759" s="136"/>
      <c r="H759" s="119"/>
      <c r="I759" s="144"/>
      <c r="J759" s="144"/>
      <c r="K759" s="144"/>
      <c r="L759" s="86"/>
      <c r="M759" s="86"/>
      <c r="N759" s="316"/>
      <c r="O759" s="86"/>
      <c r="P759" s="86"/>
      <c r="Q759" s="86"/>
      <c r="R759" s="86"/>
      <c r="S759" s="86"/>
      <c r="T759" s="86"/>
      <c r="U759" s="110"/>
      <c r="V759" s="110"/>
      <c r="W759" s="110"/>
      <c r="X759" s="110"/>
      <c r="Y759" s="110"/>
      <c r="Z759" s="104"/>
      <c r="AA759" s="104"/>
    </row>
    <row r="760" spans="1:28" x14ac:dyDescent="0.2">
      <c r="A760" s="113"/>
      <c r="B760" s="141"/>
      <c r="C760" s="141"/>
      <c r="D760" s="137"/>
      <c r="E760" s="137"/>
      <c r="F760" s="138"/>
      <c r="G760" s="138"/>
      <c r="H760" s="112"/>
      <c r="I760" s="144"/>
      <c r="J760" s="144"/>
      <c r="K760" s="144"/>
      <c r="L760" s="86"/>
      <c r="M760" s="86"/>
      <c r="N760" s="316"/>
      <c r="O760" s="86"/>
      <c r="P760" s="86"/>
      <c r="Q760" s="86"/>
      <c r="R760" s="86"/>
      <c r="S760" s="86"/>
      <c r="T760" s="86"/>
      <c r="U760" s="110"/>
      <c r="V760" s="110"/>
      <c r="W760" s="110"/>
      <c r="X760" s="110"/>
      <c r="Y760" s="110"/>
      <c r="Z760" s="104"/>
      <c r="AA760" s="104"/>
    </row>
    <row r="761" spans="1:28" x14ac:dyDescent="0.2">
      <c r="A761" s="121"/>
      <c r="B761" s="139"/>
      <c r="C761" s="139"/>
      <c r="D761" s="139"/>
      <c r="E761" s="139"/>
      <c r="F761" s="139"/>
      <c r="G761" s="139"/>
      <c r="H761" s="121"/>
      <c r="I761" s="143"/>
      <c r="J761" s="143"/>
      <c r="K761" s="143"/>
      <c r="L761" s="108"/>
      <c r="M761" s="106"/>
      <c r="N761" s="315"/>
      <c r="O761" s="106"/>
      <c r="P761" s="106"/>
      <c r="Q761" s="106"/>
      <c r="R761" s="106"/>
      <c r="S761" s="107"/>
      <c r="T761" s="108"/>
      <c r="U761" s="107"/>
      <c r="V761" s="108"/>
      <c r="W761" s="107"/>
      <c r="X761" s="107"/>
      <c r="Y761" s="109"/>
      <c r="AB761" s="103"/>
    </row>
    <row r="762" spans="1:28" x14ac:dyDescent="0.2">
      <c r="A762" s="121"/>
      <c r="B762" s="139"/>
      <c r="C762" s="139"/>
      <c r="D762" s="140"/>
      <c r="E762" s="139"/>
      <c r="F762" s="139"/>
      <c r="G762" s="139"/>
      <c r="H762" s="121"/>
      <c r="I762" s="143"/>
      <c r="J762" s="143"/>
      <c r="K762" s="143"/>
      <c r="L762" s="106"/>
      <c r="M762" s="106"/>
      <c r="N762" s="315"/>
      <c r="O762" s="106"/>
      <c r="P762" s="106"/>
      <c r="Q762" s="106"/>
      <c r="R762" s="106"/>
      <c r="S762" s="106"/>
      <c r="T762" s="106"/>
      <c r="U762" s="107"/>
      <c r="V762" s="108"/>
      <c r="W762" s="107"/>
      <c r="X762" s="107"/>
      <c r="Y762" s="107"/>
      <c r="Z762" s="104"/>
      <c r="AA762" s="104"/>
    </row>
    <row r="763" spans="1:28" x14ac:dyDescent="0.2">
      <c r="A763" s="119"/>
      <c r="B763" s="136"/>
      <c r="C763" s="136"/>
      <c r="D763" s="136"/>
      <c r="E763" s="136"/>
      <c r="F763" s="136"/>
      <c r="G763" s="136"/>
      <c r="H763" s="119"/>
      <c r="I763" s="144"/>
      <c r="J763" s="144"/>
      <c r="K763" s="144"/>
      <c r="L763" s="86"/>
      <c r="M763" s="86"/>
      <c r="N763" s="316"/>
      <c r="O763" s="86"/>
      <c r="P763" s="86"/>
      <c r="Q763" s="86"/>
      <c r="R763" s="86"/>
      <c r="S763" s="86"/>
      <c r="T763" s="86"/>
      <c r="U763" s="110"/>
      <c r="V763" s="111"/>
      <c r="W763" s="110"/>
      <c r="X763" s="110"/>
      <c r="Y763" s="110"/>
      <c r="Z763" s="104"/>
      <c r="AA763" s="104"/>
    </row>
    <row r="764" spans="1:28" x14ac:dyDescent="0.2">
      <c r="A764" s="113"/>
      <c r="B764" s="141"/>
      <c r="C764" s="141"/>
      <c r="D764" s="137"/>
      <c r="E764" s="137"/>
      <c r="F764" s="138"/>
      <c r="G764" s="138"/>
      <c r="H764" s="112"/>
      <c r="I764" s="144"/>
      <c r="J764" s="144"/>
      <c r="K764" s="144"/>
      <c r="L764" s="86"/>
      <c r="M764" s="86"/>
      <c r="N764" s="316"/>
      <c r="O764" s="86"/>
      <c r="P764" s="86"/>
      <c r="Q764" s="86"/>
      <c r="R764" s="86"/>
      <c r="S764" s="86"/>
      <c r="T764" s="86"/>
      <c r="U764" s="110"/>
      <c r="V764" s="111"/>
      <c r="W764" s="110"/>
      <c r="X764" s="110"/>
      <c r="Y764" s="110"/>
      <c r="Z764" s="104"/>
      <c r="AA764" s="104"/>
    </row>
    <row r="765" spans="1:28" x14ac:dyDescent="0.2">
      <c r="A765" s="121"/>
      <c r="B765" s="139"/>
      <c r="C765" s="139"/>
      <c r="D765" s="140"/>
      <c r="E765" s="139"/>
      <c r="F765" s="139"/>
      <c r="G765" s="139"/>
      <c r="H765" s="121"/>
      <c r="I765" s="143"/>
      <c r="J765" s="143"/>
      <c r="K765" s="143"/>
      <c r="L765" s="106"/>
      <c r="M765" s="106"/>
      <c r="N765" s="315"/>
      <c r="O765" s="106"/>
      <c r="P765" s="106"/>
      <c r="Q765" s="106"/>
      <c r="R765" s="106"/>
      <c r="S765" s="106"/>
      <c r="T765" s="106"/>
      <c r="U765" s="107"/>
      <c r="V765" s="108"/>
      <c r="W765" s="107"/>
      <c r="X765" s="107"/>
      <c r="Y765" s="107"/>
      <c r="Z765" s="104"/>
      <c r="AA765" s="104"/>
    </row>
    <row r="766" spans="1:28" x14ac:dyDescent="0.2">
      <c r="A766" s="119"/>
      <c r="B766" s="136"/>
      <c r="C766" s="136"/>
      <c r="D766" s="136"/>
      <c r="E766" s="136"/>
      <c r="F766" s="136"/>
      <c r="G766" s="136"/>
      <c r="H766" s="119"/>
      <c r="I766" s="144"/>
      <c r="J766" s="144"/>
      <c r="K766" s="144"/>
      <c r="L766" s="86"/>
      <c r="M766" s="86"/>
      <c r="N766" s="316"/>
      <c r="O766" s="86"/>
      <c r="P766" s="86"/>
      <c r="Q766" s="86"/>
      <c r="R766" s="86"/>
      <c r="S766" s="86"/>
      <c r="T766" s="86"/>
      <c r="U766" s="110"/>
      <c r="V766" s="111"/>
      <c r="W766" s="110"/>
      <c r="X766" s="110"/>
      <c r="Y766" s="110"/>
      <c r="Z766" s="104"/>
      <c r="AA766" s="104"/>
    </row>
    <row r="767" spans="1:28" x14ac:dyDescent="0.2">
      <c r="A767" s="113"/>
      <c r="B767" s="141"/>
      <c r="C767" s="141"/>
      <c r="D767" s="137"/>
      <c r="E767" s="137"/>
      <c r="F767" s="138"/>
      <c r="G767" s="138"/>
      <c r="H767" s="112"/>
      <c r="I767" s="144"/>
      <c r="J767" s="144"/>
      <c r="K767" s="144"/>
      <c r="L767" s="86"/>
      <c r="M767" s="86"/>
      <c r="N767" s="316"/>
      <c r="O767" s="86"/>
      <c r="P767" s="86"/>
      <c r="Q767" s="86"/>
      <c r="R767" s="86"/>
      <c r="S767" s="86"/>
      <c r="T767" s="86"/>
      <c r="U767" s="110"/>
      <c r="V767" s="111"/>
      <c r="W767" s="110"/>
      <c r="X767" s="110"/>
      <c r="Y767" s="110"/>
      <c r="Z767" s="104"/>
      <c r="AA767" s="104"/>
    </row>
    <row r="768" spans="1:28" x14ac:dyDescent="0.2">
      <c r="A768" s="121"/>
      <c r="B768" s="139"/>
      <c r="C768" s="139"/>
      <c r="D768" s="140"/>
      <c r="E768" s="139"/>
      <c r="F768" s="139"/>
      <c r="G768" s="139"/>
      <c r="H768" s="122"/>
      <c r="I768" s="143"/>
      <c r="J768" s="143"/>
      <c r="K768" s="143"/>
      <c r="L768" s="108"/>
      <c r="M768" s="106"/>
      <c r="N768" s="315"/>
      <c r="O768" s="106"/>
      <c r="P768" s="106"/>
      <c r="Q768" s="106"/>
      <c r="R768" s="106"/>
      <c r="S768" s="107"/>
      <c r="T768" s="108"/>
      <c r="U768" s="106"/>
      <c r="V768" s="106"/>
      <c r="W768" s="107"/>
      <c r="X768" s="107"/>
      <c r="Y768" s="107"/>
      <c r="Z768" s="104"/>
      <c r="AA768" s="104"/>
    </row>
    <row r="769" spans="1:25" s="104" customFormat="1" x14ac:dyDescent="0.2">
      <c r="A769" s="119"/>
      <c r="B769" s="136"/>
      <c r="C769" s="136"/>
      <c r="D769" s="136"/>
      <c r="E769" s="136"/>
      <c r="F769" s="136"/>
      <c r="G769" s="136"/>
      <c r="H769" s="119"/>
      <c r="I769" s="144"/>
      <c r="J769" s="144"/>
      <c r="K769" s="144"/>
      <c r="L769" s="86"/>
      <c r="M769" s="86"/>
      <c r="N769" s="316"/>
      <c r="O769" s="86"/>
      <c r="P769" s="86"/>
      <c r="Q769" s="86"/>
      <c r="R769" s="86"/>
      <c r="S769" s="86"/>
      <c r="T769" s="86"/>
      <c r="U769" s="86"/>
      <c r="V769" s="86"/>
      <c r="W769" s="110"/>
      <c r="X769" s="110"/>
      <c r="Y769" s="110"/>
    </row>
    <row r="770" spans="1:25" s="104" customFormat="1" x14ac:dyDescent="0.2">
      <c r="A770" s="119"/>
      <c r="B770" s="136"/>
      <c r="C770" s="136"/>
      <c r="D770" s="137"/>
      <c r="E770" s="137"/>
      <c r="F770" s="138"/>
      <c r="G770" s="138"/>
      <c r="H770" s="116"/>
      <c r="I770" s="144"/>
      <c r="J770" s="144"/>
      <c r="K770" s="144"/>
      <c r="L770" s="86"/>
      <c r="M770" s="86"/>
      <c r="N770" s="316"/>
      <c r="O770" s="86"/>
      <c r="P770" s="86"/>
      <c r="Q770" s="86"/>
      <c r="R770" s="86"/>
      <c r="S770" s="86"/>
      <c r="T770" s="86"/>
      <c r="U770" s="86"/>
      <c r="V770" s="86"/>
      <c r="W770" s="110"/>
      <c r="X770" s="110"/>
      <c r="Y770" s="110"/>
    </row>
    <row r="771" spans="1:25" s="104" customFormat="1" x14ac:dyDescent="0.2">
      <c r="A771" s="119"/>
      <c r="B771" s="136"/>
      <c r="C771" s="136"/>
      <c r="D771" s="137"/>
      <c r="E771" s="137"/>
      <c r="F771" s="138"/>
      <c r="G771" s="138"/>
      <c r="H771" s="116"/>
      <c r="I771" s="144"/>
      <c r="J771" s="144"/>
      <c r="K771" s="144"/>
      <c r="L771" s="86"/>
      <c r="M771" s="86"/>
      <c r="N771" s="316"/>
      <c r="O771" s="86"/>
      <c r="P771" s="86"/>
      <c r="Q771" s="86"/>
      <c r="R771" s="86"/>
      <c r="S771" s="86"/>
      <c r="T771" s="86"/>
      <c r="U771" s="86"/>
      <c r="V771" s="86"/>
      <c r="W771" s="110"/>
      <c r="X771" s="110"/>
      <c r="Y771" s="110"/>
    </row>
    <row r="772" spans="1:25" s="104" customFormat="1" x14ac:dyDescent="0.2">
      <c r="A772" s="119"/>
      <c r="B772" s="136"/>
      <c r="C772" s="136"/>
      <c r="D772" s="136"/>
      <c r="E772" s="136"/>
      <c r="F772" s="136"/>
      <c r="G772" s="136"/>
      <c r="H772" s="119"/>
      <c r="I772" s="144"/>
      <c r="J772" s="144"/>
      <c r="K772" s="144"/>
      <c r="L772" s="86"/>
      <c r="M772" s="86"/>
      <c r="N772" s="316"/>
      <c r="O772" s="86"/>
      <c r="P772" s="86"/>
      <c r="Q772" s="86"/>
      <c r="R772" s="86"/>
      <c r="S772" s="86"/>
      <c r="T772" s="86"/>
      <c r="U772" s="86"/>
      <c r="V772" s="86"/>
      <c r="W772" s="110"/>
      <c r="X772" s="110"/>
      <c r="Y772" s="110"/>
    </row>
    <row r="773" spans="1:25" s="104" customFormat="1" x14ac:dyDescent="0.2">
      <c r="A773" s="119"/>
      <c r="B773" s="136"/>
      <c r="C773" s="136"/>
      <c r="D773" s="137"/>
      <c r="E773" s="137"/>
      <c r="F773" s="138"/>
      <c r="G773" s="138"/>
      <c r="H773" s="116"/>
      <c r="I773" s="144"/>
      <c r="J773" s="144"/>
      <c r="K773" s="144"/>
      <c r="L773" s="86"/>
      <c r="M773" s="86"/>
      <c r="N773" s="316"/>
      <c r="O773" s="86"/>
      <c r="P773" s="86"/>
      <c r="Q773" s="86"/>
      <c r="R773" s="86"/>
      <c r="S773" s="86"/>
      <c r="T773" s="86"/>
      <c r="U773" s="86"/>
      <c r="V773" s="86"/>
      <c r="W773" s="110"/>
      <c r="X773" s="110"/>
      <c r="Y773" s="110"/>
    </row>
    <row r="774" spans="1:25" s="104" customFormat="1" x14ac:dyDescent="0.2">
      <c r="A774" s="119"/>
      <c r="B774" s="136"/>
      <c r="C774" s="136"/>
      <c r="D774" s="137"/>
      <c r="E774" s="137"/>
      <c r="F774" s="138"/>
      <c r="G774" s="138"/>
      <c r="H774" s="116"/>
      <c r="I774" s="144"/>
      <c r="J774" s="144"/>
      <c r="K774" s="144"/>
      <c r="L774" s="86"/>
      <c r="M774" s="86"/>
      <c r="N774" s="316"/>
      <c r="O774" s="86"/>
      <c r="P774" s="86"/>
      <c r="Q774" s="86"/>
      <c r="R774" s="86"/>
      <c r="S774" s="86"/>
      <c r="T774" s="86"/>
      <c r="U774" s="86"/>
      <c r="V774" s="86"/>
      <c r="W774" s="110"/>
      <c r="X774" s="110"/>
      <c r="Y774" s="110"/>
    </row>
    <row r="775" spans="1:25" s="104" customFormat="1" x14ac:dyDescent="0.2">
      <c r="A775" s="119"/>
      <c r="B775" s="136"/>
      <c r="C775" s="136"/>
      <c r="D775" s="137"/>
      <c r="E775" s="137"/>
      <c r="F775" s="138"/>
      <c r="G775" s="138"/>
      <c r="H775" s="116"/>
      <c r="I775" s="144"/>
      <c r="J775" s="144"/>
      <c r="K775" s="144"/>
      <c r="L775" s="86"/>
      <c r="M775" s="86"/>
      <c r="N775" s="316"/>
      <c r="O775" s="86"/>
      <c r="P775" s="86"/>
      <c r="Q775" s="86"/>
      <c r="R775" s="86"/>
      <c r="S775" s="86"/>
      <c r="T775" s="86"/>
      <c r="U775" s="86"/>
      <c r="V775" s="86"/>
      <c r="W775" s="110"/>
      <c r="X775" s="110"/>
      <c r="Y775" s="110"/>
    </row>
    <row r="776" spans="1:25" s="104" customFormat="1" x14ac:dyDescent="0.2">
      <c r="A776" s="119"/>
      <c r="B776" s="136"/>
      <c r="C776" s="136"/>
      <c r="D776" s="137"/>
      <c r="E776" s="137"/>
      <c r="F776" s="138"/>
      <c r="G776" s="138"/>
      <c r="H776" s="116"/>
      <c r="I776" s="144"/>
      <c r="J776" s="144"/>
      <c r="K776" s="144"/>
      <c r="L776" s="86"/>
      <c r="M776" s="86"/>
      <c r="N776" s="316"/>
      <c r="O776" s="86"/>
      <c r="P776" s="86"/>
      <c r="Q776" s="86"/>
      <c r="R776" s="86"/>
      <c r="S776" s="86"/>
      <c r="T776" s="86"/>
      <c r="U776" s="86"/>
      <c r="V776" s="86"/>
      <c r="W776" s="110"/>
      <c r="X776" s="110"/>
      <c r="Y776" s="110"/>
    </row>
    <row r="777" spans="1:25" s="104" customFormat="1" x14ac:dyDescent="0.2">
      <c r="A777" s="119"/>
      <c r="B777" s="136"/>
      <c r="C777" s="136"/>
      <c r="D777" s="136"/>
      <c r="E777" s="136"/>
      <c r="F777" s="136"/>
      <c r="G777" s="136"/>
      <c r="H777" s="119"/>
      <c r="I777" s="144"/>
      <c r="J777" s="144"/>
      <c r="K777" s="144"/>
      <c r="L777" s="111"/>
      <c r="M777" s="86"/>
      <c r="N777" s="316"/>
      <c r="O777" s="86"/>
      <c r="P777" s="86"/>
      <c r="Q777" s="86"/>
      <c r="R777" s="86"/>
      <c r="S777" s="86"/>
      <c r="T777" s="86"/>
      <c r="U777" s="86"/>
      <c r="V777" s="86"/>
      <c r="W777" s="110"/>
      <c r="X777" s="110"/>
      <c r="Y777" s="110"/>
    </row>
    <row r="778" spans="1:25" s="104" customFormat="1" x14ac:dyDescent="0.2">
      <c r="A778" s="119"/>
      <c r="B778" s="136"/>
      <c r="C778" s="136"/>
      <c r="D778" s="137"/>
      <c r="E778" s="137"/>
      <c r="F778" s="138"/>
      <c r="G778" s="138"/>
      <c r="H778" s="116"/>
      <c r="I778" s="144"/>
      <c r="J778" s="144"/>
      <c r="K778" s="144"/>
      <c r="L778" s="111"/>
      <c r="M778" s="86"/>
      <c r="N778" s="316"/>
      <c r="O778" s="86"/>
      <c r="P778" s="86"/>
      <c r="Q778" s="86"/>
      <c r="R778" s="86"/>
      <c r="S778" s="86"/>
      <c r="T778" s="86"/>
      <c r="U778" s="86"/>
      <c r="V778" s="86"/>
      <c r="W778" s="110"/>
      <c r="X778" s="110"/>
      <c r="Y778" s="110"/>
    </row>
    <row r="779" spans="1:25" s="104" customFormat="1" x14ac:dyDescent="0.2">
      <c r="A779" s="119"/>
      <c r="B779" s="136"/>
      <c r="C779" s="136"/>
      <c r="D779" s="137"/>
      <c r="E779" s="137"/>
      <c r="F779" s="138"/>
      <c r="G779" s="138"/>
      <c r="H779" s="116"/>
      <c r="I779" s="144"/>
      <c r="J779" s="144"/>
      <c r="K779" s="144"/>
      <c r="L779" s="86"/>
      <c r="M779" s="86"/>
      <c r="N779" s="316"/>
      <c r="O779" s="86"/>
      <c r="P779" s="86"/>
      <c r="Q779" s="86"/>
      <c r="R779" s="86"/>
      <c r="S779" s="86"/>
      <c r="T779" s="86"/>
      <c r="U779" s="86"/>
      <c r="V779" s="86"/>
      <c r="W779" s="110"/>
      <c r="X779" s="110"/>
      <c r="Y779" s="110"/>
    </row>
    <row r="780" spans="1:25" s="104" customFormat="1" x14ac:dyDescent="0.2">
      <c r="A780" s="119"/>
      <c r="B780" s="136"/>
      <c r="C780" s="136"/>
      <c r="D780" s="136"/>
      <c r="E780" s="136"/>
      <c r="F780" s="136"/>
      <c r="G780" s="136"/>
      <c r="H780" s="119"/>
      <c r="I780" s="144"/>
      <c r="J780" s="144"/>
      <c r="K780" s="144"/>
      <c r="L780" s="86"/>
      <c r="M780" s="86"/>
      <c r="N780" s="316"/>
      <c r="O780" s="86"/>
      <c r="P780" s="86"/>
      <c r="Q780" s="86"/>
      <c r="R780" s="86"/>
      <c r="S780" s="86"/>
      <c r="T780" s="86"/>
      <c r="U780" s="86"/>
      <c r="V780" s="86"/>
      <c r="W780" s="110"/>
      <c r="X780" s="110"/>
      <c r="Y780" s="110"/>
    </row>
    <row r="781" spans="1:25" s="104" customFormat="1" x14ac:dyDescent="0.2">
      <c r="A781" s="119"/>
      <c r="B781" s="136"/>
      <c r="C781" s="136"/>
      <c r="D781" s="137"/>
      <c r="E781" s="137"/>
      <c r="F781" s="138"/>
      <c r="G781" s="138"/>
      <c r="H781" s="116"/>
      <c r="I781" s="144"/>
      <c r="J781" s="144"/>
      <c r="K781" s="144"/>
      <c r="L781" s="86"/>
      <c r="M781" s="86"/>
      <c r="N781" s="316"/>
      <c r="O781" s="86"/>
      <c r="P781" s="86"/>
      <c r="Q781" s="86"/>
      <c r="R781" s="86"/>
      <c r="S781" s="86"/>
      <c r="T781" s="86"/>
      <c r="U781" s="86"/>
      <c r="V781" s="86"/>
      <c r="W781" s="110"/>
      <c r="X781" s="110"/>
      <c r="Y781" s="110"/>
    </row>
    <row r="782" spans="1:25" s="104" customFormat="1" x14ac:dyDescent="0.2">
      <c r="A782" s="119"/>
      <c r="B782" s="136"/>
      <c r="C782" s="136"/>
      <c r="D782" s="136"/>
      <c r="E782" s="136"/>
      <c r="F782" s="136"/>
      <c r="G782" s="136"/>
      <c r="H782" s="119"/>
      <c r="I782" s="144"/>
      <c r="J782" s="144"/>
      <c r="K782" s="144"/>
      <c r="L782" s="86"/>
      <c r="M782" s="86"/>
      <c r="N782" s="316"/>
      <c r="O782" s="86"/>
      <c r="P782" s="86"/>
      <c r="Q782" s="86"/>
      <c r="R782" s="86"/>
      <c r="S782" s="110"/>
      <c r="T782" s="111"/>
      <c r="U782" s="86"/>
      <c r="V782" s="86"/>
      <c r="W782" s="110"/>
      <c r="X782" s="110"/>
      <c r="Y782" s="110"/>
    </row>
    <row r="783" spans="1:25" s="104" customFormat="1" x14ac:dyDescent="0.2">
      <c r="A783" s="119"/>
      <c r="B783" s="136"/>
      <c r="C783" s="136"/>
      <c r="D783" s="137"/>
      <c r="E783" s="137"/>
      <c r="F783" s="138"/>
      <c r="G783" s="138"/>
      <c r="H783" s="116"/>
      <c r="I783" s="144"/>
      <c r="J783" s="144"/>
      <c r="K783" s="144"/>
      <c r="L783" s="86"/>
      <c r="M783" s="86"/>
      <c r="N783" s="316"/>
      <c r="O783" s="86"/>
      <c r="P783" s="86"/>
      <c r="Q783" s="86"/>
      <c r="R783" s="86"/>
      <c r="S783" s="110"/>
      <c r="T783" s="111"/>
      <c r="U783" s="86"/>
      <c r="V783" s="86"/>
      <c r="W783" s="110"/>
      <c r="X783" s="110"/>
      <c r="Y783" s="110"/>
    </row>
    <row r="784" spans="1:25" s="104" customFormat="1" x14ac:dyDescent="0.2">
      <c r="A784" s="119"/>
      <c r="B784" s="136"/>
      <c r="C784" s="136"/>
      <c r="D784" s="137"/>
      <c r="E784" s="137"/>
      <c r="F784" s="138"/>
      <c r="G784" s="138"/>
      <c r="H784" s="116"/>
      <c r="I784" s="144"/>
      <c r="J784" s="144"/>
      <c r="K784" s="144"/>
      <c r="L784" s="86"/>
      <c r="M784" s="86"/>
      <c r="N784" s="316"/>
      <c r="O784" s="86"/>
      <c r="P784" s="86"/>
      <c r="Q784" s="86"/>
      <c r="R784" s="86"/>
      <c r="S784" s="110"/>
      <c r="T784" s="111"/>
      <c r="U784" s="86"/>
      <c r="V784" s="86"/>
      <c r="W784" s="110"/>
      <c r="X784" s="110"/>
      <c r="Y784" s="110"/>
    </row>
    <row r="785" spans="1:28" x14ac:dyDescent="0.2">
      <c r="A785" s="119"/>
      <c r="B785" s="136"/>
      <c r="C785" s="136"/>
      <c r="D785" s="137"/>
      <c r="E785" s="137"/>
      <c r="F785" s="138"/>
      <c r="G785" s="138"/>
      <c r="H785" s="116"/>
      <c r="I785" s="144"/>
      <c r="J785" s="144"/>
      <c r="K785" s="144"/>
      <c r="L785" s="86"/>
      <c r="M785" s="86"/>
      <c r="N785" s="316"/>
      <c r="O785" s="86"/>
      <c r="P785" s="86"/>
      <c r="Q785" s="86"/>
      <c r="R785" s="86"/>
      <c r="S785" s="86"/>
      <c r="T785" s="86"/>
      <c r="U785" s="86"/>
      <c r="V785" s="86"/>
      <c r="W785" s="110"/>
      <c r="X785" s="110"/>
      <c r="Y785" s="110"/>
      <c r="Z785" s="104"/>
      <c r="AA785" s="104"/>
    </row>
    <row r="786" spans="1:28" x14ac:dyDescent="0.2">
      <c r="A786" s="119"/>
      <c r="B786" s="136"/>
      <c r="C786" s="136"/>
      <c r="D786" s="137"/>
      <c r="E786" s="137"/>
      <c r="F786" s="138"/>
      <c r="G786" s="138"/>
      <c r="H786" s="116"/>
      <c r="I786" s="144"/>
      <c r="J786" s="144"/>
      <c r="K786" s="144"/>
      <c r="L786" s="86"/>
      <c r="M786" s="86"/>
      <c r="N786" s="316"/>
      <c r="O786" s="86"/>
      <c r="P786" s="86"/>
      <c r="Q786" s="86"/>
      <c r="R786" s="86"/>
      <c r="S786" s="86"/>
      <c r="T786" s="86"/>
      <c r="U786" s="86"/>
      <c r="V786" s="86"/>
      <c r="W786" s="110"/>
      <c r="X786" s="110"/>
      <c r="Y786" s="110"/>
      <c r="Z786" s="104"/>
      <c r="AA786" s="104"/>
    </row>
    <row r="787" spans="1:28" x14ac:dyDescent="0.2">
      <c r="A787" s="119"/>
      <c r="B787" s="136"/>
      <c r="C787" s="136"/>
      <c r="D787" s="137"/>
      <c r="E787" s="137"/>
      <c r="F787" s="138"/>
      <c r="G787" s="138"/>
      <c r="H787" s="116"/>
      <c r="I787" s="144"/>
      <c r="J787" s="144"/>
      <c r="K787" s="144"/>
      <c r="L787" s="86"/>
      <c r="M787" s="86"/>
      <c r="N787" s="316"/>
      <c r="O787" s="86"/>
      <c r="P787" s="86"/>
      <c r="Q787" s="86"/>
      <c r="R787" s="86"/>
      <c r="S787" s="86"/>
      <c r="T787" s="86"/>
      <c r="U787" s="86"/>
      <c r="V787" s="86"/>
      <c r="W787" s="110"/>
      <c r="X787" s="110"/>
      <c r="Y787" s="110"/>
      <c r="Z787" s="104"/>
      <c r="AA787" s="104"/>
    </row>
    <row r="788" spans="1:28" x14ac:dyDescent="0.2">
      <c r="A788" s="119"/>
      <c r="B788" s="136"/>
      <c r="C788" s="136"/>
      <c r="D788" s="137"/>
      <c r="E788" s="137"/>
      <c r="F788" s="138"/>
      <c r="G788" s="138"/>
      <c r="H788" s="116"/>
      <c r="I788" s="144"/>
      <c r="J788" s="144"/>
      <c r="K788" s="144"/>
      <c r="L788" s="86"/>
      <c r="M788" s="86"/>
      <c r="N788" s="316"/>
      <c r="O788" s="86"/>
      <c r="P788" s="86"/>
      <c r="Q788" s="86"/>
      <c r="R788" s="86"/>
      <c r="S788" s="86"/>
      <c r="T788" s="86"/>
      <c r="U788" s="86"/>
      <c r="V788" s="86"/>
      <c r="W788" s="110"/>
      <c r="X788" s="110"/>
      <c r="Y788" s="110"/>
      <c r="Z788" s="104"/>
      <c r="AA788" s="104"/>
    </row>
    <row r="789" spans="1:28" x14ac:dyDescent="0.2">
      <c r="A789" s="121"/>
      <c r="B789" s="139"/>
      <c r="C789" s="139"/>
      <c r="D789" s="139"/>
      <c r="E789" s="139"/>
      <c r="F789" s="139"/>
      <c r="G789" s="139"/>
      <c r="H789" s="121"/>
      <c r="I789" s="143"/>
      <c r="J789" s="143"/>
      <c r="K789" s="143"/>
      <c r="L789" s="106"/>
      <c r="M789" s="106"/>
      <c r="N789" s="315"/>
      <c r="O789" s="106"/>
      <c r="P789" s="106"/>
      <c r="Q789" s="106"/>
      <c r="R789" s="106"/>
      <c r="S789" s="106"/>
      <c r="T789" s="106"/>
      <c r="U789" s="107"/>
      <c r="V789" s="107"/>
      <c r="W789" s="107"/>
      <c r="X789" s="107"/>
      <c r="Y789" s="109"/>
      <c r="AB789" s="103"/>
    </row>
    <row r="790" spans="1:28" x14ac:dyDescent="0.2">
      <c r="A790" s="121"/>
      <c r="B790" s="139"/>
      <c r="C790" s="139"/>
      <c r="D790" s="140"/>
      <c r="E790" s="139"/>
      <c r="F790" s="139"/>
      <c r="G790" s="139"/>
      <c r="H790" s="121"/>
      <c r="I790" s="143"/>
      <c r="J790" s="143"/>
      <c r="K790" s="143"/>
      <c r="L790" s="106"/>
      <c r="M790" s="106"/>
      <c r="N790" s="315"/>
      <c r="O790" s="106"/>
      <c r="P790" s="106"/>
      <c r="Q790" s="106"/>
      <c r="R790" s="106"/>
      <c r="S790" s="106"/>
      <c r="T790" s="106"/>
      <c r="U790" s="107"/>
      <c r="V790" s="107"/>
      <c r="W790" s="107"/>
      <c r="X790" s="107"/>
      <c r="Y790" s="107"/>
      <c r="Z790" s="104"/>
      <c r="AA790" s="104"/>
    </row>
    <row r="791" spans="1:28" x14ac:dyDescent="0.2">
      <c r="A791" s="119"/>
      <c r="B791" s="136"/>
      <c r="C791" s="136"/>
      <c r="D791" s="136"/>
      <c r="E791" s="136"/>
      <c r="F791" s="136"/>
      <c r="G791" s="136"/>
      <c r="H791" s="119"/>
      <c r="I791" s="144"/>
      <c r="J791" s="144"/>
      <c r="K791" s="144"/>
      <c r="L791" s="86"/>
      <c r="M791" s="86"/>
      <c r="N791" s="316"/>
      <c r="O791" s="86"/>
      <c r="P791" s="86"/>
      <c r="Q791" s="86"/>
      <c r="R791" s="86"/>
      <c r="S791" s="86"/>
      <c r="T791" s="86"/>
      <c r="U791" s="110"/>
      <c r="V791" s="110"/>
      <c r="W791" s="110"/>
      <c r="X791" s="110"/>
      <c r="Y791" s="110"/>
      <c r="Z791" s="104"/>
      <c r="AA791" s="104"/>
    </row>
    <row r="792" spans="1:28" x14ac:dyDescent="0.2">
      <c r="A792" s="113"/>
      <c r="B792" s="141"/>
      <c r="C792" s="141"/>
      <c r="D792" s="137"/>
      <c r="E792" s="137"/>
      <c r="F792" s="138"/>
      <c r="G792" s="138"/>
      <c r="H792" s="112"/>
      <c r="I792" s="144"/>
      <c r="J792" s="144"/>
      <c r="K792" s="144"/>
      <c r="L792" s="86"/>
      <c r="M792" s="86"/>
      <c r="N792" s="316"/>
      <c r="O792" s="86"/>
      <c r="P792" s="86"/>
      <c r="Q792" s="86"/>
      <c r="R792" s="86"/>
      <c r="S792" s="86"/>
      <c r="T792" s="86"/>
      <c r="U792" s="110"/>
      <c r="V792" s="110"/>
      <c r="W792" s="110"/>
      <c r="X792" s="110"/>
      <c r="Y792" s="110"/>
      <c r="Z792" s="104"/>
      <c r="AA792" s="104"/>
    </row>
    <row r="793" spans="1:28" x14ac:dyDescent="0.2">
      <c r="A793" s="121"/>
      <c r="B793" s="139"/>
      <c r="C793" s="139"/>
      <c r="D793" s="140"/>
      <c r="E793" s="139"/>
      <c r="F793" s="139"/>
      <c r="G793" s="139"/>
      <c r="H793" s="121"/>
      <c r="I793" s="143"/>
      <c r="J793" s="143"/>
      <c r="K793" s="143"/>
      <c r="L793" s="106"/>
      <c r="M793" s="106"/>
      <c r="N793" s="315"/>
      <c r="O793" s="106"/>
      <c r="P793" s="106"/>
      <c r="Q793" s="106"/>
      <c r="R793" s="106"/>
      <c r="S793" s="106"/>
      <c r="T793" s="106"/>
      <c r="U793" s="114"/>
      <c r="V793" s="108"/>
      <c r="W793" s="114"/>
      <c r="X793" s="114"/>
      <c r="Y793" s="114"/>
      <c r="Z793" s="104"/>
      <c r="AA793" s="104"/>
    </row>
    <row r="794" spans="1:28" x14ac:dyDescent="0.2">
      <c r="A794" s="119"/>
      <c r="B794" s="136"/>
      <c r="C794" s="136"/>
      <c r="D794" s="136"/>
      <c r="E794" s="136"/>
      <c r="F794" s="136"/>
      <c r="G794" s="136"/>
      <c r="H794" s="119"/>
      <c r="I794" s="144"/>
      <c r="J794" s="144"/>
      <c r="K794" s="144"/>
      <c r="L794" s="86"/>
      <c r="M794" s="86"/>
      <c r="N794" s="316"/>
      <c r="O794" s="86"/>
      <c r="P794" s="86"/>
      <c r="Q794" s="86"/>
      <c r="R794" s="86"/>
      <c r="S794" s="86"/>
      <c r="T794" s="86"/>
      <c r="U794" s="115"/>
      <c r="V794" s="111"/>
      <c r="W794" s="115"/>
      <c r="X794" s="115"/>
      <c r="Y794" s="115"/>
      <c r="Z794" s="104"/>
      <c r="AA794" s="104"/>
    </row>
    <row r="795" spans="1:28" x14ac:dyDescent="0.2">
      <c r="A795" s="113"/>
      <c r="B795" s="141"/>
      <c r="C795" s="141"/>
      <c r="D795" s="138"/>
      <c r="E795" s="137"/>
      <c r="F795" s="138"/>
      <c r="G795" s="138"/>
      <c r="H795" s="112"/>
      <c r="I795" s="144"/>
      <c r="J795" s="144"/>
      <c r="K795" s="144"/>
      <c r="L795" s="86"/>
      <c r="M795" s="86"/>
      <c r="N795" s="316"/>
      <c r="O795" s="86"/>
      <c r="P795" s="86"/>
      <c r="Q795" s="86"/>
      <c r="R795" s="86"/>
      <c r="S795" s="86"/>
      <c r="T795" s="86"/>
      <c r="U795" s="115"/>
      <c r="V795" s="111"/>
      <c r="W795" s="115"/>
      <c r="X795" s="115"/>
      <c r="Y795" s="115"/>
      <c r="Z795" s="104"/>
      <c r="AA795" s="104"/>
    </row>
    <row r="796" spans="1:28" x14ac:dyDescent="0.2">
      <c r="A796" s="121"/>
      <c r="B796" s="139"/>
      <c r="C796" s="139"/>
      <c r="D796" s="139"/>
      <c r="E796" s="139"/>
      <c r="F796" s="139"/>
      <c r="G796" s="139"/>
      <c r="H796" s="121"/>
      <c r="I796" s="143"/>
      <c r="J796" s="143"/>
      <c r="K796" s="143"/>
      <c r="L796" s="106"/>
      <c r="M796" s="106"/>
      <c r="N796" s="315"/>
      <c r="O796" s="106"/>
      <c r="P796" s="106"/>
      <c r="Q796" s="106"/>
      <c r="R796" s="106"/>
      <c r="S796" s="106"/>
      <c r="T796" s="106"/>
      <c r="U796" s="107"/>
      <c r="V796" s="107"/>
      <c r="W796" s="107"/>
      <c r="X796" s="107"/>
      <c r="Y796" s="109"/>
      <c r="AB796" s="103"/>
    </row>
    <row r="797" spans="1:28" x14ac:dyDescent="0.2">
      <c r="A797" s="121"/>
      <c r="B797" s="139"/>
      <c r="C797" s="139"/>
      <c r="D797" s="140"/>
      <c r="E797" s="139"/>
      <c r="F797" s="139"/>
      <c r="G797" s="139"/>
      <c r="H797" s="121"/>
      <c r="I797" s="143"/>
      <c r="J797" s="143"/>
      <c r="K797" s="143"/>
      <c r="L797" s="106"/>
      <c r="M797" s="106"/>
      <c r="N797" s="315"/>
      <c r="O797" s="106"/>
      <c r="P797" s="106"/>
      <c r="Q797" s="106"/>
      <c r="R797" s="106"/>
      <c r="S797" s="106"/>
      <c r="T797" s="106"/>
      <c r="U797" s="107"/>
      <c r="V797" s="107"/>
      <c r="W797" s="107"/>
      <c r="X797" s="107"/>
      <c r="Y797" s="107"/>
      <c r="Z797" s="104"/>
      <c r="AA797" s="104"/>
    </row>
    <row r="798" spans="1:28" x14ac:dyDescent="0.2">
      <c r="A798" s="119"/>
      <c r="B798" s="136"/>
      <c r="C798" s="136"/>
      <c r="D798" s="136"/>
      <c r="E798" s="136"/>
      <c r="F798" s="136"/>
      <c r="G798" s="136"/>
      <c r="H798" s="119"/>
      <c r="I798" s="144"/>
      <c r="J798" s="144"/>
      <c r="K798" s="144"/>
      <c r="L798" s="86"/>
      <c r="M798" s="86"/>
      <c r="N798" s="316"/>
      <c r="O798" s="86"/>
      <c r="P798" s="86"/>
      <c r="Q798" s="86"/>
      <c r="R798" s="86"/>
      <c r="S798" s="86"/>
      <c r="T798" s="86"/>
      <c r="U798" s="110"/>
      <c r="V798" s="110"/>
      <c r="W798" s="110"/>
      <c r="X798" s="110"/>
      <c r="Y798" s="110"/>
      <c r="Z798" s="104"/>
      <c r="AA798" s="104"/>
    </row>
    <row r="799" spans="1:28" x14ac:dyDescent="0.2">
      <c r="A799" s="113"/>
      <c r="B799" s="141"/>
      <c r="C799" s="141"/>
      <c r="D799" s="137"/>
      <c r="E799" s="137"/>
      <c r="F799" s="138"/>
      <c r="G799" s="138"/>
      <c r="H799" s="112"/>
      <c r="I799" s="144"/>
      <c r="J799" s="144"/>
      <c r="K799" s="144"/>
      <c r="L799" s="86"/>
      <c r="M799" s="86"/>
      <c r="N799" s="316"/>
      <c r="O799" s="86"/>
      <c r="P799" s="86"/>
      <c r="Q799" s="86"/>
      <c r="R799" s="86"/>
      <c r="S799" s="86"/>
      <c r="T799" s="86"/>
      <c r="U799" s="110"/>
      <c r="V799" s="110"/>
      <c r="W799" s="110"/>
      <c r="X799" s="110"/>
      <c r="Y799" s="110"/>
      <c r="Z799" s="104"/>
      <c r="AA799" s="104"/>
    </row>
    <row r="800" spans="1:28" x14ac:dyDescent="0.2">
      <c r="A800" s="121"/>
      <c r="B800" s="139"/>
      <c r="C800" s="139"/>
      <c r="D800" s="140"/>
      <c r="E800" s="139"/>
      <c r="F800" s="139"/>
      <c r="G800" s="139"/>
      <c r="H800" s="121"/>
      <c r="I800" s="143"/>
      <c r="J800" s="143"/>
      <c r="K800" s="143"/>
      <c r="L800" s="106"/>
      <c r="M800" s="106"/>
      <c r="N800" s="315"/>
      <c r="O800" s="106"/>
      <c r="P800" s="106"/>
      <c r="Q800" s="106"/>
      <c r="R800" s="106"/>
      <c r="S800" s="106"/>
      <c r="T800" s="106"/>
      <c r="U800" s="107"/>
      <c r="V800" s="107"/>
      <c r="W800" s="107"/>
      <c r="X800" s="107"/>
      <c r="Y800" s="107"/>
      <c r="Z800" s="104"/>
      <c r="AA800" s="104"/>
    </row>
    <row r="801" spans="1:28" x14ac:dyDescent="0.2">
      <c r="A801" s="119"/>
      <c r="B801" s="136"/>
      <c r="C801" s="136"/>
      <c r="D801" s="136"/>
      <c r="E801" s="136"/>
      <c r="F801" s="136"/>
      <c r="G801" s="136"/>
      <c r="H801" s="119"/>
      <c r="I801" s="144"/>
      <c r="J801" s="144"/>
      <c r="K801" s="144"/>
      <c r="L801" s="86"/>
      <c r="M801" s="86"/>
      <c r="N801" s="316"/>
      <c r="O801" s="86"/>
      <c r="P801" s="86"/>
      <c r="Q801" s="86"/>
      <c r="R801" s="86"/>
      <c r="S801" s="86"/>
      <c r="T801" s="86"/>
      <c r="U801" s="110"/>
      <c r="V801" s="110"/>
      <c r="W801" s="110"/>
      <c r="X801" s="110"/>
      <c r="Y801" s="110"/>
      <c r="Z801" s="104"/>
      <c r="AA801" s="104"/>
    </row>
    <row r="802" spans="1:28" x14ac:dyDescent="0.2">
      <c r="A802" s="113"/>
      <c r="B802" s="141"/>
      <c r="C802" s="141"/>
      <c r="D802" s="137"/>
      <c r="E802" s="137"/>
      <c r="F802" s="138"/>
      <c r="G802" s="138"/>
      <c r="H802" s="112"/>
      <c r="I802" s="144"/>
      <c r="J802" s="144"/>
      <c r="K802" s="144"/>
      <c r="L802" s="86"/>
      <c r="M802" s="86"/>
      <c r="N802" s="316"/>
      <c r="O802" s="86"/>
      <c r="P802" s="86"/>
      <c r="Q802" s="86"/>
      <c r="R802" s="86"/>
      <c r="S802" s="86"/>
      <c r="T802" s="86"/>
      <c r="U802" s="110"/>
      <c r="V802" s="110"/>
      <c r="W802" s="110"/>
      <c r="X802" s="110"/>
      <c r="Y802" s="110"/>
      <c r="Z802" s="104"/>
      <c r="AA802" s="104"/>
    </row>
    <row r="803" spans="1:28" x14ac:dyDescent="0.2">
      <c r="A803" s="121"/>
      <c r="B803" s="139"/>
      <c r="C803" s="139"/>
      <c r="D803" s="140"/>
      <c r="E803" s="139"/>
      <c r="F803" s="139"/>
      <c r="G803" s="139"/>
      <c r="H803" s="121"/>
      <c r="I803" s="143"/>
      <c r="J803" s="143"/>
      <c r="K803" s="143"/>
      <c r="L803" s="106"/>
      <c r="M803" s="106"/>
      <c r="N803" s="315"/>
      <c r="O803" s="106"/>
      <c r="P803" s="106"/>
      <c r="Q803" s="106"/>
      <c r="R803" s="106"/>
      <c r="S803" s="106"/>
      <c r="T803" s="106"/>
      <c r="U803" s="107"/>
      <c r="V803" s="107"/>
      <c r="W803" s="107"/>
      <c r="X803" s="107"/>
      <c r="Y803" s="107"/>
      <c r="Z803" s="104"/>
      <c r="AA803" s="104"/>
    </row>
    <row r="804" spans="1:28" x14ac:dyDescent="0.2">
      <c r="A804" s="119"/>
      <c r="B804" s="136"/>
      <c r="C804" s="136"/>
      <c r="D804" s="136"/>
      <c r="E804" s="136"/>
      <c r="F804" s="136"/>
      <c r="G804" s="136"/>
      <c r="H804" s="119"/>
      <c r="I804" s="144"/>
      <c r="J804" s="144"/>
      <c r="K804" s="144"/>
      <c r="L804" s="86"/>
      <c r="M804" s="86"/>
      <c r="N804" s="316"/>
      <c r="O804" s="86"/>
      <c r="P804" s="86"/>
      <c r="Q804" s="86"/>
      <c r="R804" s="86"/>
      <c r="S804" s="86"/>
      <c r="T804" s="86"/>
      <c r="U804" s="110"/>
      <c r="V804" s="110"/>
      <c r="W804" s="110"/>
      <c r="X804" s="110"/>
      <c r="Y804" s="110"/>
      <c r="Z804" s="104"/>
      <c r="AA804" s="104"/>
    </row>
    <row r="805" spans="1:28" x14ac:dyDescent="0.2">
      <c r="A805" s="113"/>
      <c r="B805" s="141"/>
      <c r="C805" s="141"/>
      <c r="D805" s="137"/>
      <c r="E805" s="137"/>
      <c r="F805" s="138"/>
      <c r="G805" s="138"/>
      <c r="H805" s="112"/>
      <c r="I805" s="144"/>
      <c r="J805" s="144"/>
      <c r="K805" s="144"/>
      <c r="L805" s="86"/>
      <c r="M805" s="86"/>
      <c r="N805" s="316"/>
      <c r="O805" s="86"/>
      <c r="P805" s="86"/>
      <c r="Q805" s="86"/>
      <c r="R805" s="86"/>
      <c r="S805" s="86"/>
      <c r="T805" s="86"/>
      <c r="U805" s="110"/>
      <c r="V805" s="110"/>
      <c r="W805" s="110"/>
      <c r="X805" s="110"/>
      <c r="Y805" s="110"/>
      <c r="Z805" s="104"/>
      <c r="AA805" s="104"/>
    </row>
    <row r="806" spans="1:28" x14ac:dyDescent="0.2">
      <c r="A806" s="121"/>
      <c r="B806" s="139"/>
      <c r="C806" s="139"/>
      <c r="D806" s="140"/>
      <c r="E806" s="139"/>
      <c r="F806" s="139"/>
      <c r="G806" s="139"/>
      <c r="H806" s="121"/>
      <c r="I806" s="143"/>
      <c r="J806" s="143"/>
      <c r="K806" s="143"/>
      <c r="L806" s="106"/>
      <c r="M806" s="106"/>
      <c r="N806" s="315"/>
      <c r="O806" s="106"/>
      <c r="P806" s="106"/>
      <c r="Q806" s="106"/>
      <c r="R806" s="106"/>
      <c r="S806" s="106"/>
      <c r="T806" s="106"/>
      <c r="U806" s="107"/>
      <c r="V806" s="114"/>
      <c r="W806" s="107"/>
      <c r="X806" s="107"/>
      <c r="Y806" s="107"/>
      <c r="Z806" s="104"/>
      <c r="AA806" s="104"/>
    </row>
    <row r="807" spans="1:28" x14ac:dyDescent="0.2">
      <c r="A807" s="119"/>
      <c r="B807" s="136"/>
      <c r="C807" s="136"/>
      <c r="D807" s="136"/>
      <c r="E807" s="136"/>
      <c r="F807" s="136"/>
      <c r="G807" s="136"/>
      <c r="H807" s="119"/>
      <c r="I807" s="144"/>
      <c r="J807" s="144"/>
      <c r="K807" s="144"/>
      <c r="L807" s="86"/>
      <c r="M807" s="86"/>
      <c r="N807" s="316"/>
      <c r="O807" s="86"/>
      <c r="P807" s="86"/>
      <c r="Q807" s="86"/>
      <c r="R807" s="86"/>
      <c r="S807" s="86"/>
      <c r="T807" s="86"/>
      <c r="U807" s="110"/>
      <c r="V807" s="115"/>
      <c r="W807" s="110"/>
      <c r="X807" s="110"/>
      <c r="Y807" s="110"/>
      <c r="Z807" s="104"/>
      <c r="AA807" s="104"/>
    </row>
    <row r="808" spans="1:28" x14ac:dyDescent="0.2">
      <c r="A808" s="113"/>
      <c r="B808" s="141"/>
      <c r="C808" s="141"/>
      <c r="D808" s="137"/>
      <c r="E808" s="137"/>
      <c r="F808" s="138"/>
      <c r="G808" s="138"/>
      <c r="H808" s="112"/>
      <c r="I808" s="144"/>
      <c r="J808" s="144"/>
      <c r="K808" s="144"/>
      <c r="L808" s="86"/>
      <c r="M808" s="86"/>
      <c r="N808" s="316"/>
      <c r="O808" s="86"/>
      <c r="P808" s="86"/>
      <c r="Q808" s="86"/>
      <c r="R808" s="86"/>
      <c r="S808" s="86"/>
      <c r="T808" s="86"/>
      <c r="U808" s="110"/>
      <c r="V808" s="115"/>
      <c r="W808" s="110"/>
      <c r="X808" s="110"/>
      <c r="Y808" s="110"/>
      <c r="Z808" s="104"/>
      <c r="AA808" s="104"/>
    </row>
    <row r="809" spans="1:28" x14ac:dyDescent="0.2">
      <c r="A809" s="121"/>
      <c r="B809" s="139"/>
      <c r="C809" s="139"/>
      <c r="D809" s="140"/>
      <c r="E809" s="139"/>
      <c r="F809" s="139"/>
      <c r="G809" s="139"/>
      <c r="H809" s="121"/>
      <c r="I809" s="143"/>
      <c r="J809" s="143"/>
      <c r="K809" s="143"/>
      <c r="L809" s="106"/>
      <c r="M809" s="106"/>
      <c r="N809" s="315"/>
      <c r="O809" s="106"/>
      <c r="P809" s="106"/>
      <c r="Q809" s="106"/>
      <c r="R809" s="106"/>
      <c r="S809" s="106"/>
      <c r="T809" s="106"/>
      <c r="U809" s="107"/>
      <c r="V809" s="114"/>
      <c r="W809" s="107"/>
      <c r="X809" s="107"/>
      <c r="Y809" s="107"/>
      <c r="Z809" s="104"/>
      <c r="AA809" s="104"/>
    </row>
    <row r="810" spans="1:28" x14ac:dyDescent="0.2">
      <c r="A810" s="119"/>
      <c r="B810" s="136"/>
      <c r="C810" s="136"/>
      <c r="D810" s="136"/>
      <c r="E810" s="136"/>
      <c r="F810" s="136"/>
      <c r="G810" s="136"/>
      <c r="H810" s="119"/>
      <c r="I810" s="144"/>
      <c r="J810" s="144"/>
      <c r="K810" s="144"/>
      <c r="L810" s="86"/>
      <c r="M810" s="86"/>
      <c r="N810" s="316"/>
      <c r="O810" s="86"/>
      <c r="P810" s="86"/>
      <c r="Q810" s="86"/>
      <c r="R810" s="86"/>
      <c r="S810" s="86"/>
      <c r="T810" s="86"/>
      <c r="U810" s="110"/>
      <c r="V810" s="115"/>
      <c r="W810" s="110"/>
      <c r="X810" s="110"/>
      <c r="Y810" s="110"/>
      <c r="Z810" s="104"/>
      <c r="AA810" s="104"/>
    </row>
    <row r="811" spans="1:28" x14ac:dyDescent="0.2">
      <c r="A811" s="113"/>
      <c r="B811" s="141"/>
      <c r="C811" s="141"/>
      <c r="D811" s="137"/>
      <c r="E811" s="137"/>
      <c r="F811" s="138"/>
      <c r="G811" s="138"/>
      <c r="H811" s="112"/>
      <c r="I811" s="144"/>
      <c r="J811" s="144"/>
      <c r="K811" s="144"/>
      <c r="L811" s="86"/>
      <c r="M811" s="86"/>
      <c r="N811" s="316"/>
      <c r="O811" s="86"/>
      <c r="P811" s="86"/>
      <c r="Q811" s="86"/>
      <c r="R811" s="86"/>
      <c r="S811" s="86"/>
      <c r="T811" s="86"/>
      <c r="U811" s="110"/>
      <c r="V811" s="115"/>
      <c r="W811" s="110"/>
      <c r="X811" s="110"/>
      <c r="Y811" s="110"/>
      <c r="Z811" s="104"/>
      <c r="AA811" s="104"/>
    </row>
    <row r="812" spans="1:28" x14ac:dyDescent="0.2">
      <c r="A812" s="121"/>
      <c r="B812" s="139"/>
      <c r="C812" s="139"/>
      <c r="D812" s="139"/>
      <c r="E812" s="139"/>
      <c r="F812" s="139"/>
      <c r="G812" s="139"/>
      <c r="H812" s="121"/>
      <c r="I812" s="143"/>
      <c r="J812" s="143"/>
      <c r="K812" s="143"/>
      <c r="L812" s="106"/>
      <c r="M812" s="106"/>
      <c r="N812" s="315"/>
      <c r="O812" s="106"/>
      <c r="P812" s="106"/>
      <c r="Q812" s="106"/>
      <c r="R812" s="106"/>
      <c r="S812" s="107"/>
      <c r="T812" s="108"/>
      <c r="U812" s="106"/>
      <c r="V812" s="106"/>
      <c r="W812" s="107"/>
      <c r="X812" s="107"/>
      <c r="Y812" s="109"/>
      <c r="AB812" s="103"/>
    </row>
    <row r="813" spans="1:28" x14ac:dyDescent="0.2">
      <c r="A813" s="121"/>
      <c r="B813" s="139"/>
      <c r="C813" s="139"/>
      <c r="D813" s="140"/>
      <c r="E813" s="139"/>
      <c r="F813" s="139"/>
      <c r="G813" s="139"/>
      <c r="H813" s="121"/>
      <c r="I813" s="143"/>
      <c r="J813" s="143"/>
      <c r="K813" s="143"/>
      <c r="L813" s="106"/>
      <c r="M813" s="106"/>
      <c r="N813" s="315"/>
      <c r="O813" s="106"/>
      <c r="P813" s="106"/>
      <c r="Q813" s="106"/>
      <c r="R813" s="106"/>
      <c r="S813" s="107"/>
      <c r="T813" s="108"/>
      <c r="U813" s="106"/>
      <c r="V813" s="106"/>
      <c r="W813" s="107"/>
      <c r="X813" s="107"/>
      <c r="Y813" s="107"/>
      <c r="Z813" s="104"/>
      <c r="AA813" s="104"/>
    </row>
    <row r="814" spans="1:28" x14ac:dyDescent="0.2">
      <c r="A814" s="119"/>
      <c r="B814" s="136"/>
      <c r="C814" s="136"/>
      <c r="D814" s="136"/>
      <c r="E814" s="136"/>
      <c r="F814" s="136"/>
      <c r="G814" s="136"/>
      <c r="H814" s="119"/>
      <c r="I814" s="144"/>
      <c r="J814" s="144"/>
      <c r="K814" s="144"/>
      <c r="L814" s="86"/>
      <c r="M814" s="86"/>
      <c r="N814" s="316"/>
      <c r="O814" s="86"/>
      <c r="P814" s="86"/>
      <c r="Q814" s="86"/>
      <c r="R814" s="86"/>
      <c r="S814" s="110"/>
      <c r="T814" s="111"/>
      <c r="U814" s="86"/>
      <c r="V814" s="86"/>
      <c r="W814" s="110"/>
      <c r="X814" s="110"/>
      <c r="Y814" s="110"/>
      <c r="Z814" s="104"/>
      <c r="AA814" s="104"/>
    </row>
    <row r="815" spans="1:28" x14ac:dyDescent="0.2">
      <c r="A815" s="119"/>
      <c r="B815" s="136"/>
      <c r="C815" s="136"/>
      <c r="D815" s="137"/>
      <c r="E815" s="137"/>
      <c r="F815" s="138"/>
      <c r="G815" s="138"/>
      <c r="H815" s="112"/>
      <c r="I815" s="144"/>
      <c r="J815" s="144"/>
      <c r="K815" s="144"/>
      <c r="L815" s="86"/>
      <c r="M815" s="86"/>
      <c r="N815" s="316"/>
      <c r="O815" s="86"/>
      <c r="P815" s="86"/>
      <c r="Q815" s="86"/>
      <c r="R815" s="86"/>
      <c r="S815" s="110"/>
      <c r="T815" s="111"/>
      <c r="U815" s="86"/>
      <c r="V815" s="86"/>
      <c r="W815" s="110"/>
      <c r="X815" s="110"/>
      <c r="Y815" s="110"/>
      <c r="Z815" s="104"/>
      <c r="AA815" s="104"/>
    </row>
    <row r="816" spans="1:28" x14ac:dyDescent="0.2">
      <c r="A816" s="119"/>
      <c r="B816" s="136"/>
      <c r="C816" s="136"/>
      <c r="D816" s="137"/>
      <c r="E816" s="137"/>
      <c r="F816" s="138"/>
      <c r="G816" s="138"/>
      <c r="H816" s="112"/>
      <c r="I816" s="144"/>
      <c r="J816" s="144"/>
      <c r="K816" s="144"/>
      <c r="L816" s="86"/>
      <c r="M816" s="86"/>
      <c r="N816" s="316"/>
      <c r="O816" s="86"/>
      <c r="P816" s="86"/>
      <c r="Q816" s="86"/>
      <c r="R816" s="86"/>
      <c r="S816" s="110"/>
      <c r="T816" s="111"/>
      <c r="U816" s="86"/>
      <c r="V816" s="86"/>
      <c r="W816" s="110"/>
      <c r="X816" s="110"/>
      <c r="Y816" s="110"/>
      <c r="Z816" s="104"/>
      <c r="AA816" s="104"/>
    </row>
    <row r="817" spans="1:28" x14ac:dyDescent="0.2">
      <c r="A817" s="119"/>
      <c r="B817" s="136"/>
      <c r="C817" s="136"/>
      <c r="D817" s="137"/>
      <c r="E817" s="137"/>
      <c r="F817" s="138"/>
      <c r="G817" s="138"/>
      <c r="H817" s="112"/>
      <c r="I817" s="144"/>
      <c r="J817" s="144"/>
      <c r="K817" s="144"/>
      <c r="L817" s="86"/>
      <c r="M817" s="86"/>
      <c r="N817" s="316"/>
      <c r="O817" s="86"/>
      <c r="P817" s="86"/>
      <c r="Q817" s="86"/>
      <c r="R817" s="86"/>
      <c r="S817" s="110"/>
      <c r="T817" s="111"/>
      <c r="U817" s="86"/>
      <c r="V817" s="86"/>
      <c r="W817" s="110"/>
      <c r="X817" s="110"/>
      <c r="Y817" s="110"/>
      <c r="Z817" s="104"/>
      <c r="AA817" s="104"/>
    </row>
    <row r="818" spans="1:28" x14ac:dyDescent="0.2">
      <c r="A818" s="119"/>
      <c r="B818" s="136"/>
      <c r="C818" s="136"/>
      <c r="D818" s="137"/>
      <c r="E818" s="137"/>
      <c r="F818" s="138"/>
      <c r="G818" s="138"/>
      <c r="H818" s="112"/>
      <c r="I818" s="144"/>
      <c r="J818" s="144"/>
      <c r="K818" s="144"/>
      <c r="L818" s="86"/>
      <c r="M818" s="86"/>
      <c r="N818" s="316"/>
      <c r="O818" s="86"/>
      <c r="P818" s="86"/>
      <c r="Q818" s="86"/>
      <c r="R818" s="86"/>
      <c r="S818" s="110"/>
      <c r="T818" s="111"/>
      <c r="U818" s="86"/>
      <c r="V818" s="86"/>
      <c r="W818" s="110"/>
      <c r="X818" s="110"/>
      <c r="Y818" s="110"/>
      <c r="Z818" s="104"/>
      <c r="AA818" s="104"/>
    </row>
    <row r="819" spans="1:28" x14ac:dyDescent="0.2">
      <c r="A819" s="121"/>
      <c r="B819" s="139"/>
      <c r="C819" s="139"/>
      <c r="D819" s="139"/>
      <c r="E819" s="139"/>
      <c r="F819" s="139"/>
      <c r="G819" s="139"/>
      <c r="H819" s="121"/>
      <c r="I819" s="143"/>
      <c r="J819" s="143"/>
      <c r="K819" s="143"/>
      <c r="L819" s="108"/>
      <c r="M819" s="107"/>
      <c r="N819" s="317"/>
      <c r="O819" s="106"/>
      <c r="P819" s="106"/>
      <c r="Q819" s="106"/>
      <c r="R819" s="106"/>
      <c r="S819" s="114"/>
      <c r="T819" s="108"/>
      <c r="U819" s="106"/>
      <c r="V819" s="106"/>
      <c r="W819" s="107"/>
      <c r="X819" s="107"/>
      <c r="Y819" s="109"/>
      <c r="AB819" s="103"/>
    </row>
    <row r="820" spans="1:28" x14ac:dyDescent="0.2">
      <c r="A820" s="121"/>
      <c r="B820" s="139"/>
      <c r="C820" s="139"/>
      <c r="D820" s="140"/>
      <c r="E820" s="139"/>
      <c r="F820" s="139"/>
      <c r="G820" s="139"/>
      <c r="H820" s="122"/>
      <c r="I820" s="143"/>
      <c r="J820" s="143"/>
      <c r="K820" s="143"/>
      <c r="L820" s="108"/>
      <c r="M820" s="107"/>
      <c r="N820" s="317"/>
      <c r="O820" s="106"/>
      <c r="P820" s="106"/>
      <c r="Q820" s="106"/>
      <c r="R820" s="106"/>
      <c r="S820" s="114"/>
      <c r="T820" s="108"/>
      <c r="U820" s="106"/>
      <c r="V820" s="106"/>
      <c r="W820" s="107"/>
      <c r="X820" s="107"/>
      <c r="Y820" s="107"/>
      <c r="Z820" s="104"/>
      <c r="AA820" s="104"/>
    </row>
    <row r="821" spans="1:28" x14ac:dyDescent="0.2">
      <c r="A821" s="119"/>
      <c r="B821" s="136"/>
      <c r="C821" s="136"/>
      <c r="D821" s="136"/>
      <c r="E821" s="136"/>
      <c r="F821" s="136"/>
      <c r="G821" s="136"/>
      <c r="H821" s="119"/>
      <c r="I821" s="144"/>
      <c r="J821" s="144"/>
      <c r="K821" s="144"/>
      <c r="L821" s="86"/>
      <c r="M821" s="110"/>
      <c r="N821" s="318"/>
      <c r="O821" s="86"/>
      <c r="P821" s="86"/>
      <c r="Q821" s="86"/>
      <c r="R821" s="86"/>
      <c r="S821" s="86"/>
      <c r="T821" s="86"/>
      <c r="U821" s="86"/>
      <c r="V821" s="86"/>
      <c r="W821" s="110"/>
      <c r="X821" s="110"/>
      <c r="Y821" s="110"/>
      <c r="Z821" s="104"/>
      <c r="AA821" s="104"/>
    </row>
    <row r="822" spans="1:28" x14ac:dyDescent="0.2">
      <c r="A822" s="119"/>
      <c r="B822" s="136"/>
      <c r="C822" s="136"/>
      <c r="D822" s="137"/>
      <c r="E822" s="137"/>
      <c r="F822" s="138"/>
      <c r="G822" s="138"/>
      <c r="H822" s="112"/>
      <c r="I822" s="144"/>
      <c r="J822" s="144"/>
      <c r="K822" s="144"/>
      <c r="L822" s="86"/>
      <c r="M822" s="110"/>
      <c r="N822" s="318"/>
      <c r="O822" s="86"/>
      <c r="P822" s="86"/>
      <c r="Q822" s="86"/>
      <c r="R822" s="86"/>
      <c r="S822" s="86"/>
      <c r="T822" s="86"/>
      <c r="U822" s="86"/>
      <c r="V822" s="86"/>
      <c r="W822" s="110"/>
      <c r="X822" s="110"/>
      <c r="Y822" s="110"/>
      <c r="Z822" s="104"/>
      <c r="AA822" s="104"/>
    </row>
    <row r="823" spans="1:28" x14ac:dyDescent="0.2">
      <c r="A823" s="119"/>
      <c r="B823" s="136"/>
      <c r="C823" s="136"/>
      <c r="D823" s="136"/>
      <c r="E823" s="136"/>
      <c r="F823" s="136"/>
      <c r="G823" s="136"/>
      <c r="H823" s="119"/>
      <c r="I823" s="144"/>
      <c r="J823" s="144"/>
      <c r="K823" s="144"/>
      <c r="L823" s="111"/>
      <c r="M823" s="86"/>
      <c r="N823" s="316"/>
      <c r="O823" s="86"/>
      <c r="P823" s="86"/>
      <c r="Q823" s="86"/>
      <c r="R823" s="86"/>
      <c r="S823" s="115"/>
      <c r="T823" s="111"/>
      <c r="U823" s="86"/>
      <c r="V823" s="86"/>
      <c r="W823" s="110"/>
      <c r="X823" s="110"/>
      <c r="Y823" s="110"/>
      <c r="Z823" s="104"/>
      <c r="AA823" s="104"/>
    </row>
    <row r="824" spans="1:28" x14ac:dyDescent="0.2">
      <c r="A824" s="119"/>
      <c r="B824" s="136"/>
      <c r="C824" s="136"/>
      <c r="D824" s="137"/>
      <c r="E824" s="137"/>
      <c r="F824" s="138"/>
      <c r="G824" s="138"/>
      <c r="H824" s="112"/>
      <c r="I824" s="144"/>
      <c r="J824" s="144"/>
      <c r="K824" s="144"/>
      <c r="L824" s="86"/>
      <c r="M824" s="86"/>
      <c r="N824" s="316"/>
      <c r="O824" s="86"/>
      <c r="P824" s="86"/>
      <c r="Q824" s="86"/>
      <c r="R824" s="86"/>
      <c r="S824" s="115"/>
      <c r="T824" s="111"/>
      <c r="U824" s="86"/>
      <c r="V824" s="86"/>
      <c r="W824" s="115"/>
      <c r="X824" s="115"/>
      <c r="Y824" s="115"/>
      <c r="Z824" s="104"/>
      <c r="AA824" s="104"/>
    </row>
    <row r="825" spans="1:28" x14ac:dyDescent="0.2">
      <c r="A825" s="119"/>
      <c r="B825" s="136"/>
      <c r="C825" s="136"/>
      <c r="D825" s="137"/>
      <c r="E825" s="137"/>
      <c r="F825" s="138"/>
      <c r="G825" s="138"/>
      <c r="H825" s="112"/>
      <c r="I825" s="144"/>
      <c r="J825" s="144"/>
      <c r="K825" s="144"/>
      <c r="L825" s="111"/>
      <c r="M825" s="86"/>
      <c r="N825" s="316"/>
      <c r="O825" s="86"/>
      <c r="P825" s="86"/>
      <c r="Q825" s="86"/>
      <c r="R825" s="86"/>
      <c r="S825" s="86"/>
      <c r="T825" s="86"/>
      <c r="U825" s="86"/>
      <c r="V825" s="86"/>
      <c r="W825" s="110"/>
      <c r="X825" s="110"/>
      <c r="Y825" s="110"/>
      <c r="Z825" s="104"/>
      <c r="AA825" s="104"/>
    </row>
    <row r="826" spans="1:28" x14ac:dyDescent="0.2">
      <c r="A826" s="121"/>
      <c r="B826" s="139"/>
      <c r="C826" s="139"/>
      <c r="D826" s="139"/>
      <c r="E826" s="139"/>
      <c r="F826" s="139"/>
      <c r="G826" s="139"/>
      <c r="H826" s="121"/>
      <c r="I826" s="143"/>
      <c r="J826" s="143"/>
      <c r="K826" s="143"/>
      <c r="L826" s="106"/>
      <c r="M826" s="106"/>
      <c r="N826" s="315"/>
      <c r="O826" s="106"/>
      <c r="P826" s="106"/>
      <c r="Q826" s="106"/>
      <c r="R826" s="106"/>
      <c r="S826" s="106"/>
      <c r="T826" s="106"/>
      <c r="U826" s="107"/>
      <c r="V826" s="107"/>
      <c r="W826" s="107"/>
      <c r="X826" s="107"/>
      <c r="Y826" s="109"/>
      <c r="AB826" s="103"/>
    </row>
    <row r="827" spans="1:28" x14ac:dyDescent="0.2">
      <c r="A827" s="121"/>
      <c r="B827" s="139"/>
      <c r="C827" s="139"/>
      <c r="D827" s="140"/>
      <c r="E827" s="139"/>
      <c r="F827" s="139"/>
      <c r="G827" s="139"/>
      <c r="H827" s="121"/>
      <c r="I827" s="143"/>
      <c r="J827" s="143"/>
      <c r="K827" s="143"/>
      <c r="L827" s="106"/>
      <c r="M827" s="106"/>
      <c r="N827" s="315"/>
      <c r="O827" s="106"/>
      <c r="P827" s="106"/>
      <c r="Q827" s="106"/>
      <c r="R827" s="106"/>
      <c r="S827" s="106"/>
      <c r="T827" s="106"/>
      <c r="U827" s="107"/>
      <c r="V827" s="114"/>
      <c r="W827" s="107"/>
      <c r="X827" s="107"/>
      <c r="Y827" s="107"/>
      <c r="Z827" s="104"/>
      <c r="AA827" s="104"/>
    </row>
    <row r="828" spans="1:28" x14ac:dyDescent="0.2">
      <c r="A828" s="119"/>
      <c r="B828" s="136"/>
      <c r="C828" s="136"/>
      <c r="D828" s="136"/>
      <c r="E828" s="136"/>
      <c r="F828" s="136"/>
      <c r="G828" s="136"/>
      <c r="H828" s="119"/>
      <c r="I828" s="144"/>
      <c r="J828" s="144"/>
      <c r="K828" s="144"/>
      <c r="L828" s="86"/>
      <c r="M828" s="86"/>
      <c r="N828" s="316"/>
      <c r="O828" s="86"/>
      <c r="P828" s="86"/>
      <c r="Q828" s="86"/>
      <c r="R828" s="86"/>
      <c r="S828" s="86"/>
      <c r="T828" s="86"/>
      <c r="U828" s="110"/>
      <c r="V828" s="115"/>
      <c r="W828" s="110"/>
      <c r="X828" s="110"/>
      <c r="Y828" s="110"/>
      <c r="Z828" s="104"/>
      <c r="AA828" s="104"/>
    </row>
    <row r="829" spans="1:28" x14ac:dyDescent="0.2">
      <c r="A829" s="113"/>
      <c r="B829" s="141"/>
      <c r="C829" s="141"/>
      <c r="D829" s="137"/>
      <c r="E829" s="137"/>
      <c r="F829" s="138"/>
      <c r="G829" s="138"/>
      <c r="H829" s="112"/>
      <c r="I829" s="144"/>
      <c r="J829" s="144"/>
      <c r="K829" s="144"/>
      <c r="L829" s="86"/>
      <c r="M829" s="86"/>
      <c r="N829" s="316"/>
      <c r="O829" s="86"/>
      <c r="P829" s="86"/>
      <c r="Q829" s="86"/>
      <c r="R829" s="86"/>
      <c r="S829" s="86"/>
      <c r="T829" s="86"/>
      <c r="U829" s="110"/>
      <c r="V829" s="115"/>
      <c r="W829" s="110"/>
      <c r="X829" s="110"/>
      <c r="Y829" s="110"/>
      <c r="Z829" s="104"/>
      <c r="AA829" s="104"/>
    </row>
    <row r="830" spans="1:28" x14ac:dyDescent="0.2">
      <c r="A830" s="121"/>
      <c r="B830" s="139"/>
      <c r="C830" s="139"/>
      <c r="D830" s="140"/>
      <c r="E830" s="139"/>
      <c r="F830" s="139"/>
      <c r="G830" s="139"/>
      <c r="H830" s="121"/>
      <c r="I830" s="143"/>
      <c r="J830" s="143"/>
      <c r="K830" s="143"/>
      <c r="L830" s="106"/>
      <c r="M830" s="106"/>
      <c r="N830" s="315"/>
      <c r="O830" s="106"/>
      <c r="P830" s="106"/>
      <c r="Q830" s="106"/>
      <c r="R830" s="106"/>
      <c r="S830" s="106"/>
      <c r="T830" s="106"/>
      <c r="U830" s="107"/>
      <c r="V830" s="107"/>
      <c r="W830" s="107"/>
      <c r="X830" s="107"/>
      <c r="Y830" s="107"/>
      <c r="Z830" s="104"/>
      <c r="AA830" s="104"/>
    </row>
    <row r="831" spans="1:28" x14ac:dyDescent="0.2">
      <c r="A831" s="119"/>
      <c r="B831" s="136"/>
      <c r="C831" s="136"/>
      <c r="D831" s="136"/>
      <c r="E831" s="136"/>
      <c r="F831" s="136"/>
      <c r="G831" s="136"/>
      <c r="H831" s="119"/>
      <c r="I831" s="144"/>
      <c r="J831" s="144"/>
      <c r="K831" s="144"/>
      <c r="L831" s="86"/>
      <c r="M831" s="86"/>
      <c r="N831" s="316"/>
      <c r="O831" s="86"/>
      <c r="P831" s="86"/>
      <c r="Q831" s="86"/>
      <c r="R831" s="86"/>
      <c r="S831" s="86"/>
      <c r="T831" s="86"/>
      <c r="U831" s="110"/>
      <c r="V831" s="110"/>
      <c r="W831" s="110"/>
      <c r="X831" s="110"/>
      <c r="Y831" s="110"/>
      <c r="Z831" s="104"/>
      <c r="AA831" s="104"/>
    </row>
    <row r="832" spans="1:28" x14ac:dyDescent="0.2">
      <c r="A832" s="113"/>
      <c r="B832" s="141"/>
      <c r="C832" s="141"/>
      <c r="D832" s="137"/>
      <c r="E832" s="137"/>
      <c r="F832" s="138"/>
      <c r="G832" s="138"/>
      <c r="H832" s="112"/>
      <c r="I832" s="144"/>
      <c r="J832" s="144"/>
      <c r="K832" s="144"/>
      <c r="L832" s="86"/>
      <c r="M832" s="86"/>
      <c r="N832" s="316"/>
      <c r="O832" s="86"/>
      <c r="P832" s="86"/>
      <c r="Q832" s="86"/>
      <c r="R832" s="86"/>
      <c r="S832" s="86"/>
      <c r="T832" s="86"/>
      <c r="U832" s="110"/>
      <c r="V832" s="110"/>
      <c r="W832" s="110"/>
      <c r="X832" s="110"/>
      <c r="Y832" s="110"/>
      <c r="Z832" s="104"/>
      <c r="AA832" s="104"/>
    </row>
    <row r="833" spans="1:28" x14ac:dyDescent="0.2">
      <c r="A833" s="121"/>
      <c r="B833" s="139"/>
      <c r="C833" s="139"/>
      <c r="D833" s="140"/>
      <c r="E833" s="139"/>
      <c r="F833" s="139"/>
      <c r="G833" s="139"/>
      <c r="H833" s="121"/>
      <c r="I833" s="143"/>
      <c r="J833" s="143"/>
      <c r="K833" s="143"/>
      <c r="L833" s="106"/>
      <c r="M833" s="106"/>
      <c r="N833" s="315"/>
      <c r="O833" s="106"/>
      <c r="P833" s="106"/>
      <c r="Q833" s="106"/>
      <c r="R833" s="106"/>
      <c r="S833" s="106"/>
      <c r="T833" s="106"/>
      <c r="U833" s="107"/>
      <c r="V833" s="107"/>
      <c r="W833" s="107"/>
      <c r="X833" s="107"/>
      <c r="Y833" s="107"/>
      <c r="Z833" s="104"/>
      <c r="AA833" s="104"/>
    </row>
    <row r="834" spans="1:28" x14ac:dyDescent="0.2">
      <c r="A834" s="119"/>
      <c r="B834" s="136"/>
      <c r="C834" s="136"/>
      <c r="D834" s="136"/>
      <c r="E834" s="136"/>
      <c r="F834" s="136"/>
      <c r="G834" s="136"/>
      <c r="H834" s="119"/>
      <c r="I834" s="144"/>
      <c r="J834" s="144"/>
      <c r="K834" s="144"/>
      <c r="L834" s="86"/>
      <c r="M834" s="86"/>
      <c r="N834" s="316"/>
      <c r="O834" s="86"/>
      <c r="P834" s="86"/>
      <c r="Q834" s="86"/>
      <c r="R834" s="86"/>
      <c r="S834" s="86"/>
      <c r="T834" s="86"/>
      <c r="U834" s="110"/>
      <c r="V834" s="110"/>
      <c r="W834" s="110"/>
      <c r="X834" s="110"/>
      <c r="Y834" s="110"/>
      <c r="Z834" s="104"/>
      <c r="AA834" s="104"/>
    </row>
    <row r="835" spans="1:28" x14ac:dyDescent="0.2">
      <c r="A835" s="113"/>
      <c r="B835" s="141"/>
      <c r="C835" s="141"/>
      <c r="D835" s="137"/>
      <c r="E835" s="137"/>
      <c r="F835" s="138"/>
      <c r="G835" s="138"/>
      <c r="H835" s="112"/>
      <c r="I835" s="144"/>
      <c r="J835" s="144"/>
      <c r="K835" s="144"/>
      <c r="L835" s="86"/>
      <c r="M835" s="86"/>
      <c r="N835" s="316"/>
      <c r="O835" s="86"/>
      <c r="P835" s="86"/>
      <c r="Q835" s="86"/>
      <c r="R835" s="86"/>
      <c r="S835" s="86"/>
      <c r="T835" s="86"/>
      <c r="U835" s="110"/>
      <c r="V835" s="110"/>
      <c r="W835" s="110"/>
      <c r="X835" s="110"/>
      <c r="Y835" s="110"/>
      <c r="Z835" s="104"/>
      <c r="AA835" s="104"/>
    </row>
    <row r="836" spans="1:28" x14ac:dyDescent="0.2">
      <c r="A836" s="121"/>
      <c r="B836" s="139"/>
      <c r="C836" s="139"/>
      <c r="D836" s="140"/>
      <c r="E836" s="139"/>
      <c r="F836" s="139"/>
      <c r="G836" s="139"/>
      <c r="H836" s="121"/>
      <c r="I836" s="143"/>
      <c r="J836" s="143"/>
      <c r="K836" s="143"/>
      <c r="L836" s="106"/>
      <c r="M836" s="106"/>
      <c r="N836" s="315"/>
      <c r="O836" s="106"/>
      <c r="P836" s="106"/>
      <c r="Q836" s="106"/>
      <c r="R836" s="106"/>
      <c r="S836" s="106"/>
      <c r="T836" s="106"/>
      <c r="U836" s="107"/>
      <c r="V836" s="107"/>
      <c r="W836" s="107"/>
      <c r="X836" s="107"/>
      <c r="Y836" s="107"/>
      <c r="Z836" s="104"/>
      <c r="AA836" s="104"/>
    </row>
    <row r="837" spans="1:28" x14ac:dyDescent="0.2">
      <c r="A837" s="119"/>
      <c r="B837" s="136"/>
      <c r="C837" s="136"/>
      <c r="D837" s="136"/>
      <c r="E837" s="136"/>
      <c r="F837" s="136"/>
      <c r="G837" s="136"/>
      <c r="H837" s="119"/>
      <c r="I837" s="144"/>
      <c r="J837" s="144"/>
      <c r="K837" s="144"/>
      <c r="L837" s="86"/>
      <c r="M837" s="86"/>
      <c r="N837" s="316"/>
      <c r="O837" s="86"/>
      <c r="P837" s="86"/>
      <c r="Q837" s="86"/>
      <c r="R837" s="86"/>
      <c r="S837" s="86"/>
      <c r="T837" s="86"/>
      <c r="U837" s="110"/>
      <c r="V837" s="110"/>
      <c r="W837" s="110"/>
      <c r="X837" s="110"/>
      <c r="Y837" s="110"/>
      <c r="Z837" s="104"/>
      <c r="AA837" s="104"/>
    </row>
    <row r="838" spans="1:28" x14ac:dyDescent="0.2">
      <c r="A838" s="113"/>
      <c r="B838" s="141"/>
      <c r="C838" s="141"/>
      <c r="D838" s="137"/>
      <c r="E838" s="137"/>
      <c r="F838" s="138"/>
      <c r="G838" s="138"/>
      <c r="H838" s="112"/>
      <c r="I838" s="144"/>
      <c r="J838" s="144"/>
      <c r="K838" s="144"/>
      <c r="L838" s="86"/>
      <c r="M838" s="86"/>
      <c r="N838" s="316"/>
      <c r="O838" s="86"/>
      <c r="P838" s="86"/>
      <c r="Q838" s="86"/>
      <c r="R838" s="86"/>
      <c r="S838" s="86"/>
      <c r="T838" s="86"/>
      <c r="U838" s="110"/>
      <c r="V838" s="110"/>
      <c r="W838" s="110"/>
      <c r="X838" s="110"/>
      <c r="Y838" s="110"/>
      <c r="Z838" s="104"/>
      <c r="AA838" s="104"/>
    </row>
    <row r="839" spans="1:28" x14ac:dyDescent="0.2">
      <c r="A839" s="121"/>
      <c r="B839" s="139"/>
      <c r="C839" s="139"/>
      <c r="D839" s="140"/>
      <c r="E839" s="139"/>
      <c r="F839" s="139"/>
      <c r="G839" s="139"/>
      <c r="H839" s="121"/>
      <c r="I839" s="143"/>
      <c r="J839" s="143"/>
      <c r="K839" s="143"/>
      <c r="L839" s="106"/>
      <c r="M839" s="106"/>
      <c r="N839" s="315"/>
      <c r="O839" s="106"/>
      <c r="P839" s="106"/>
      <c r="Q839" s="106"/>
      <c r="R839" s="106"/>
      <c r="S839" s="106"/>
      <c r="T839" s="106"/>
      <c r="U839" s="107"/>
      <c r="V839" s="107"/>
      <c r="W839" s="107"/>
      <c r="X839" s="107"/>
      <c r="Y839" s="107"/>
      <c r="Z839" s="104"/>
      <c r="AA839" s="104"/>
    </row>
    <row r="840" spans="1:28" x14ac:dyDescent="0.2">
      <c r="A840" s="119"/>
      <c r="B840" s="136"/>
      <c r="C840" s="136"/>
      <c r="D840" s="136"/>
      <c r="E840" s="136"/>
      <c r="F840" s="136"/>
      <c r="G840" s="136"/>
      <c r="H840" s="119"/>
      <c r="I840" s="144"/>
      <c r="J840" s="144"/>
      <c r="K840" s="144"/>
      <c r="L840" s="86"/>
      <c r="M840" s="86"/>
      <c r="N840" s="316"/>
      <c r="O840" s="86"/>
      <c r="P840" s="86"/>
      <c r="Q840" s="86"/>
      <c r="R840" s="86"/>
      <c r="S840" s="86"/>
      <c r="T840" s="86"/>
      <c r="U840" s="110"/>
      <c r="V840" s="110"/>
      <c r="W840" s="110"/>
      <c r="X840" s="110"/>
      <c r="Y840" s="110"/>
      <c r="Z840" s="104"/>
      <c r="AA840" s="104"/>
    </row>
    <row r="841" spans="1:28" x14ac:dyDescent="0.2">
      <c r="A841" s="113"/>
      <c r="B841" s="141"/>
      <c r="C841" s="141"/>
      <c r="D841" s="137"/>
      <c r="E841" s="137"/>
      <c r="F841" s="138"/>
      <c r="G841" s="138"/>
      <c r="H841" s="112"/>
      <c r="I841" s="144"/>
      <c r="J841" s="144"/>
      <c r="K841" s="144"/>
      <c r="L841" s="86"/>
      <c r="M841" s="86"/>
      <c r="N841" s="316"/>
      <c r="O841" s="86"/>
      <c r="P841" s="86"/>
      <c r="Q841" s="86"/>
      <c r="R841" s="86"/>
      <c r="S841" s="86"/>
      <c r="T841" s="86"/>
      <c r="U841" s="110"/>
      <c r="V841" s="110"/>
      <c r="W841" s="110"/>
      <c r="X841" s="110"/>
      <c r="Y841" s="110"/>
      <c r="Z841" s="104"/>
      <c r="AA841" s="104"/>
    </row>
    <row r="842" spans="1:28" x14ac:dyDescent="0.2">
      <c r="A842" s="121"/>
      <c r="B842" s="139"/>
      <c r="C842" s="139"/>
      <c r="D842" s="140"/>
      <c r="E842" s="139"/>
      <c r="F842" s="139"/>
      <c r="G842" s="139"/>
      <c r="H842" s="121"/>
      <c r="I842" s="143"/>
      <c r="J842" s="143"/>
      <c r="K842" s="143"/>
      <c r="L842" s="106"/>
      <c r="M842" s="106"/>
      <c r="N842" s="315"/>
      <c r="O842" s="106"/>
      <c r="P842" s="106"/>
      <c r="Q842" s="106"/>
      <c r="R842" s="106"/>
      <c r="S842" s="106"/>
      <c r="T842" s="106"/>
      <c r="U842" s="107"/>
      <c r="V842" s="114"/>
      <c r="W842" s="107"/>
      <c r="X842" s="107"/>
      <c r="Y842" s="107"/>
      <c r="Z842" s="104"/>
      <c r="AA842" s="104"/>
    </row>
    <row r="843" spans="1:28" x14ac:dyDescent="0.2">
      <c r="A843" s="119"/>
      <c r="B843" s="136"/>
      <c r="C843" s="136"/>
      <c r="D843" s="136"/>
      <c r="E843" s="136"/>
      <c r="F843" s="136"/>
      <c r="G843" s="136"/>
      <c r="H843" s="119"/>
      <c r="I843" s="144"/>
      <c r="J843" s="144"/>
      <c r="K843" s="144"/>
      <c r="L843" s="86"/>
      <c r="M843" s="86"/>
      <c r="N843" s="316"/>
      <c r="O843" s="86"/>
      <c r="P843" s="86"/>
      <c r="Q843" s="86"/>
      <c r="R843" s="86"/>
      <c r="S843" s="86"/>
      <c r="T843" s="86"/>
      <c r="U843" s="110"/>
      <c r="V843" s="115"/>
      <c r="W843" s="110"/>
      <c r="X843" s="110"/>
      <c r="Y843" s="110"/>
      <c r="Z843" s="104"/>
      <c r="AA843" s="104"/>
    </row>
    <row r="844" spans="1:28" x14ac:dyDescent="0.2">
      <c r="A844" s="113"/>
      <c r="B844" s="141"/>
      <c r="C844" s="141"/>
      <c r="D844" s="137"/>
      <c r="E844" s="137"/>
      <c r="F844" s="138"/>
      <c r="G844" s="138"/>
      <c r="H844" s="112"/>
      <c r="I844" s="144"/>
      <c r="J844" s="144"/>
      <c r="K844" s="144"/>
      <c r="L844" s="86"/>
      <c r="M844" s="86"/>
      <c r="N844" s="316"/>
      <c r="O844" s="86"/>
      <c r="P844" s="86"/>
      <c r="Q844" s="86"/>
      <c r="R844" s="86"/>
      <c r="S844" s="86"/>
      <c r="T844" s="86"/>
      <c r="U844" s="110"/>
      <c r="V844" s="115"/>
      <c r="W844" s="110"/>
      <c r="X844" s="110"/>
      <c r="Y844" s="110"/>
      <c r="Z844" s="104"/>
      <c r="AA844" s="104"/>
    </row>
    <row r="845" spans="1:28" x14ac:dyDescent="0.2">
      <c r="A845" s="121"/>
      <c r="B845" s="139"/>
      <c r="C845" s="139"/>
      <c r="D845" s="140"/>
      <c r="E845" s="139"/>
      <c r="F845" s="139"/>
      <c r="G845" s="139"/>
      <c r="H845" s="121"/>
      <c r="I845" s="143"/>
      <c r="J845" s="143"/>
      <c r="K845" s="143"/>
      <c r="L845" s="106"/>
      <c r="M845" s="106"/>
      <c r="N845" s="315"/>
      <c r="O845" s="106"/>
      <c r="P845" s="106"/>
      <c r="Q845" s="106"/>
      <c r="R845" s="106"/>
      <c r="S845" s="106"/>
      <c r="T845" s="106"/>
      <c r="U845" s="107"/>
      <c r="V845" s="107"/>
      <c r="W845" s="107"/>
      <c r="X845" s="107"/>
      <c r="Y845" s="107"/>
      <c r="Z845" s="104"/>
      <c r="AA845" s="104"/>
    </row>
    <row r="846" spans="1:28" x14ac:dyDescent="0.2">
      <c r="A846" s="119"/>
      <c r="B846" s="136"/>
      <c r="C846" s="136"/>
      <c r="D846" s="136"/>
      <c r="E846" s="136"/>
      <c r="F846" s="136"/>
      <c r="G846" s="136"/>
      <c r="H846" s="119"/>
      <c r="I846" s="144"/>
      <c r="J846" s="144"/>
      <c r="K846" s="144"/>
      <c r="L846" s="86"/>
      <c r="M846" s="86"/>
      <c r="N846" s="316"/>
      <c r="O846" s="86"/>
      <c r="P846" s="86"/>
      <c r="Q846" s="86"/>
      <c r="R846" s="86"/>
      <c r="S846" s="86"/>
      <c r="T846" s="86"/>
      <c r="U846" s="110"/>
      <c r="V846" s="110"/>
      <c r="W846" s="110"/>
      <c r="X846" s="110"/>
      <c r="Y846" s="110"/>
      <c r="Z846" s="104"/>
      <c r="AA846" s="104"/>
    </row>
    <row r="847" spans="1:28" x14ac:dyDescent="0.2">
      <c r="A847" s="113"/>
      <c r="B847" s="141"/>
      <c r="C847" s="141"/>
      <c r="D847" s="137"/>
      <c r="E847" s="137"/>
      <c r="F847" s="138"/>
      <c r="G847" s="138"/>
      <c r="H847" s="112"/>
      <c r="I847" s="144"/>
      <c r="J847" s="144"/>
      <c r="K847" s="144"/>
      <c r="L847" s="86"/>
      <c r="M847" s="86"/>
      <c r="N847" s="316"/>
      <c r="O847" s="86"/>
      <c r="P847" s="86"/>
      <c r="Q847" s="86"/>
      <c r="R847" s="86"/>
      <c r="S847" s="86"/>
      <c r="T847" s="86"/>
      <c r="U847" s="110"/>
      <c r="V847" s="110"/>
      <c r="W847" s="110"/>
      <c r="X847" s="110"/>
      <c r="Y847" s="110"/>
      <c r="Z847" s="104"/>
      <c r="AA847" s="104"/>
    </row>
    <row r="848" spans="1:28" x14ac:dyDescent="0.2">
      <c r="A848" s="121"/>
      <c r="B848" s="139"/>
      <c r="C848" s="139"/>
      <c r="D848" s="139"/>
      <c r="E848" s="139"/>
      <c r="F848" s="139"/>
      <c r="G848" s="139"/>
      <c r="H848" s="121"/>
      <c r="I848" s="143"/>
      <c r="J848" s="143"/>
      <c r="K848" s="143"/>
      <c r="L848" s="106"/>
      <c r="M848" s="106"/>
      <c r="N848" s="315"/>
      <c r="O848" s="106"/>
      <c r="P848" s="106"/>
      <c r="Q848" s="106"/>
      <c r="R848" s="106"/>
      <c r="S848" s="106"/>
      <c r="T848" s="106"/>
      <c r="U848" s="107"/>
      <c r="V848" s="107"/>
      <c r="W848" s="107"/>
      <c r="X848" s="107"/>
      <c r="Y848" s="109"/>
      <c r="AB848" s="103"/>
    </row>
    <row r="849" spans="1:25" s="104" customFormat="1" x14ac:dyDescent="0.2">
      <c r="A849" s="121"/>
      <c r="B849" s="139"/>
      <c r="C849" s="139"/>
      <c r="D849" s="140"/>
      <c r="E849" s="139"/>
      <c r="F849" s="139"/>
      <c r="G849" s="139"/>
      <c r="H849" s="121"/>
      <c r="I849" s="143"/>
      <c r="J849" s="143"/>
      <c r="K849" s="143"/>
      <c r="L849" s="106"/>
      <c r="M849" s="106"/>
      <c r="N849" s="315"/>
      <c r="O849" s="106"/>
      <c r="P849" s="106"/>
      <c r="Q849" s="106"/>
      <c r="R849" s="106"/>
      <c r="S849" s="106"/>
      <c r="T849" s="106"/>
      <c r="U849" s="107"/>
      <c r="V849" s="114"/>
      <c r="W849" s="107"/>
      <c r="X849" s="107"/>
      <c r="Y849" s="107"/>
    </row>
    <row r="850" spans="1:25" s="104" customFormat="1" x14ac:dyDescent="0.2">
      <c r="A850" s="119"/>
      <c r="B850" s="136"/>
      <c r="C850" s="136"/>
      <c r="D850" s="136"/>
      <c r="E850" s="136"/>
      <c r="F850" s="136"/>
      <c r="G850" s="136"/>
      <c r="H850" s="119"/>
      <c r="I850" s="144"/>
      <c r="J850" s="144"/>
      <c r="K850" s="144"/>
      <c r="L850" s="86"/>
      <c r="M850" s="86"/>
      <c r="N850" s="316"/>
      <c r="O850" s="86"/>
      <c r="P850" s="86"/>
      <c r="Q850" s="86"/>
      <c r="R850" s="86"/>
      <c r="S850" s="86"/>
      <c r="T850" s="86"/>
      <c r="U850" s="110"/>
      <c r="V850" s="115"/>
      <c r="W850" s="110"/>
      <c r="X850" s="110"/>
      <c r="Y850" s="110"/>
    </row>
    <row r="851" spans="1:25" s="104" customFormat="1" x14ac:dyDescent="0.2">
      <c r="A851" s="113"/>
      <c r="B851" s="141"/>
      <c r="C851" s="141"/>
      <c r="D851" s="137"/>
      <c r="E851" s="137"/>
      <c r="F851" s="138"/>
      <c r="G851" s="138"/>
      <c r="H851" s="112"/>
      <c r="I851" s="144"/>
      <c r="J851" s="144"/>
      <c r="K851" s="144"/>
      <c r="L851" s="86"/>
      <c r="M851" s="86"/>
      <c r="N851" s="316"/>
      <c r="O851" s="86"/>
      <c r="P851" s="86"/>
      <c r="Q851" s="86"/>
      <c r="R851" s="86"/>
      <c r="S851" s="86"/>
      <c r="T851" s="86"/>
      <c r="U851" s="110"/>
      <c r="V851" s="115"/>
      <c r="W851" s="110"/>
      <c r="X851" s="110"/>
      <c r="Y851" s="110"/>
    </row>
    <row r="852" spans="1:25" s="104" customFormat="1" x14ac:dyDescent="0.2">
      <c r="A852" s="121"/>
      <c r="B852" s="139"/>
      <c r="C852" s="139"/>
      <c r="D852" s="140"/>
      <c r="E852" s="139"/>
      <c r="F852" s="139"/>
      <c r="G852" s="139"/>
      <c r="H852" s="121"/>
      <c r="I852" s="143"/>
      <c r="J852" s="143"/>
      <c r="K852" s="143"/>
      <c r="L852" s="106"/>
      <c r="M852" s="106"/>
      <c r="N852" s="315"/>
      <c r="O852" s="106"/>
      <c r="P852" s="106"/>
      <c r="Q852" s="106"/>
      <c r="R852" s="106"/>
      <c r="S852" s="106"/>
      <c r="T852" s="106"/>
      <c r="U852" s="107"/>
      <c r="V852" s="107"/>
      <c r="W852" s="107"/>
      <c r="X852" s="107"/>
      <c r="Y852" s="107"/>
    </row>
    <row r="853" spans="1:25" s="104" customFormat="1" x14ac:dyDescent="0.2">
      <c r="A853" s="119"/>
      <c r="B853" s="136"/>
      <c r="C853" s="136"/>
      <c r="D853" s="136"/>
      <c r="E853" s="136"/>
      <c r="F853" s="136"/>
      <c r="G853" s="136"/>
      <c r="H853" s="119"/>
      <c r="I853" s="144"/>
      <c r="J853" s="144"/>
      <c r="K853" s="144"/>
      <c r="L853" s="86"/>
      <c r="M853" s="86"/>
      <c r="N853" s="316"/>
      <c r="O853" s="86"/>
      <c r="P853" s="86"/>
      <c r="Q853" s="86"/>
      <c r="R853" s="86"/>
      <c r="S853" s="86"/>
      <c r="T853" s="86"/>
      <c r="U853" s="110"/>
      <c r="V853" s="110"/>
      <c r="W853" s="110"/>
      <c r="X853" s="110"/>
      <c r="Y853" s="110"/>
    </row>
    <row r="854" spans="1:25" s="104" customFormat="1" x14ac:dyDescent="0.2">
      <c r="A854" s="113"/>
      <c r="B854" s="141"/>
      <c r="C854" s="141"/>
      <c r="D854" s="137"/>
      <c r="E854" s="137"/>
      <c r="F854" s="138"/>
      <c r="G854" s="138"/>
      <c r="H854" s="112"/>
      <c r="I854" s="144"/>
      <c r="J854" s="144"/>
      <c r="K854" s="144"/>
      <c r="L854" s="86"/>
      <c r="M854" s="86"/>
      <c r="N854" s="316"/>
      <c r="O854" s="86"/>
      <c r="P854" s="86"/>
      <c r="Q854" s="86"/>
      <c r="R854" s="86"/>
      <c r="S854" s="86"/>
      <c r="T854" s="86"/>
      <c r="U854" s="110"/>
      <c r="V854" s="110"/>
      <c r="W854" s="110"/>
      <c r="X854" s="110"/>
      <c r="Y854" s="110"/>
    </row>
    <row r="855" spans="1:25" s="104" customFormat="1" x14ac:dyDescent="0.2">
      <c r="A855" s="121"/>
      <c r="B855" s="139"/>
      <c r="C855" s="139"/>
      <c r="D855" s="140"/>
      <c r="E855" s="139"/>
      <c r="F855" s="139"/>
      <c r="G855" s="139"/>
      <c r="H855" s="121"/>
      <c r="I855" s="143"/>
      <c r="J855" s="143"/>
      <c r="K855" s="143"/>
      <c r="L855" s="106"/>
      <c r="M855" s="106"/>
      <c r="N855" s="315"/>
      <c r="O855" s="106"/>
      <c r="P855" s="106"/>
      <c r="Q855" s="106"/>
      <c r="R855" s="106"/>
      <c r="S855" s="106"/>
      <c r="T855" s="106"/>
      <c r="U855" s="107"/>
      <c r="V855" s="107"/>
      <c r="W855" s="107"/>
      <c r="X855" s="107"/>
      <c r="Y855" s="107"/>
    </row>
    <row r="856" spans="1:25" s="104" customFormat="1" x14ac:dyDescent="0.2">
      <c r="A856" s="119"/>
      <c r="B856" s="136"/>
      <c r="C856" s="136"/>
      <c r="D856" s="136"/>
      <c r="E856" s="136"/>
      <c r="F856" s="136"/>
      <c r="G856" s="136"/>
      <c r="H856" s="119"/>
      <c r="I856" s="144"/>
      <c r="J856" s="144"/>
      <c r="K856" s="144"/>
      <c r="L856" s="86"/>
      <c r="M856" s="86"/>
      <c r="N856" s="316"/>
      <c r="O856" s="86"/>
      <c r="P856" s="86"/>
      <c r="Q856" s="86"/>
      <c r="R856" s="86"/>
      <c r="S856" s="86"/>
      <c r="T856" s="86"/>
      <c r="U856" s="110"/>
      <c r="V856" s="110"/>
      <c r="W856" s="110"/>
      <c r="X856" s="110"/>
      <c r="Y856" s="110"/>
    </row>
    <row r="857" spans="1:25" s="104" customFormat="1" x14ac:dyDescent="0.2">
      <c r="A857" s="113"/>
      <c r="B857" s="141"/>
      <c r="C857" s="141"/>
      <c r="D857" s="137"/>
      <c r="E857" s="137"/>
      <c r="F857" s="138"/>
      <c r="G857" s="138"/>
      <c r="H857" s="112"/>
      <c r="I857" s="144"/>
      <c r="J857" s="144"/>
      <c r="K857" s="144"/>
      <c r="L857" s="86"/>
      <c r="M857" s="86"/>
      <c r="N857" s="316"/>
      <c r="O857" s="86"/>
      <c r="P857" s="86"/>
      <c r="Q857" s="86"/>
      <c r="R857" s="86"/>
      <c r="S857" s="86"/>
      <c r="T857" s="86"/>
      <c r="U857" s="110"/>
      <c r="V857" s="110"/>
      <c r="W857" s="110"/>
      <c r="X857" s="110"/>
      <c r="Y857" s="110"/>
    </row>
    <row r="858" spans="1:25" s="104" customFormat="1" x14ac:dyDescent="0.2">
      <c r="A858" s="121"/>
      <c r="B858" s="139"/>
      <c r="C858" s="139"/>
      <c r="D858" s="140"/>
      <c r="E858" s="139"/>
      <c r="F858" s="139"/>
      <c r="G858" s="139"/>
      <c r="H858" s="122"/>
      <c r="I858" s="143"/>
      <c r="J858" s="143"/>
      <c r="K858" s="143"/>
      <c r="L858" s="106"/>
      <c r="M858" s="106"/>
      <c r="N858" s="315"/>
      <c r="O858" s="106"/>
      <c r="P858" s="106"/>
      <c r="Q858" s="106"/>
      <c r="R858" s="106"/>
      <c r="S858" s="106"/>
      <c r="T858" s="106"/>
      <c r="U858" s="106"/>
      <c r="V858" s="106"/>
      <c r="W858" s="107"/>
      <c r="X858" s="107"/>
      <c r="Y858" s="107"/>
    </row>
    <row r="859" spans="1:25" s="104" customFormat="1" x14ac:dyDescent="0.2">
      <c r="A859" s="119"/>
      <c r="B859" s="136"/>
      <c r="C859" s="136"/>
      <c r="D859" s="136"/>
      <c r="E859" s="136"/>
      <c r="F859" s="136"/>
      <c r="G859" s="136"/>
      <c r="H859" s="119"/>
      <c r="I859" s="144"/>
      <c r="J859" s="144"/>
      <c r="K859" s="144"/>
      <c r="L859" s="86"/>
      <c r="M859" s="86"/>
      <c r="N859" s="316"/>
      <c r="O859" s="86"/>
      <c r="P859" s="86"/>
      <c r="Q859" s="86"/>
      <c r="R859" s="86"/>
      <c r="S859" s="86"/>
      <c r="T859" s="86"/>
      <c r="U859" s="86"/>
      <c r="V859" s="86"/>
      <c r="W859" s="110"/>
      <c r="X859" s="110"/>
      <c r="Y859" s="110"/>
    </row>
    <row r="860" spans="1:25" s="104" customFormat="1" x14ac:dyDescent="0.2">
      <c r="A860" s="119"/>
      <c r="B860" s="136"/>
      <c r="C860" s="136"/>
      <c r="D860" s="137"/>
      <c r="E860" s="137"/>
      <c r="F860" s="138"/>
      <c r="G860" s="138"/>
      <c r="H860" s="116"/>
      <c r="I860" s="144"/>
      <c r="J860" s="144"/>
      <c r="K860" s="144"/>
      <c r="L860" s="86"/>
      <c r="M860" s="86"/>
      <c r="N860" s="316"/>
      <c r="O860" s="86"/>
      <c r="P860" s="86"/>
      <c r="Q860" s="86"/>
      <c r="R860" s="86"/>
      <c r="S860" s="86"/>
      <c r="T860" s="86"/>
      <c r="U860" s="86"/>
      <c r="V860" s="86"/>
      <c r="W860" s="110"/>
      <c r="X860" s="110"/>
      <c r="Y860" s="110"/>
    </row>
    <row r="861" spans="1:25" s="104" customFormat="1" x14ac:dyDescent="0.2">
      <c r="A861" s="119"/>
      <c r="B861" s="136"/>
      <c r="C861" s="136"/>
      <c r="D861" s="137"/>
      <c r="E861" s="137"/>
      <c r="F861" s="138"/>
      <c r="G861" s="138"/>
      <c r="H861" s="116"/>
      <c r="I861" s="144"/>
      <c r="J861" s="144"/>
      <c r="K861" s="144"/>
      <c r="L861" s="86"/>
      <c r="M861" s="86"/>
      <c r="N861" s="316"/>
      <c r="O861" s="86"/>
      <c r="P861" s="86"/>
      <c r="Q861" s="86"/>
      <c r="R861" s="86"/>
      <c r="S861" s="86"/>
      <c r="T861" s="86"/>
      <c r="U861" s="86"/>
      <c r="V861" s="86"/>
      <c r="W861" s="110"/>
      <c r="X861" s="110"/>
      <c r="Y861" s="110"/>
    </row>
    <row r="862" spans="1:25" s="104" customFormat="1" x14ac:dyDescent="0.2">
      <c r="A862" s="119"/>
      <c r="B862" s="136"/>
      <c r="C862" s="136"/>
      <c r="D862" s="137"/>
      <c r="E862" s="137"/>
      <c r="F862" s="138"/>
      <c r="G862" s="138"/>
      <c r="H862" s="116"/>
      <c r="I862" s="144"/>
      <c r="J862" s="144"/>
      <c r="K862" s="144"/>
      <c r="L862" s="86"/>
      <c r="M862" s="86"/>
      <c r="N862" s="316"/>
      <c r="O862" s="86"/>
      <c r="P862" s="86"/>
      <c r="Q862" s="86"/>
      <c r="R862" s="86"/>
      <c r="S862" s="86"/>
      <c r="T862" s="86"/>
      <c r="U862" s="86"/>
      <c r="V862" s="86"/>
      <c r="W862" s="110"/>
      <c r="X862" s="110"/>
      <c r="Y862" s="110"/>
    </row>
    <row r="863" spans="1:25" s="104" customFormat="1" x14ac:dyDescent="0.2">
      <c r="A863" s="119"/>
      <c r="B863" s="136"/>
      <c r="C863" s="136"/>
      <c r="D863" s="136"/>
      <c r="E863" s="136"/>
      <c r="F863" s="136"/>
      <c r="G863" s="136"/>
      <c r="H863" s="119"/>
      <c r="I863" s="144"/>
      <c r="J863" s="144"/>
      <c r="K863" s="144"/>
      <c r="L863" s="86"/>
      <c r="M863" s="86"/>
      <c r="N863" s="316"/>
      <c r="O863" s="86"/>
      <c r="P863" s="86"/>
      <c r="Q863" s="86"/>
      <c r="R863" s="86"/>
      <c r="S863" s="86"/>
      <c r="T863" s="86"/>
      <c r="U863" s="86"/>
      <c r="V863" s="86"/>
      <c r="W863" s="110"/>
      <c r="X863" s="110"/>
      <c r="Y863" s="110"/>
    </row>
    <row r="864" spans="1:25" s="104" customFormat="1" x14ac:dyDescent="0.2">
      <c r="A864" s="119"/>
      <c r="B864" s="136"/>
      <c r="C864" s="136"/>
      <c r="D864" s="137"/>
      <c r="E864" s="137"/>
      <c r="F864" s="138"/>
      <c r="G864" s="138"/>
      <c r="H864" s="116"/>
      <c r="I864" s="144"/>
      <c r="J864" s="144"/>
      <c r="K864" s="144"/>
      <c r="L864" s="86"/>
      <c r="M864" s="86"/>
      <c r="N864" s="316"/>
      <c r="O864" s="86"/>
      <c r="P864" s="86"/>
      <c r="Q864" s="86"/>
      <c r="R864" s="86"/>
      <c r="S864" s="86"/>
      <c r="T864" s="86"/>
      <c r="U864" s="86"/>
      <c r="V864" s="86"/>
      <c r="W864" s="110"/>
      <c r="X864" s="110"/>
      <c r="Y864" s="110"/>
    </row>
    <row r="865" spans="1:28" x14ac:dyDescent="0.2">
      <c r="A865" s="119"/>
      <c r="B865" s="136"/>
      <c r="C865" s="136"/>
      <c r="D865" s="137"/>
      <c r="E865" s="137"/>
      <c r="F865" s="138"/>
      <c r="G865" s="138"/>
      <c r="H865" s="116"/>
      <c r="I865" s="144"/>
      <c r="J865" s="144"/>
      <c r="K865" s="144"/>
      <c r="L865" s="86"/>
      <c r="M865" s="86"/>
      <c r="N865" s="316"/>
      <c r="O865" s="86"/>
      <c r="P865" s="86"/>
      <c r="Q865" s="86"/>
      <c r="R865" s="86"/>
      <c r="S865" s="86"/>
      <c r="T865" s="86"/>
      <c r="U865" s="86"/>
      <c r="V865" s="86"/>
      <c r="W865" s="110"/>
      <c r="X865" s="110"/>
      <c r="Y865" s="110"/>
      <c r="Z865" s="104"/>
      <c r="AA865" s="104"/>
    </row>
    <row r="866" spans="1:28" x14ac:dyDescent="0.2">
      <c r="A866" s="119"/>
      <c r="B866" s="136"/>
      <c r="C866" s="136"/>
      <c r="D866" s="136"/>
      <c r="E866" s="136"/>
      <c r="F866" s="136"/>
      <c r="G866" s="136"/>
      <c r="H866" s="119"/>
      <c r="I866" s="144"/>
      <c r="J866" s="144"/>
      <c r="K866" s="144"/>
      <c r="L866" s="86"/>
      <c r="M866" s="86"/>
      <c r="N866" s="316"/>
      <c r="O866" s="86"/>
      <c r="P866" s="86"/>
      <c r="Q866" s="86"/>
      <c r="R866" s="86"/>
      <c r="S866" s="86"/>
      <c r="T866" s="86"/>
      <c r="U866" s="86"/>
      <c r="V866" s="86"/>
      <c r="W866" s="110"/>
      <c r="X866" s="110"/>
      <c r="Y866" s="110"/>
      <c r="Z866" s="104"/>
      <c r="AA866" s="104"/>
    </row>
    <row r="867" spans="1:28" x14ac:dyDescent="0.2">
      <c r="A867" s="119"/>
      <c r="B867" s="136"/>
      <c r="C867" s="136"/>
      <c r="D867" s="137"/>
      <c r="E867" s="137"/>
      <c r="F867" s="138"/>
      <c r="G867" s="138"/>
      <c r="H867" s="116"/>
      <c r="I867" s="144"/>
      <c r="J867" s="144"/>
      <c r="K867" s="144"/>
      <c r="L867" s="86"/>
      <c r="M867" s="86"/>
      <c r="N867" s="316"/>
      <c r="O867" s="86"/>
      <c r="P867" s="86"/>
      <c r="Q867" s="86"/>
      <c r="R867" s="86"/>
      <c r="S867" s="86"/>
      <c r="T867" s="86"/>
      <c r="U867" s="86"/>
      <c r="V867" s="86"/>
      <c r="W867" s="110"/>
      <c r="X867" s="110"/>
      <c r="Y867" s="110"/>
      <c r="Z867" s="104"/>
      <c r="AA867" s="104"/>
    </row>
    <row r="868" spans="1:28" x14ac:dyDescent="0.2">
      <c r="A868" s="121"/>
      <c r="B868" s="139"/>
      <c r="C868" s="139"/>
      <c r="D868" s="139"/>
      <c r="E868" s="139"/>
      <c r="F868" s="139"/>
      <c r="G868" s="139"/>
      <c r="H868" s="121"/>
      <c r="I868" s="143"/>
      <c r="J868" s="143"/>
      <c r="K868" s="143"/>
      <c r="L868" s="106"/>
      <c r="M868" s="106"/>
      <c r="N868" s="315"/>
      <c r="O868" s="106"/>
      <c r="P868" s="106"/>
      <c r="Q868" s="106"/>
      <c r="R868" s="106"/>
      <c r="S868" s="106"/>
      <c r="T868" s="106"/>
      <c r="U868" s="107"/>
      <c r="V868" s="107"/>
      <c r="W868" s="107"/>
      <c r="X868" s="107"/>
      <c r="Y868" s="109"/>
      <c r="AB868" s="103"/>
    </row>
    <row r="869" spans="1:28" x14ac:dyDescent="0.2">
      <c r="A869" s="121"/>
      <c r="B869" s="139"/>
      <c r="C869" s="139"/>
      <c r="D869" s="140"/>
      <c r="E869" s="139"/>
      <c r="F869" s="139"/>
      <c r="G869" s="139"/>
      <c r="H869" s="121"/>
      <c r="I869" s="143"/>
      <c r="J869" s="143"/>
      <c r="K869" s="143"/>
      <c r="L869" s="106"/>
      <c r="M869" s="106"/>
      <c r="N869" s="315"/>
      <c r="O869" s="106"/>
      <c r="P869" s="106"/>
      <c r="Q869" s="106"/>
      <c r="R869" s="106"/>
      <c r="S869" s="106"/>
      <c r="T869" s="106"/>
      <c r="U869" s="107"/>
      <c r="V869" s="107"/>
      <c r="W869" s="107"/>
      <c r="X869" s="107"/>
      <c r="Y869" s="107"/>
      <c r="Z869" s="104"/>
      <c r="AA869" s="104"/>
    </row>
    <row r="870" spans="1:28" x14ac:dyDescent="0.2">
      <c r="A870" s="119"/>
      <c r="B870" s="136"/>
      <c r="C870" s="136"/>
      <c r="D870" s="136"/>
      <c r="E870" s="136"/>
      <c r="F870" s="136"/>
      <c r="G870" s="136"/>
      <c r="H870" s="119"/>
      <c r="I870" s="144"/>
      <c r="J870" s="144"/>
      <c r="K870" s="144"/>
      <c r="L870" s="86"/>
      <c r="M870" s="86"/>
      <c r="N870" s="316"/>
      <c r="O870" s="86"/>
      <c r="P870" s="86"/>
      <c r="Q870" s="86"/>
      <c r="R870" s="86"/>
      <c r="S870" s="86"/>
      <c r="T870" s="86"/>
      <c r="U870" s="110"/>
      <c r="V870" s="110"/>
      <c r="W870" s="110"/>
      <c r="X870" s="110"/>
      <c r="Y870" s="110"/>
      <c r="Z870" s="104"/>
      <c r="AA870" s="104"/>
    </row>
    <row r="871" spans="1:28" x14ac:dyDescent="0.2">
      <c r="A871" s="113"/>
      <c r="B871" s="141"/>
      <c r="C871" s="141"/>
      <c r="D871" s="137"/>
      <c r="E871" s="137"/>
      <c r="F871" s="138"/>
      <c r="G871" s="138"/>
      <c r="H871" s="112"/>
      <c r="I871" s="144"/>
      <c r="J871" s="144"/>
      <c r="K871" s="144"/>
      <c r="L871" s="86"/>
      <c r="M871" s="86"/>
      <c r="N871" s="316"/>
      <c r="O871" s="86"/>
      <c r="P871" s="86"/>
      <c r="Q871" s="86"/>
      <c r="R871" s="86"/>
      <c r="S871" s="86"/>
      <c r="T871" s="86"/>
      <c r="U871" s="110"/>
      <c r="V871" s="110"/>
      <c r="W871" s="110"/>
      <c r="X871" s="110"/>
      <c r="Y871" s="110"/>
      <c r="Z871" s="104"/>
      <c r="AA871" s="104"/>
    </row>
    <row r="872" spans="1:28" x14ac:dyDescent="0.2">
      <c r="A872" s="121"/>
      <c r="B872" s="139"/>
      <c r="C872" s="139"/>
      <c r="D872" s="139"/>
      <c r="E872" s="139"/>
      <c r="F872" s="139"/>
      <c r="G872" s="139"/>
      <c r="H872" s="121"/>
      <c r="I872" s="143"/>
      <c r="J872" s="143"/>
      <c r="K872" s="143"/>
      <c r="L872" s="106"/>
      <c r="M872" s="106"/>
      <c r="N872" s="315"/>
      <c r="O872" s="106"/>
      <c r="P872" s="106"/>
      <c r="Q872" s="106"/>
      <c r="R872" s="106"/>
      <c r="S872" s="106"/>
      <c r="T872" s="106"/>
      <c r="U872" s="107"/>
      <c r="V872" s="114"/>
      <c r="W872" s="107"/>
      <c r="X872" s="107"/>
      <c r="Y872" s="109"/>
      <c r="AB872" s="103"/>
    </row>
    <row r="873" spans="1:28" x14ac:dyDescent="0.2">
      <c r="A873" s="121"/>
      <c r="B873" s="139"/>
      <c r="C873" s="139"/>
      <c r="D873" s="140"/>
      <c r="E873" s="139"/>
      <c r="F873" s="139"/>
      <c r="G873" s="139"/>
      <c r="H873" s="121"/>
      <c r="I873" s="143"/>
      <c r="J873" s="143"/>
      <c r="K873" s="143"/>
      <c r="L873" s="106"/>
      <c r="M873" s="106"/>
      <c r="N873" s="315"/>
      <c r="O873" s="106"/>
      <c r="P873" s="106"/>
      <c r="Q873" s="106"/>
      <c r="R873" s="106"/>
      <c r="S873" s="106"/>
      <c r="T873" s="106"/>
      <c r="U873" s="107"/>
      <c r="V873" s="114"/>
      <c r="W873" s="107"/>
      <c r="X873" s="107"/>
      <c r="Y873" s="107"/>
      <c r="Z873" s="104"/>
      <c r="AA873" s="104"/>
    </row>
    <row r="874" spans="1:28" x14ac:dyDescent="0.2">
      <c r="A874" s="119"/>
      <c r="B874" s="136"/>
      <c r="C874" s="136"/>
      <c r="D874" s="136"/>
      <c r="E874" s="136"/>
      <c r="F874" s="136"/>
      <c r="G874" s="136"/>
      <c r="H874" s="119"/>
      <c r="I874" s="144"/>
      <c r="J874" s="144"/>
      <c r="K874" s="144"/>
      <c r="L874" s="86"/>
      <c r="M874" s="86"/>
      <c r="N874" s="316"/>
      <c r="O874" s="86"/>
      <c r="P874" s="86"/>
      <c r="Q874" s="86"/>
      <c r="R874" s="86"/>
      <c r="S874" s="86"/>
      <c r="T874" s="86"/>
      <c r="U874" s="110"/>
      <c r="V874" s="115"/>
      <c r="W874" s="110"/>
      <c r="X874" s="110"/>
      <c r="Y874" s="110"/>
      <c r="Z874" s="104"/>
      <c r="AA874" s="104"/>
    </row>
    <row r="875" spans="1:28" x14ac:dyDescent="0.2">
      <c r="A875" s="113"/>
      <c r="B875" s="141"/>
      <c r="C875" s="141"/>
      <c r="D875" s="137"/>
      <c r="E875" s="137"/>
      <c r="F875" s="138"/>
      <c r="G875" s="138"/>
      <c r="H875" s="112"/>
      <c r="I875" s="144"/>
      <c r="J875" s="144"/>
      <c r="K875" s="144"/>
      <c r="L875" s="86"/>
      <c r="M875" s="86"/>
      <c r="N875" s="316"/>
      <c r="O875" s="86"/>
      <c r="P875" s="86"/>
      <c r="Q875" s="86"/>
      <c r="R875" s="86"/>
      <c r="S875" s="86"/>
      <c r="T875" s="86"/>
      <c r="U875" s="110"/>
      <c r="V875" s="115"/>
      <c r="W875" s="110"/>
      <c r="X875" s="110"/>
      <c r="Y875" s="110"/>
      <c r="Z875" s="104"/>
      <c r="AA875" s="104"/>
    </row>
    <row r="876" spans="1:28" x14ac:dyDescent="0.2">
      <c r="A876" s="121"/>
      <c r="B876" s="139"/>
      <c r="C876" s="139"/>
      <c r="D876" s="140"/>
      <c r="E876" s="139"/>
      <c r="F876" s="139"/>
      <c r="G876" s="139"/>
      <c r="H876" s="121"/>
      <c r="I876" s="143"/>
      <c r="J876" s="143"/>
      <c r="K876" s="143"/>
      <c r="L876" s="106"/>
      <c r="M876" s="106"/>
      <c r="N876" s="315"/>
      <c r="O876" s="106"/>
      <c r="P876" s="106"/>
      <c r="Q876" s="106"/>
      <c r="R876" s="106"/>
      <c r="S876" s="106"/>
      <c r="T876" s="106"/>
      <c r="U876" s="107"/>
      <c r="V876" s="114"/>
      <c r="W876" s="107"/>
      <c r="X876" s="107"/>
      <c r="Y876" s="107"/>
      <c r="Z876" s="104"/>
      <c r="AA876" s="104"/>
    </row>
    <row r="877" spans="1:28" x14ac:dyDescent="0.2">
      <c r="A877" s="119"/>
      <c r="B877" s="136"/>
      <c r="C877" s="136"/>
      <c r="D877" s="136"/>
      <c r="E877" s="136"/>
      <c r="F877" s="136"/>
      <c r="G877" s="136"/>
      <c r="H877" s="119"/>
      <c r="I877" s="144"/>
      <c r="J877" s="144"/>
      <c r="K877" s="144"/>
      <c r="L877" s="86"/>
      <c r="M877" s="86"/>
      <c r="N877" s="316"/>
      <c r="O877" s="86"/>
      <c r="P877" s="86"/>
      <c r="Q877" s="86"/>
      <c r="R877" s="86"/>
      <c r="S877" s="86"/>
      <c r="T877" s="86"/>
      <c r="U877" s="110"/>
      <c r="V877" s="115"/>
      <c r="W877" s="110"/>
      <c r="X877" s="110"/>
      <c r="Y877" s="110"/>
      <c r="Z877" s="104"/>
      <c r="AA877" s="104"/>
    </row>
    <row r="878" spans="1:28" x14ac:dyDescent="0.2">
      <c r="A878" s="113"/>
      <c r="B878" s="141"/>
      <c r="C878" s="141"/>
      <c r="D878" s="137"/>
      <c r="E878" s="137"/>
      <c r="F878" s="138"/>
      <c r="G878" s="138"/>
      <c r="H878" s="112"/>
      <c r="I878" s="144"/>
      <c r="J878" s="144"/>
      <c r="K878" s="144"/>
      <c r="L878" s="86"/>
      <c r="M878" s="86"/>
      <c r="N878" s="316"/>
      <c r="O878" s="86"/>
      <c r="P878" s="86"/>
      <c r="Q878" s="86"/>
      <c r="R878" s="86"/>
      <c r="S878" s="86"/>
      <c r="T878" s="86"/>
      <c r="U878" s="110"/>
      <c r="V878" s="115"/>
      <c r="W878" s="110"/>
      <c r="X878" s="110"/>
      <c r="Y878" s="110"/>
      <c r="Z878" s="104"/>
      <c r="AA878" s="104"/>
    </row>
    <row r="879" spans="1:28" x14ac:dyDescent="0.2">
      <c r="A879" s="121"/>
      <c r="B879" s="139"/>
      <c r="C879" s="139"/>
      <c r="D879" s="140"/>
      <c r="E879" s="139"/>
      <c r="F879" s="139"/>
      <c r="G879" s="139"/>
      <c r="H879" s="121"/>
      <c r="I879" s="143"/>
      <c r="J879" s="143"/>
      <c r="K879" s="143"/>
      <c r="L879" s="106"/>
      <c r="M879" s="106"/>
      <c r="N879" s="315"/>
      <c r="O879" s="106"/>
      <c r="P879" s="106"/>
      <c r="Q879" s="106"/>
      <c r="R879" s="106"/>
      <c r="S879" s="106"/>
      <c r="T879" s="106"/>
      <c r="U879" s="114"/>
      <c r="V879" s="108"/>
      <c r="W879" s="114"/>
      <c r="X879" s="114"/>
      <c r="Y879" s="114"/>
      <c r="Z879" s="104"/>
      <c r="AA879" s="104"/>
    </row>
    <row r="880" spans="1:28" x14ac:dyDescent="0.2">
      <c r="A880" s="119"/>
      <c r="B880" s="136"/>
      <c r="C880" s="136"/>
      <c r="D880" s="136"/>
      <c r="E880" s="136"/>
      <c r="F880" s="136"/>
      <c r="G880" s="136"/>
      <c r="H880" s="119"/>
      <c r="I880" s="144"/>
      <c r="J880" s="144"/>
      <c r="K880" s="144"/>
      <c r="L880" s="86"/>
      <c r="M880" s="86"/>
      <c r="N880" s="316"/>
      <c r="O880" s="86"/>
      <c r="P880" s="86"/>
      <c r="Q880" s="86"/>
      <c r="R880" s="86"/>
      <c r="S880" s="86"/>
      <c r="T880" s="86"/>
      <c r="U880" s="115"/>
      <c r="V880" s="111"/>
      <c r="W880" s="115"/>
      <c r="X880" s="115"/>
      <c r="Y880" s="115"/>
      <c r="Z880" s="104"/>
      <c r="AA880" s="104"/>
    </row>
    <row r="881" spans="1:28" x14ac:dyDescent="0.2">
      <c r="A881" s="113"/>
      <c r="B881" s="141"/>
      <c r="C881" s="141"/>
      <c r="D881" s="138"/>
      <c r="E881" s="137"/>
      <c r="F881" s="138"/>
      <c r="G881" s="138"/>
      <c r="H881" s="112"/>
      <c r="I881" s="144"/>
      <c r="J881" s="144"/>
      <c r="K881" s="144"/>
      <c r="L881" s="86"/>
      <c r="M881" s="86"/>
      <c r="N881" s="316"/>
      <c r="O881" s="86"/>
      <c r="P881" s="86"/>
      <c r="Q881" s="86"/>
      <c r="R881" s="86"/>
      <c r="S881" s="86"/>
      <c r="T881" s="86"/>
      <c r="U881" s="115"/>
      <c r="V881" s="111"/>
      <c r="W881" s="115"/>
      <c r="X881" s="115"/>
      <c r="Y881" s="115"/>
      <c r="Z881" s="104"/>
      <c r="AA881" s="104"/>
    </row>
    <row r="882" spans="1:28" x14ac:dyDescent="0.2">
      <c r="A882" s="121"/>
      <c r="B882" s="139"/>
      <c r="C882" s="139"/>
      <c r="D882" s="140"/>
      <c r="E882" s="139"/>
      <c r="F882" s="139"/>
      <c r="G882" s="139"/>
      <c r="H882" s="121"/>
      <c r="I882" s="143"/>
      <c r="J882" s="143"/>
      <c r="K882" s="143"/>
      <c r="L882" s="106"/>
      <c r="M882" s="106"/>
      <c r="N882" s="315"/>
      <c r="O882" s="106"/>
      <c r="P882" s="106"/>
      <c r="Q882" s="106"/>
      <c r="R882" s="106"/>
      <c r="S882" s="106"/>
      <c r="T882" s="106"/>
      <c r="U882" s="114"/>
      <c r="V882" s="108"/>
      <c r="W882" s="114"/>
      <c r="X882" s="114"/>
      <c r="Y882" s="114"/>
      <c r="Z882" s="104"/>
      <c r="AA882" s="104"/>
    </row>
    <row r="883" spans="1:28" x14ac:dyDescent="0.2">
      <c r="A883" s="119"/>
      <c r="B883" s="136"/>
      <c r="C883" s="136"/>
      <c r="D883" s="136"/>
      <c r="E883" s="136"/>
      <c r="F883" s="136"/>
      <c r="G883" s="136"/>
      <c r="H883" s="119"/>
      <c r="I883" s="144"/>
      <c r="J883" s="144"/>
      <c r="K883" s="144"/>
      <c r="L883" s="86"/>
      <c r="M883" s="86"/>
      <c r="N883" s="316"/>
      <c r="O883" s="86"/>
      <c r="P883" s="86"/>
      <c r="Q883" s="86"/>
      <c r="R883" s="86"/>
      <c r="S883" s="86"/>
      <c r="T883" s="86"/>
      <c r="U883" s="115"/>
      <c r="V883" s="111"/>
      <c r="W883" s="115"/>
      <c r="X883" s="115"/>
      <c r="Y883" s="115"/>
      <c r="Z883" s="104"/>
      <c r="AA883" s="104"/>
    </row>
    <row r="884" spans="1:28" x14ac:dyDescent="0.2">
      <c r="A884" s="113"/>
      <c r="B884" s="141"/>
      <c r="C884" s="141"/>
      <c r="D884" s="138"/>
      <c r="E884" s="137"/>
      <c r="F884" s="138"/>
      <c r="G884" s="138"/>
      <c r="H884" s="112"/>
      <c r="I884" s="144"/>
      <c r="J884" s="144"/>
      <c r="K884" s="144"/>
      <c r="L884" s="86"/>
      <c r="M884" s="86"/>
      <c r="N884" s="316"/>
      <c r="O884" s="86"/>
      <c r="P884" s="86"/>
      <c r="Q884" s="86"/>
      <c r="R884" s="86"/>
      <c r="S884" s="86"/>
      <c r="T884" s="86"/>
      <c r="U884" s="115"/>
      <c r="V884" s="111"/>
      <c r="W884" s="115"/>
      <c r="X884" s="115"/>
      <c r="Y884" s="115"/>
      <c r="Z884" s="104"/>
      <c r="AA884" s="104"/>
    </row>
    <row r="885" spans="1:28" x14ac:dyDescent="0.2">
      <c r="A885" s="121"/>
      <c r="B885" s="139"/>
      <c r="C885" s="139"/>
      <c r="D885" s="139"/>
      <c r="E885" s="139"/>
      <c r="F885" s="139"/>
      <c r="G885" s="139"/>
      <c r="H885" s="121"/>
      <c r="I885" s="143"/>
      <c r="J885" s="143"/>
      <c r="K885" s="143"/>
      <c r="L885" s="106"/>
      <c r="M885" s="106"/>
      <c r="N885" s="315"/>
      <c r="O885" s="106"/>
      <c r="P885" s="106"/>
      <c r="Q885" s="106"/>
      <c r="R885" s="106"/>
      <c r="S885" s="107"/>
      <c r="T885" s="108"/>
      <c r="U885" s="106"/>
      <c r="V885" s="106"/>
      <c r="W885" s="107"/>
      <c r="X885" s="107"/>
      <c r="Y885" s="109"/>
      <c r="AB885" s="103"/>
    </row>
    <row r="886" spans="1:28" x14ac:dyDescent="0.2">
      <c r="A886" s="121"/>
      <c r="B886" s="139"/>
      <c r="C886" s="139"/>
      <c r="D886" s="140"/>
      <c r="E886" s="139"/>
      <c r="F886" s="139"/>
      <c r="G886" s="139"/>
      <c r="H886" s="122"/>
      <c r="I886" s="143"/>
      <c r="J886" s="143"/>
      <c r="K886" s="143"/>
      <c r="L886" s="106"/>
      <c r="M886" s="106"/>
      <c r="N886" s="315"/>
      <c r="O886" s="106"/>
      <c r="P886" s="106"/>
      <c r="Q886" s="106"/>
      <c r="R886" s="106"/>
      <c r="S886" s="107"/>
      <c r="T886" s="108"/>
      <c r="U886" s="106"/>
      <c r="V886" s="106"/>
      <c r="W886" s="107"/>
      <c r="X886" s="107"/>
      <c r="Y886" s="107"/>
      <c r="Z886" s="104"/>
      <c r="AA886" s="104"/>
    </row>
    <row r="887" spans="1:28" x14ac:dyDescent="0.2">
      <c r="A887" s="119"/>
      <c r="B887" s="136"/>
      <c r="C887" s="136"/>
      <c r="D887" s="136"/>
      <c r="E887" s="136"/>
      <c r="F887" s="136"/>
      <c r="G887" s="136"/>
      <c r="H887" s="119"/>
      <c r="I887" s="144"/>
      <c r="J887" s="144"/>
      <c r="K887" s="144"/>
      <c r="L887" s="86"/>
      <c r="M887" s="86"/>
      <c r="N887" s="316"/>
      <c r="O887" s="86"/>
      <c r="P887" s="86"/>
      <c r="Q887" s="86"/>
      <c r="R887" s="86"/>
      <c r="S887" s="110"/>
      <c r="T887" s="111"/>
      <c r="U887" s="86"/>
      <c r="V887" s="86"/>
      <c r="W887" s="110"/>
      <c r="X887" s="110"/>
      <c r="Y887" s="110"/>
      <c r="Z887" s="104"/>
      <c r="AA887" s="104"/>
    </row>
    <row r="888" spans="1:28" x14ac:dyDescent="0.2">
      <c r="A888" s="119"/>
      <c r="B888" s="136"/>
      <c r="C888" s="136"/>
      <c r="D888" s="137"/>
      <c r="E888" s="137"/>
      <c r="F888" s="138"/>
      <c r="G888" s="138"/>
      <c r="H888" s="112"/>
      <c r="I888" s="144"/>
      <c r="J888" s="144"/>
      <c r="K888" s="144"/>
      <c r="L888" s="86"/>
      <c r="M888" s="86"/>
      <c r="N888" s="316"/>
      <c r="O888" s="86"/>
      <c r="P888" s="86"/>
      <c r="Q888" s="86"/>
      <c r="R888" s="86"/>
      <c r="S888" s="110"/>
      <c r="T888" s="111"/>
      <c r="U888" s="86"/>
      <c r="V888" s="86"/>
      <c r="W888" s="110"/>
      <c r="X888" s="110"/>
      <c r="Y888" s="110"/>
      <c r="Z888" s="104"/>
      <c r="AA888" s="104"/>
    </row>
    <row r="889" spans="1:28" x14ac:dyDescent="0.2">
      <c r="A889" s="119"/>
      <c r="B889" s="136"/>
      <c r="C889" s="136"/>
      <c r="D889" s="137"/>
      <c r="E889" s="137"/>
      <c r="F889" s="138"/>
      <c r="G889" s="138"/>
      <c r="H889" s="112"/>
      <c r="I889" s="144"/>
      <c r="J889" s="144"/>
      <c r="K889" s="144"/>
      <c r="L889" s="86"/>
      <c r="M889" s="86"/>
      <c r="N889" s="316"/>
      <c r="O889" s="86"/>
      <c r="P889" s="86"/>
      <c r="Q889" s="86"/>
      <c r="R889" s="86"/>
      <c r="S889" s="110"/>
      <c r="T889" s="111"/>
      <c r="U889" s="86"/>
      <c r="V889" s="86"/>
      <c r="W889" s="110"/>
      <c r="X889" s="110"/>
      <c r="Y889" s="110"/>
      <c r="Z889" s="104"/>
      <c r="AA889" s="104"/>
    </row>
    <row r="890" spans="1:28" x14ac:dyDescent="0.2">
      <c r="A890" s="119"/>
      <c r="B890" s="136"/>
      <c r="C890" s="136"/>
      <c r="D890" s="136"/>
      <c r="E890" s="136"/>
      <c r="F890" s="136"/>
      <c r="G890" s="136"/>
      <c r="H890" s="119"/>
      <c r="I890" s="144"/>
      <c r="J890" s="144"/>
      <c r="K890" s="144"/>
      <c r="L890" s="86"/>
      <c r="M890" s="86"/>
      <c r="N890" s="316"/>
      <c r="O890" s="86"/>
      <c r="P890" s="86"/>
      <c r="Q890" s="86"/>
      <c r="R890" s="86"/>
      <c r="S890" s="110"/>
      <c r="T890" s="111"/>
      <c r="U890" s="86"/>
      <c r="V890" s="86"/>
      <c r="W890" s="110"/>
      <c r="X890" s="110"/>
      <c r="Y890" s="110"/>
      <c r="Z890" s="104"/>
      <c r="AA890" s="104"/>
    </row>
    <row r="891" spans="1:28" x14ac:dyDescent="0.2">
      <c r="A891" s="119"/>
      <c r="B891" s="136"/>
      <c r="C891" s="136"/>
      <c r="D891" s="137"/>
      <c r="E891" s="137"/>
      <c r="F891" s="138"/>
      <c r="G891" s="138"/>
      <c r="H891" s="112"/>
      <c r="I891" s="144"/>
      <c r="J891" s="144"/>
      <c r="K891" s="144"/>
      <c r="L891" s="86"/>
      <c r="M891" s="86"/>
      <c r="N891" s="316"/>
      <c r="O891" s="86"/>
      <c r="P891" s="86"/>
      <c r="Q891" s="86"/>
      <c r="R891" s="86"/>
      <c r="S891" s="110"/>
      <c r="T891" s="111"/>
      <c r="U891" s="86"/>
      <c r="V891" s="86"/>
      <c r="W891" s="110"/>
      <c r="X891" s="110"/>
      <c r="Y891" s="110"/>
      <c r="Z891" s="104"/>
      <c r="AA891" s="104"/>
    </row>
    <row r="892" spans="1:28" ht="12.75" x14ac:dyDescent="0.2">
      <c r="A892" s="120"/>
      <c r="B892" s="142"/>
      <c r="C892" s="142"/>
      <c r="D892" s="142"/>
      <c r="E892" s="142"/>
      <c r="F892" s="142"/>
      <c r="G892" s="142"/>
      <c r="H892" s="120"/>
      <c r="I892" s="142"/>
      <c r="J892" s="142"/>
      <c r="K892" s="142"/>
      <c r="L892" s="118"/>
      <c r="M892" s="117"/>
      <c r="N892" s="319"/>
      <c r="O892" s="117"/>
      <c r="P892" s="118"/>
      <c r="Q892" s="117"/>
      <c r="R892" s="118"/>
      <c r="S892" s="117"/>
      <c r="T892" s="118"/>
      <c r="U892" s="117"/>
      <c r="V892" s="117"/>
      <c r="W892" s="117"/>
      <c r="X892" s="117"/>
      <c r="Y892" s="117"/>
      <c r="Z892" s="104"/>
      <c r="AA892" s="104"/>
    </row>
  </sheetData>
  <autoFilter ref="A6:K241">
    <filterColumn colId="1" showButton="0"/>
    <filterColumn colId="3" showButton="0"/>
    <filterColumn colId="5" showButton="0"/>
  </autoFilter>
  <mergeCells count="10">
    <mergeCell ref="G7:G8"/>
    <mergeCell ref="B6:C6"/>
    <mergeCell ref="D6:E6"/>
    <mergeCell ref="F6:G6"/>
    <mergeCell ref="A7:A8"/>
    <mergeCell ref="B7:B8"/>
    <mergeCell ref="C7:C8"/>
    <mergeCell ref="D7:D8"/>
    <mergeCell ref="E7:E8"/>
    <mergeCell ref="F7:F8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O483"/>
  <sheetViews>
    <sheetView topLeftCell="B1" zoomScale="85" zoomScaleNormal="85" workbookViewId="0">
      <pane ySplit="7" topLeftCell="A191" activePane="bottomLeft" state="frozen"/>
      <selection pane="bottomLeft" activeCell="E370" sqref="E370"/>
    </sheetView>
  </sheetViews>
  <sheetFormatPr defaultColWidth="41" defaultRowHeight="11.25" x14ac:dyDescent="0.2"/>
  <cols>
    <col min="1" max="6" width="41" style="3"/>
    <col min="7" max="11" width="15.1640625" style="181" customWidth="1"/>
    <col min="12" max="12" width="18.6640625" style="3" bestFit="1" customWidth="1"/>
    <col min="13" max="13" width="19.83203125" style="3" bestFit="1" customWidth="1"/>
    <col min="14" max="15" width="14.5" style="3" bestFit="1" customWidth="1"/>
    <col min="16" max="16" width="15" customWidth="1"/>
    <col min="17" max="18" width="20" customWidth="1"/>
  </cols>
  <sheetData>
    <row r="1" spans="1:15" x14ac:dyDescent="0.2">
      <c r="A1" s="180"/>
      <c r="B1" s="180"/>
      <c r="C1" s="180"/>
      <c r="D1" s="180"/>
      <c r="E1" s="180"/>
      <c r="F1" s="180"/>
      <c r="G1" s="179"/>
      <c r="H1" s="179"/>
      <c r="I1" s="179"/>
      <c r="J1" s="179"/>
      <c r="K1" s="179"/>
      <c r="L1" s="180"/>
      <c r="M1" s="180"/>
      <c r="N1" s="180"/>
      <c r="O1" s="180"/>
    </row>
    <row r="2" spans="1:15" ht="12.75" x14ac:dyDescent="0.2">
      <c r="A2" s="2" t="s">
        <v>0</v>
      </c>
      <c r="B2" s="2" t="s">
        <v>1138</v>
      </c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2" t="s">
        <v>1</v>
      </c>
      <c r="B3" s="197" t="s">
        <v>1041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s="181" customFormat="1" ht="33.6" customHeight="1" x14ac:dyDescent="0.2">
      <c r="A5" s="198" t="s">
        <v>2</v>
      </c>
      <c r="B5" s="198" t="s">
        <v>3</v>
      </c>
      <c r="C5" s="198" t="s">
        <v>4</v>
      </c>
      <c r="D5" s="198" t="s">
        <v>5</v>
      </c>
      <c r="E5" s="198" t="s">
        <v>6</v>
      </c>
      <c r="F5" s="198" t="s">
        <v>7</v>
      </c>
      <c r="G5" s="198" t="s">
        <v>421</v>
      </c>
      <c r="H5" s="198" t="s">
        <v>8</v>
      </c>
      <c r="I5" s="198" t="s">
        <v>9</v>
      </c>
      <c r="J5" s="198" t="s">
        <v>10</v>
      </c>
      <c r="K5" s="198" t="s">
        <v>11</v>
      </c>
      <c r="L5" s="198" t="s">
        <v>12</v>
      </c>
      <c r="M5" s="198" t="s">
        <v>13</v>
      </c>
      <c r="N5" s="199"/>
      <c r="O5" s="198" t="s">
        <v>14</v>
      </c>
    </row>
    <row r="6" spans="1:15" s="181" customFormat="1" ht="12.75" x14ac:dyDescent="0.2">
      <c r="A6" s="200"/>
      <c r="B6" s="201"/>
      <c r="C6" s="200"/>
      <c r="D6" s="201"/>
      <c r="E6" s="201"/>
      <c r="F6" s="201"/>
      <c r="G6" s="202"/>
      <c r="H6" s="202"/>
      <c r="I6" s="202"/>
      <c r="J6" s="202"/>
      <c r="K6" s="202"/>
      <c r="L6" s="202"/>
      <c r="M6" s="202"/>
      <c r="N6" s="199"/>
      <c r="O6" s="202"/>
    </row>
    <row r="7" spans="1:15" s="181" customFormat="1" ht="12.75" x14ac:dyDescent="0.2">
      <c r="A7" s="203"/>
      <c r="B7" s="202"/>
      <c r="C7" s="203"/>
      <c r="D7" s="202"/>
      <c r="E7" s="202"/>
      <c r="F7" s="202"/>
      <c r="G7" s="199" t="s">
        <v>15</v>
      </c>
      <c r="H7" s="199" t="s">
        <v>15</v>
      </c>
      <c r="I7" s="199" t="s">
        <v>15</v>
      </c>
      <c r="J7" s="199" t="s">
        <v>15</v>
      </c>
      <c r="K7" s="199" t="s">
        <v>15</v>
      </c>
      <c r="L7" s="199" t="s">
        <v>15</v>
      </c>
      <c r="M7" s="199" t="s">
        <v>15</v>
      </c>
      <c r="N7" s="199" t="s">
        <v>15</v>
      </c>
      <c r="O7" s="199" t="s">
        <v>15</v>
      </c>
    </row>
    <row r="8" spans="1:15" s="3" customFormat="1" x14ac:dyDescent="0.2">
      <c r="A8" s="204" t="s">
        <v>211</v>
      </c>
      <c r="B8" s="205" t="s">
        <v>212</v>
      </c>
      <c r="C8" s="204" t="s">
        <v>213</v>
      </c>
      <c r="D8" s="205" t="s">
        <v>20</v>
      </c>
      <c r="E8" s="205"/>
      <c r="F8" s="205" t="s">
        <v>214</v>
      </c>
      <c r="G8" s="205"/>
      <c r="H8" s="205"/>
      <c r="I8" s="205"/>
      <c r="J8" s="205"/>
      <c r="K8" s="206">
        <v>207729.97</v>
      </c>
      <c r="L8" s="205"/>
      <c r="M8" s="205"/>
      <c r="N8" s="206">
        <v>207729.97</v>
      </c>
      <c r="O8" s="206">
        <v>207729.97</v>
      </c>
    </row>
    <row r="9" spans="1:15" s="3" customFormat="1" x14ac:dyDescent="0.2">
      <c r="A9" s="204" t="s">
        <v>215</v>
      </c>
      <c r="B9" s="205" t="s">
        <v>212</v>
      </c>
      <c r="C9" s="204" t="s">
        <v>216</v>
      </c>
      <c r="D9" s="205" t="s">
        <v>20</v>
      </c>
      <c r="E9" s="205"/>
      <c r="F9" s="205" t="s">
        <v>214</v>
      </c>
      <c r="G9" s="205"/>
      <c r="H9" s="205"/>
      <c r="I9" s="205"/>
      <c r="J9" s="205"/>
      <c r="K9" s="206">
        <v>2315832.5</v>
      </c>
      <c r="L9" s="205"/>
      <c r="M9" s="205"/>
      <c r="N9" s="206">
        <v>2315832.5</v>
      </c>
      <c r="O9" s="206">
        <v>2315832.5</v>
      </c>
    </row>
    <row r="10" spans="1:15" s="3" customFormat="1" x14ac:dyDescent="0.2">
      <c r="A10" s="204" t="s">
        <v>217</v>
      </c>
      <c r="B10" s="205" t="s">
        <v>212</v>
      </c>
      <c r="C10" s="204" t="s">
        <v>218</v>
      </c>
      <c r="D10" s="205" t="s">
        <v>20</v>
      </c>
      <c r="E10" s="205"/>
      <c r="F10" s="205" t="s">
        <v>214</v>
      </c>
      <c r="G10" s="205"/>
      <c r="H10" s="205"/>
      <c r="I10" s="205"/>
      <c r="J10" s="205"/>
      <c r="K10" s="206">
        <v>815563.75</v>
      </c>
      <c r="L10" s="205"/>
      <c r="M10" s="205"/>
      <c r="N10" s="206">
        <v>815563.75</v>
      </c>
      <c r="O10" s="206">
        <v>815563.75</v>
      </c>
    </row>
    <row r="11" spans="1:15" s="3" customFormat="1" x14ac:dyDescent="0.2">
      <c r="A11" s="204" t="s">
        <v>219</v>
      </c>
      <c r="B11" s="205" t="s">
        <v>212</v>
      </c>
      <c r="C11" s="204" t="s">
        <v>220</v>
      </c>
      <c r="D11" s="205" t="s">
        <v>20</v>
      </c>
      <c r="E11" s="205"/>
      <c r="F11" s="205" t="s">
        <v>214</v>
      </c>
      <c r="G11" s="205"/>
      <c r="H11" s="205"/>
      <c r="I11" s="205"/>
      <c r="J11" s="205"/>
      <c r="K11" s="206">
        <v>144445.12</v>
      </c>
      <c r="L11" s="205"/>
      <c r="M11" s="205"/>
      <c r="N11" s="206">
        <v>144445.12</v>
      </c>
      <c r="O11" s="206">
        <v>144445.12</v>
      </c>
    </row>
    <row r="12" spans="1:15" s="3" customFormat="1" x14ac:dyDescent="0.2">
      <c r="A12" s="204" t="s">
        <v>221</v>
      </c>
      <c r="B12" s="205" t="s">
        <v>212</v>
      </c>
      <c r="C12" s="204" t="s">
        <v>222</v>
      </c>
      <c r="D12" s="205" t="s">
        <v>20</v>
      </c>
      <c r="E12" s="205"/>
      <c r="F12" s="205" t="s">
        <v>214</v>
      </c>
      <c r="G12" s="205"/>
      <c r="H12" s="205"/>
      <c r="I12" s="205"/>
      <c r="J12" s="205"/>
      <c r="K12" s="206">
        <v>583564</v>
      </c>
      <c r="L12" s="205"/>
      <c r="M12" s="205"/>
      <c r="N12" s="206">
        <v>583564</v>
      </c>
      <c r="O12" s="206">
        <v>583564</v>
      </c>
    </row>
    <row r="13" spans="1:15" s="3" customFormat="1" x14ac:dyDescent="0.2">
      <c r="A13" s="204" t="s">
        <v>223</v>
      </c>
      <c r="B13" s="205" t="s">
        <v>212</v>
      </c>
      <c r="C13" s="204" t="s">
        <v>224</v>
      </c>
      <c r="D13" s="205" t="s">
        <v>20</v>
      </c>
      <c r="E13" s="205"/>
      <c r="F13" s="205" t="s">
        <v>214</v>
      </c>
      <c r="G13" s="205"/>
      <c r="H13" s="205"/>
      <c r="I13" s="205"/>
      <c r="J13" s="205"/>
      <c r="K13" s="206">
        <v>830341.52</v>
      </c>
      <c r="L13" s="205"/>
      <c r="M13" s="205"/>
      <c r="N13" s="206">
        <v>830341.52</v>
      </c>
      <c r="O13" s="206">
        <v>830341.52</v>
      </c>
    </row>
    <row r="14" spans="1:15" s="3" customFormat="1" x14ac:dyDescent="0.2">
      <c r="A14" s="204" t="s">
        <v>225</v>
      </c>
      <c r="B14" s="205" t="s">
        <v>212</v>
      </c>
      <c r="C14" s="204" t="s">
        <v>226</v>
      </c>
      <c r="D14" s="205" t="s">
        <v>20</v>
      </c>
      <c r="E14" s="205"/>
      <c r="F14" s="205" t="s">
        <v>214</v>
      </c>
      <c r="G14" s="205"/>
      <c r="H14" s="205"/>
      <c r="I14" s="205"/>
      <c r="J14" s="205"/>
      <c r="K14" s="206">
        <v>1270782</v>
      </c>
      <c r="L14" s="205"/>
      <c r="M14" s="205"/>
      <c r="N14" s="206">
        <v>1270782</v>
      </c>
      <c r="O14" s="206">
        <v>1270782</v>
      </c>
    </row>
    <row r="15" spans="1:15" s="3" customFormat="1" x14ac:dyDescent="0.2">
      <c r="A15" s="204" t="s">
        <v>227</v>
      </c>
      <c r="B15" s="205" t="s">
        <v>212</v>
      </c>
      <c r="C15" s="204" t="s">
        <v>228</v>
      </c>
      <c r="D15" s="205" t="s">
        <v>20</v>
      </c>
      <c r="E15" s="205"/>
      <c r="F15" s="205" t="s">
        <v>214</v>
      </c>
      <c r="G15" s="205"/>
      <c r="H15" s="205"/>
      <c r="I15" s="205"/>
      <c r="J15" s="205"/>
      <c r="K15" s="206">
        <v>782895</v>
      </c>
      <c r="L15" s="205"/>
      <c r="M15" s="205"/>
      <c r="N15" s="206">
        <v>782895</v>
      </c>
      <c r="O15" s="206">
        <v>782895</v>
      </c>
    </row>
    <row r="16" spans="1:15" s="3" customFormat="1" x14ac:dyDescent="0.2">
      <c r="A16" s="204" t="s">
        <v>229</v>
      </c>
      <c r="B16" s="205" t="s">
        <v>212</v>
      </c>
      <c r="C16" s="204" t="s">
        <v>230</v>
      </c>
      <c r="D16" s="205"/>
      <c r="E16" s="205" t="s">
        <v>231</v>
      </c>
      <c r="F16" s="205" t="s">
        <v>214</v>
      </c>
      <c r="G16" s="205"/>
      <c r="H16" s="205"/>
      <c r="I16" s="205"/>
      <c r="J16" s="205"/>
      <c r="K16" s="205"/>
      <c r="L16" s="206">
        <v>-1434373.85</v>
      </c>
      <c r="M16" s="205"/>
      <c r="N16" s="206">
        <v>-1434373.85</v>
      </c>
      <c r="O16" s="206">
        <v>-1434373.85</v>
      </c>
    </row>
    <row r="17" spans="1:15" s="3" customFormat="1" x14ac:dyDescent="0.2">
      <c r="A17" s="204" t="s">
        <v>232</v>
      </c>
      <c r="B17" s="205" t="s">
        <v>212</v>
      </c>
      <c r="C17" s="204" t="s">
        <v>233</v>
      </c>
      <c r="D17" s="205"/>
      <c r="E17" s="205" t="s">
        <v>36</v>
      </c>
      <c r="F17" s="205" t="s">
        <v>214</v>
      </c>
      <c r="G17" s="205"/>
      <c r="H17" s="205"/>
      <c r="I17" s="205"/>
      <c r="J17" s="205"/>
      <c r="K17" s="205"/>
      <c r="L17" s="206">
        <v>-41061.68</v>
      </c>
      <c r="M17" s="205"/>
      <c r="N17" s="206">
        <v>-41061.68</v>
      </c>
      <c r="O17" s="206">
        <v>-41061.68</v>
      </c>
    </row>
    <row r="18" spans="1:15" s="3" customFormat="1" x14ac:dyDescent="0.2">
      <c r="A18" s="204" t="s">
        <v>234</v>
      </c>
      <c r="B18" s="205" t="s">
        <v>212</v>
      </c>
      <c r="C18" s="204" t="s">
        <v>235</v>
      </c>
      <c r="D18" s="205"/>
      <c r="E18" s="205" t="s">
        <v>36</v>
      </c>
      <c r="F18" s="205" t="s">
        <v>214</v>
      </c>
      <c r="G18" s="205"/>
      <c r="H18" s="205"/>
      <c r="I18" s="205"/>
      <c r="J18" s="205"/>
      <c r="K18" s="205"/>
      <c r="L18" s="206">
        <v>-120000</v>
      </c>
      <c r="M18" s="205"/>
      <c r="N18" s="206">
        <v>-120000</v>
      </c>
      <c r="O18" s="206">
        <v>-120000</v>
      </c>
    </row>
    <row r="19" spans="1:15" s="3" customFormat="1" x14ac:dyDescent="0.2">
      <c r="A19" s="204" t="s">
        <v>236</v>
      </c>
      <c r="B19" s="205" t="s">
        <v>212</v>
      </c>
      <c r="C19" s="204" t="s">
        <v>237</v>
      </c>
      <c r="D19" s="205"/>
      <c r="E19" s="205" t="s">
        <v>36</v>
      </c>
      <c r="F19" s="205" t="s">
        <v>214</v>
      </c>
      <c r="G19" s="205"/>
      <c r="H19" s="205"/>
      <c r="I19" s="205"/>
      <c r="J19" s="205"/>
      <c r="K19" s="205"/>
      <c r="L19" s="206">
        <v>-140000</v>
      </c>
      <c r="M19" s="205"/>
      <c r="N19" s="206">
        <v>-140000</v>
      </c>
      <c r="O19" s="206">
        <v>-140000</v>
      </c>
    </row>
    <row r="20" spans="1:15" s="3" customFormat="1" x14ac:dyDescent="0.2">
      <c r="A20" s="204" t="s">
        <v>93</v>
      </c>
      <c r="B20" s="205" t="s">
        <v>94</v>
      </c>
      <c r="C20" s="204" t="s">
        <v>95</v>
      </c>
      <c r="D20" s="205" t="s">
        <v>96</v>
      </c>
      <c r="E20" s="205" t="s">
        <v>36</v>
      </c>
      <c r="F20" s="205" t="s">
        <v>97</v>
      </c>
      <c r="G20" s="205"/>
      <c r="H20" s="205"/>
      <c r="I20" s="205"/>
      <c r="J20" s="205"/>
      <c r="K20" s="205"/>
      <c r="L20" s="206">
        <v>-7495</v>
      </c>
      <c r="M20" s="205"/>
      <c r="N20" s="206">
        <v>-7495</v>
      </c>
      <c r="O20" s="206">
        <v>-7495</v>
      </c>
    </row>
    <row r="21" spans="1:15" s="3" customFormat="1" x14ac:dyDescent="0.2">
      <c r="A21" s="204" t="s">
        <v>174</v>
      </c>
      <c r="B21" s="205" t="s">
        <v>175</v>
      </c>
      <c r="C21" s="204" t="s">
        <v>176</v>
      </c>
      <c r="D21" s="205" t="s">
        <v>52</v>
      </c>
      <c r="E21" s="205" t="s">
        <v>36</v>
      </c>
      <c r="F21" s="205" t="s">
        <v>177</v>
      </c>
      <c r="G21" s="205"/>
      <c r="H21" s="205"/>
      <c r="I21" s="205"/>
      <c r="J21" s="205"/>
      <c r="K21" s="205"/>
      <c r="L21" s="206">
        <v>-1583.98</v>
      </c>
      <c r="M21" s="205"/>
      <c r="N21" s="206">
        <v>-1583.98</v>
      </c>
      <c r="O21" s="206">
        <v>-1583.98</v>
      </c>
    </row>
    <row r="22" spans="1:15" s="3" customFormat="1" x14ac:dyDescent="0.2">
      <c r="A22" s="204" t="s">
        <v>261</v>
      </c>
      <c r="B22" s="205" t="s">
        <v>262</v>
      </c>
      <c r="C22" s="204" t="s">
        <v>263</v>
      </c>
      <c r="D22" s="205" t="s">
        <v>52</v>
      </c>
      <c r="E22" s="205" t="s">
        <v>36</v>
      </c>
      <c r="F22" s="205" t="s">
        <v>264</v>
      </c>
      <c r="G22" s="205"/>
      <c r="H22" s="205"/>
      <c r="I22" s="205"/>
      <c r="J22" s="205"/>
      <c r="K22" s="205"/>
      <c r="L22" s="206">
        <v>-118621.49</v>
      </c>
      <c r="M22" s="205"/>
      <c r="N22" s="206">
        <v>-118621.49</v>
      </c>
      <c r="O22" s="206">
        <v>-118621.49</v>
      </c>
    </row>
    <row r="23" spans="1:15" s="3" customFormat="1" x14ac:dyDescent="0.2">
      <c r="A23" s="204" t="s">
        <v>129</v>
      </c>
      <c r="B23" s="205" t="s">
        <v>130</v>
      </c>
      <c r="C23" s="204" t="s">
        <v>131</v>
      </c>
      <c r="D23" s="205" t="s">
        <v>88</v>
      </c>
      <c r="E23" s="205"/>
      <c r="F23" s="205" t="s">
        <v>132</v>
      </c>
      <c r="G23" s="205"/>
      <c r="H23" s="205"/>
      <c r="I23" s="205"/>
      <c r="J23" s="205"/>
      <c r="K23" s="205"/>
      <c r="L23" s="206">
        <v>-9548</v>
      </c>
      <c r="M23" s="205"/>
      <c r="N23" s="206">
        <v>-9548</v>
      </c>
      <c r="O23" s="206">
        <v>-9548</v>
      </c>
    </row>
    <row r="24" spans="1:15" s="3" customFormat="1" x14ac:dyDescent="0.2">
      <c r="A24" s="204" t="s">
        <v>32</v>
      </c>
      <c r="B24" s="205" t="s">
        <v>33</v>
      </c>
      <c r="C24" s="204" t="s">
        <v>34</v>
      </c>
      <c r="D24" s="205" t="s">
        <v>35</v>
      </c>
      <c r="E24" s="205" t="s">
        <v>36</v>
      </c>
      <c r="F24" s="205" t="s">
        <v>37</v>
      </c>
      <c r="G24" s="205"/>
      <c r="H24" s="205"/>
      <c r="I24" s="205"/>
      <c r="J24" s="205"/>
      <c r="K24" s="205"/>
      <c r="L24" s="206">
        <v>-34032</v>
      </c>
      <c r="M24" s="205"/>
      <c r="N24" s="206">
        <v>-34032</v>
      </c>
      <c r="O24" s="206">
        <v>-34032</v>
      </c>
    </row>
    <row r="25" spans="1:15" s="3" customFormat="1" x14ac:dyDescent="0.2">
      <c r="A25" s="204" t="s">
        <v>157</v>
      </c>
      <c r="B25" s="205" t="s">
        <v>158</v>
      </c>
      <c r="C25" s="204" t="s">
        <v>159</v>
      </c>
      <c r="D25" s="205" t="s">
        <v>52</v>
      </c>
      <c r="E25" s="205" t="s">
        <v>36</v>
      </c>
      <c r="F25" s="205" t="s">
        <v>160</v>
      </c>
      <c r="G25" s="205"/>
      <c r="H25" s="205"/>
      <c r="I25" s="205"/>
      <c r="J25" s="205"/>
      <c r="K25" s="205"/>
      <c r="L25" s="207">
        <v>-145.97</v>
      </c>
      <c r="M25" s="205"/>
      <c r="N25" s="207">
        <v>-145.97</v>
      </c>
      <c r="O25" s="207">
        <v>-145.97</v>
      </c>
    </row>
    <row r="26" spans="1:15" s="3" customFormat="1" x14ac:dyDescent="0.2">
      <c r="A26" s="204" t="s">
        <v>161</v>
      </c>
      <c r="B26" s="205" t="s">
        <v>158</v>
      </c>
      <c r="C26" s="204" t="s">
        <v>162</v>
      </c>
      <c r="D26" s="205" t="s">
        <v>20</v>
      </c>
      <c r="E26" s="205" t="s">
        <v>36</v>
      </c>
      <c r="F26" s="205" t="s">
        <v>160</v>
      </c>
      <c r="G26" s="205"/>
      <c r="H26" s="205"/>
      <c r="I26" s="205"/>
      <c r="J26" s="205"/>
      <c r="K26" s="205"/>
      <c r="L26" s="207">
        <v>-100</v>
      </c>
      <c r="M26" s="205"/>
      <c r="N26" s="207">
        <v>-100</v>
      </c>
      <c r="O26" s="207">
        <v>-100</v>
      </c>
    </row>
    <row r="27" spans="1:15" s="3" customFormat="1" x14ac:dyDescent="0.2">
      <c r="A27" s="204" t="s">
        <v>252</v>
      </c>
      <c r="B27" s="205" t="s">
        <v>253</v>
      </c>
      <c r="C27" s="204" t="s">
        <v>254</v>
      </c>
      <c r="D27" s="205" t="s">
        <v>52</v>
      </c>
      <c r="E27" s="205" t="s">
        <v>36</v>
      </c>
      <c r="F27" s="205" t="s">
        <v>255</v>
      </c>
      <c r="G27" s="205"/>
      <c r="H27" s="205"/>
      <c r="I27" s="205"/>
      <c r="J27" s="205"/>
      <c r="K27" s="205"/>
      <c r="L27" s="206">
        <v>-6813.74</v>
      </c>
      <c r="M27" s="205"/>
      <c r="N27" s="206">
        <v>-6813.74</v>
      </c>
      <c r="O27" s="206">
        <v>-6813.74</v>
      </c>
    </row>
    <row r="28" spans="1:15" s="3" customFormat="1" x14ac:dyDescent="0.2">
      <c r="A28" s="204" t="s">
        <v>122</v>
      </c>
      <c r="B28" s="205" t="s">
        <v>121</v>
      </c>
      <c r="C28" s="204" t="s">
        <v>123</v>
      </c>
      <c r="D28" s="205" t="s">
        <v>52</v>
      </c>
      <c r="E28" s="205" t="s">
        <v>36</v>
      </c>
      <c r="F28" s="205" t="s">
        <v>124</v>
      </c>
      <c r="G28" s="205"/>
      <c r="H28" s="205"/>
      <c r="I28" s="205"/>
      <c r="J28" s="205"/>
      <c r="K28" s="205"/>
      <c r="L28" s="206">
        <v>-1000</v>
      </c>
      <c r="M28" s="205"/>
      <c r="N28" s="206">
        <v>-1000</v>
      </c>
      <c r="O28" s="206">
        <v>-1000</v>
      </c>
    </row>
    <row r="29" spans="1:15" s="3" customFormat="1" x14ac:dyDescent="0.2">
      <c r="A29" s="204" t="s">
        <v>43</v>
      </c>
      <c r="B29" s="205" t="s">
        <v>44</v>
      </c>
      <c r="C29" s="204" t="s">
        <v>45</v>
      </c>
      <c r="D29" s="205" t="s">
        <v>46</v>
      </c>
      <c r="E29" s="205" t="s">
        <v>36</v>
      </c>
      <c r="F29" s="205" t="s">
        <v>47</v>
      </c>
      <c r="G29" s="205"/>
      <c r="H29" s="205"/>
      <c r="I29" s="205"/>
      <c r="J29" s="205"/>
      <c r="K29" s="205"/>
      <c r="L29" s="207">
        <v>-700</v>
      </c>
      <c r="M29" s="205"/>
      <c r="N29" s="207">
        <v>-700</v>
      </c>
      <c r="O29" s="207">
        <v>-700</v>
      </c>
    </row>
    <row r="30" spans="1:15" s="3" customFormat="1" x14ac:dyDescent="0.2">
      <c r="A30" s="204" t="s">
        <v>53</v>
      </c>
      <c r="B30" s="205" t="s">
        <v>54</v>
      </c>
      <c r="C30" s="204" t="s">
        <v>55</v>
      </c>
      <c r="D30" s="205" t="s">
        <v>56</v>
      </c>
      <c r="E30" s="205" t="s">
        <v>36</v>
      </c>
      <c r="F30" s="205" t="s">
        <v>57</v>
      </c>
      <c r="G30" s="205"/>
      <c r="H30" s="205"/>
      <c r="I30" s="205"/>
      <c r="J30" s="205"/>
      <c r="K30" s="205"/>
      <c r="L30" s="206">
        <v>-30000.3</v>
      </c>
      <c r="M30" s="205"/>
      <c r="N30" s="206">
        <v>-30000.3</v>
      </c>
      <c r="O30" s="206">
        <v>-30000.3</v>
      </c>
    </row>
    <row r="31" spans="1:15" s="3" customFormat="1" x14ac:dyDescent="0.2">
      <c r="A31" s="204" t="s">
        <v>309</v>
      </c>
      <c r="B31" s="205" t="s">
        <v>310</v>
      </c>
      <c r="C31" s="204" t="s">
        <v>311</v>
      </c>
      <c r="D31" s="205" t="s">
        <v>88</v>
      </c>
      <c r="E31" s="205" t="s">
        <v>36</v>
      </c>
      <c r="F31" s="205" t="s">
        <v>312</v>
      </c>
      <c r="G31" s="205"/>
      <c r="H31" s="205"/>
      <c r="I31" s="205"/>
      <c r="J31" s="205"/>
      <c r="K31" s="205"/>
      <c r="L31" s="207">
        <v>-0.01</v>
      </c>
      <c r="M31" s="205"/>
      <c r="N31" s="207">
        <v>-0.01</v>
      </c>
      <c r="O31" s="207">
        <v>-0.01</v>
      </c>
    </row>
    <row r="32" spans="1:15" s="3" customFormat="1" x14ac:dyDescent="0.2">
      <c r="A32" s="204" t="s">
        <v>179</v>
      </c>
      <c r="B32" s="205" t="s">
        <v>180</v>
      </c>
      <c r="C32" s="204" t="s">
        <v>181</v>
      </c>
      <c r="D32" s="205" t="s">
        <v>52</v>
      </c>
      <c r="E32" s="205" t="s">
        <v>28</v>
      </c>
      <c r="F32" s="205" t="s">
        <v>182</v>
      </c>
      <c r="G32" s="205"/>
      <c r="H32" s="205"/>
      <c r="I32" s="205"/>
      <c r="J32" s="205"/>
      <c r="K32" s="206">
        <v>85942.5</v>
      </c>
      <c r="L32" s="205"/>
      <c r="M32" s="205"/>
      <c r="N32" s="206">
        <v>85942.5</v>
      </c>
      <c r="O32" s="206">
        <v>85942.5</v>
      </c>
    </row>
    <row r="33" spans="1:15" s="3" customFormat="1" x14ac:dyDescent="0.2">
      <c r="A33" s="204" t="s">
        <v>1076</v>
      </c>
      <c r="B33" s="205" t="s">
        <v>99</v>
      </c>
      <c r="C33" s="204" t="s">
        <v>1077</v>
      </c>
      <c r="D33" s="205" t="s">
        <v>20</v>
      </c>
      <c r="E33" s="205" t="s">
        <v>28</v>
      </c>
      <c r="F33" s="205" t="s">
        <v>101</v>
      </c>
      <c r="G33" s="205"/>
      <c r="H33" s="205"/>
      <c r="I33" s="205"/>
      <c r="J33" s="205"/>
      <c r="K33" s="205"/>
      <c r="L33" s="206">
        <v>-4940.3999999999996</v>
      </c>
      <c r="M33" s="205"/>
      <c r="N33" s="206">
        <v>-4940.3999999999996</v>
      </c>
      <c r="O33" s="206">
        <v>-4940.3999999999996</v>
      </c>
    </row>
    <row r="34" spans="1:15" s="3" customFormat="1" x14ac:dyDescent="0.2">
      <c r="A34" s="204" t="s">
        <v>68</v>
      </c>
      <c r="B34" s="205" t="s">
        <v>69</v>
      </c>
      <c r="C34" s="204" t="s">
        <v>70</v>
      </c>
      <c r="D34" s="205" t="s">
        <v>20</v>
      </c>
      <c r="E34" s="205" t="s">
        <v>36</v>
      </c>
      <c r="F34" s="205" t="s">
        <v>71</v>
      </c>
      <c r="G34" s="205"/>
      <c r="H34" s="205"/>
      <c r="I34" s="205"/>
      <c r="J34" s="205"/>
      <c r="K34" s="205"/>
      <c r="L34" s="206">
        <v>-119148.5</v>
      </c>
      <c r="M34" s="205"/>
      <c r="N34" s="206">
        <v>-119148.5</v>
      </c>
      <c r="O34" s="206">
        <v>-119148.5</v>
      </c>
    </row>
    <row r="35" spans="1:15" s="3" customFormat="1" x14ac:dyDescent="0.2">
      <c r="A35" s="204" t="s">
        <v>1078</v>
      </c>
      <c r="B35" s="205" t="s">
        <v>99</v>
      </c>
      <c r="C35" s="204" t="s">
        <v>1079</v>
      </c>
      <c r="D35" s="205" t="s">
        <v>52</v>
      </c>
      <c r="E35" s="205" t="s">
        <v>28</v>
      </c>
      <c r="F35" s="205" t="s">
        <v>101</v>
      </c>
      <c r="G35" s="205"/>
      <c r="H35" s="205"/>
      <c r="I35" s="205"/>
      <c r="J35" s="205"/>
      <c r="K35" s="205"/>
      <c r="L35" s="206">
        <v>-18331</v>
      </c>
      <c r="M35" s="205"/>
      <c r="N35" s="206">
        <v>-18331</v>
      </c>
      <c r="O35" s="206">
        <v>-18331</v>
      </c>
    </row>
    <row r="36" spans="1:15" s="3" customFormat="1" x14ac:dyDescent="0.2">
      <c r="A36" s="204" t="s">
        <v>1080</v>
      </c>
      <c r="B36" s="205" t="s">
        <v>99</v>
      </c>
      <c r="C36" s="204" t="s">
        <v>1081</v>
      </c>
      <c r="D36" s="205" t="s">
        <v>20</v>
      </c>
      <c r="E36" s="205" t="s">
        <v>28</v>
      </c>
      <c r="F36" s="205" t="s">
        <v>101</v>
      </c>
      <c r="G36" s="205"/>
      <c r="H36" s="205"/>
      <c r="I36" s="205"/>
      <c r="J36" s="205"/>
      <c r="K36" s="205"/>
      <c r="L36" s="206">
        <v>-3496</v>
      </c>
      <c r="M36" s="205"/>
      <c r="N36" s="206">
        <v>-3496</v>
      </c>
      <c r="O36" s="206">
        <v>-3496</v>
      </c>
    </row>
    <row r="37" spans="1:15" s="3" customFormat="1" x14ac:dyDescent="0.2">
      <c r="A37" s="204" t="s">
        <v>167</v>
      </c>
      <c r="B37" s="205" t="s">
        <v>168</v>
      </c>
      <c r="C37" s="204" t="s">
        <v>169</v>
      </c>
      <c r="D37" s="205" t="s">
        <v>20</v>
      </c>
      <c r="E37" s="205" t="s">
        <v>36</v>
      </c>
      <c r="F37" s="205" t="s">
        <v>170</v>
      </c>
      <c r="G37" s="205"/>
      <c r="H37" s="205"/>
      <c r="I37" s="205"/>
      <c r="J37" s="205"/>
      <c r="K37" s="205"/>
      <c r="L37" s="206">
        <v>-1199.95</v>
      </c>
      <c r="M37" s="205"/>
      <c r="N37" s="206">
        <v>-1199.95</v>
      </c>
      <c r="O37" s="206">
        <v>-1199.95</v>
      </c>
    </row>
    <row r="38" spans="1:15" s="3" customFormat="1" x14ac:dyDescent="0.2">
      <c r="A38" s="204" t="s">
        <v>1082</v>
      </c>
      <c r="B38" s="205" t="s">
        <v>99</v>
      </c>
      <c r="C38" s="204" t="s">
        <v>1083</v>
      </c>
      <c r="D38" s="205" t="s">
        <v>20</v>
      </c>
      <c r="E38" s="205" t="s">
        <v>28</v>
      </c>
      <c r="F38" s="205" t="s">
        <v>101</v>
      </c>
      <c r="G38" s="205"/>
      <c r="H38" s="205"/>
      <c r="I38" s="205"/>
      <c r="J38" s="205"/>
      <c r="K38" s="205"/>
      <c r="L38" s="206">
        <v>-41952</v>
      </c>
      <c r="M38" s="205"/>
      <c r="N38" s="206">
        <v>-41952</v>
      </c>
      <c r="O38" s="206">
        <v>-41952</v>
      </c>
    </row>
    <row r="39" spans="1:15" s="3" customFormat="1" x14ac:dyDescent="0.2">
      <c r="A39" s="204" t="s">
        <v>313</v>
      </c>
      <c r="B39" s="205" t="s">
        <v>310</v>
      </c>
      <c r="C39" s="204" t="s">
        <v>314</v>
      </c>
      <c r="D39" s="205" t="s">
        <v>56</v>
      </c>
      <c r="E39" s="205" t="s">
        <v>28</v>
      </c>
      <c r="F39" s="205" t="s">
        <v>312</v>
      </c>
      <c r="G39" s="205"/>
      <c r="H39" s="205"/>
      <c r="I39" s="205"/>
      <c r="J39" s="206">
        <v>5358</v>
      </c>
      <c r="K39" s="205"/>
      <c r="L39" s="205"/>
      <c r="M39" s="205"/>
      <c r="N39" s="206">
        <v>5358</v>
      </c>
      <c r="O39" s="206">
        <v>5358</v>
      </c>
    </row>
    <row r="40" spans="1:15" s="3" customFormat="1" x14ac:dyDescent="0.2">
      <c r="A40" s="204" t="s">
        <v>58</v>
      </c>
      <c r="B40" s="205" t="s">
        <v>54</v>
      </c>
      <c r="C40" s="204" t="s">
        <v>59</v>
      </c>
      <c r="D40" s="205" t="s">
        <v>20</v>
      </c>
      <c r="E40" s="205" t="s">
        <v>36</v>
      </c>
      <c r="F40" s="205" t="s">
        <v>57</v>
      </c>
      <c r="G40" s="205"/>
      <c r="H40" s="205"/>
      <c r="I40" s="205"/>
      <c r="J40" s="205"/>
      <c r="K40" s="205"/>
      <c r="L40" s="207">
        <v>-12.07</v>
      </c>
      <c r="M40" s="205"/>
      <c r="N40" s="207">
        <v>-12.07</v>
      </c>
      <c r="O40" s="207">
        <v>-12.07</v>
      </c>
    </row>
    <row r="41" spans="1:15" s="3" customFormat="1" x14ac:dyDescent="0.2">
      <c r="A41" s="204" t="s">
        <v>83</v>
      </c>
      <c r="B41" s="205" t="s">
        <v>69</v>
      </c>
      <c r="C41" s="204" t="s">
        <v>84</v>
      </c>
      <c r="D41" s="205"/>
      <c r="E41" s="205"/>
      <c r="F41" s="205" t="s">
        <v>71</v>
      </c>
      <c r="G41" s="205"/>
      <c r="H41" s="205"/>
      <c r="I41" s="205"/>
      <c r="J41" s="205"/>
      <c r="K41" s="205"/>
      <c r="L41" s="206">
        <v>-113627.8</v>
      </c>
      <c r="M41" s="205"/>
      <c r="N41" s="206">
        <v>-113627.8</v>
      </c>
      <c r="O41" s="206">
        <v>-113627.8</v>
      </c>
    </row>
    <row r="42" spans="1:15" s="3" customFormat="1" x14ac:dyDescent="0.2">
      <c r="A42" s="204" t="s">
        <v>907</v>
      </c>
      <c r="B42" s="205" t="s">
        <v>240</v>
      </c>
      <c r="C42" s="204" t="s">
        <v>908</v>
      </c>
      <c r="D42" s="205" t="s">
        <v>76</v>
      </c>
      <c r="E42" s="205" t="s">
        <v>28</v>
      </c>
      <c r="F42" s="205" t="s">
        <v>243</v>
      </c>
      <c r="G42" s="205"/>
      <c r="H42" s="205"/>
      <c r="I42" s="205"/>
      <c r="J42" s="205"/>
      <c r="K42" s="205"/>
      <c r="L42" s="206">
        <v>-17802</v>
      </c>
      <c r="M42" s="205"/>
      <c r="N42" s="206">
        <v>-17802</v>
      </c>
      <c r="O42" s="206">
        <v>-17802</v>
      </c>
    </row>
    <row r="43" spans="1:15" s="3" customFormat="1" x14ac:dyDescent="0.2">
      <c r="A43" s="204" t="s">
        <v>244</v>
      </c>
      <c r="B43" s="205" t="s">
        <v>240</v>
      </c>
      <c r="C43" s="204" t="s">
        <v>245</v>
      </c>
      <c r="D43" s="205" t="s">
        <v>76</v>
      </c>
      <c r="E43" s="205" t="s">
        <v>28</v>
      </c>
      <c r="F43" s="205" t="s">
        <v>243</v>
      </c>
      <c r="G43" s="205"/>
      <c r="H43" s="205"/>
      <c r="I43" s="205"/>
      <c r="J43" s="205"/>
      <c r="K43" s="205"/>
      <c r="L43" s="206">
        <v>-271093</v>
      </c>
      <c r="M43" s="205"/>
      <c r="N43" s="206">
        <v>-271093</v>
      </c>
      <c r="O43" s="206">
        <v>-271093</v>
      </c>
    </row>
    <row r="44" spans="1:15" s="3" customFormat="1" x14ac:dyDescent="0.2">
      <c r="A44" s="204" t="s">
        <v>249</v>
      </c>
      <c r="B44" s="205" t="s">
        <v>250</v>
      </c>
      <c r="C44" s="204" t="s">
        <v>251</v>
      </c>
      <c r="D44" s="205" t="s">
        <v>35</v>
      </c>
      <c r="E44" s="205" t="s">
        <v>36</v>
      </c>
      <c r="F44" s="205" t="s">
        <v>17</v>
      </c>
      <c r="G44" s="205"/>
      <c r="H44" s="205"/>
      <c r="I44" s="205"/>
      <c r="J44" s="205"/>
      <c r="K44" s="205"/>
      <c r="L44" s="206">
        <v>-3775.8</v>
      </c>
      <c r="M44" s="205"/>
      <c r="N44" s="206">
        <v>-3775.8</v>
      </c>
      <c r="O44" s="206">
        <v>-3775.8</v>
      </c>
    </row>
    <row r="45" spans="1:15" s="3" customFormat="1" x14ac:dyDescent="0.2">
      <c r="A45" s="204" t="s">
        <v>270</v>
      </c>
      <c r="B45" s="205" t="s">
        <v>271</v>
      </c>
      <c r="C45" s="204" t="s">
        <v>272</v>
      </c>
      <c r="D45" s="205" t="s">
        <v>88</v>
      </c>
      <c r="E45" s="205" t="s">
        <v>28</v>
      </c>
      <c r="F45" s="205" t="s">
        <v>1024</v>
      </c>
      <c r="G45" s="205"/>
      <c r="H45" s="205"/>
      <c r="I45" s="207">
        <v>0.01</v>
      </c>
      <c r="J45" s="205"/>
      <c r="K45" s="205"/>
      <c r="L45" s="205"/>
      <c r="M45" s="205"/>
      <c r="N45" s="207">
        <v>0.01</v>
      </c>
      <c r="O45" s="207">
        <v>0.01</v>
      </c>
    </row>
    <row r="46" spans="1:15" s="3" customFormat="1" x14ac:dyDescent="0.2">
      <c r="A46" s="204" t="s">
        <v>246</v>
      </c>
      <c r="B46" s="205" t="s">
        <v>240</v>
      </c>
      <c r="C46" s="204" t="s">
        <v>146</v>
      </c>
      <c r="D46" s="205" t="s">
        <v>20</v>
      </c>
      <c r="E46" s="205" t="s">
        <v>36</v>
      </c>
      <c r="F46" s="205" t="s">
        <v>243</v>
      </c>
      <c r="G46" s="205"/>
      <c r="H46" s="205"/>
      <c r="I46" s="205"/>
      <c r="J46" s="205"/>
      <c r="K46" s="205"/>
      <c r="L46" s="206">
        <v>-170975</v>
      </c>
      <c r="M46" s="205"/>
      <c r="N46" s="206">
        <v>-170975</v>
      </c>
      <c r="O46" s="206">
        <v>-170975</v>
      </c>
    </row>
    <row r="47" spans="1:15" s="3" customFormat="1" x14ac:dyDescent="0.2">
      <c r="A47" s="204" t="s">
        <v>432</v>
      </c>
      <c r="B47" s="205" t="s">
        <v>69</v>
      </c>
      <c r="C47" s="204" t="s">
        <v>433</v>
      </c>
      <c r="D47" s="205" t="s">
        <v>20</v>
      </c>
      <c r="E47" s="205" t="s">
        <v>28</v>
      </c>
      <c r="F47" s="205" t="s">
        <v>74</v>
      </c>
      <c r="G47" s="205"/>
      <c r="H47" s="205"/>
      <c r="I47" s="206">
        <v>1364110.22</v>
      </c>
      <c r="J47" s="205"/>
      <c r="K47" s="205"/>
      <c r="L47" s="205"/>
      <c r="M47" s="205"/>
      <c r="N47" s="206">
        <v>1364110.22</v>
      </c>
      <c r="O47" s="206">
        <v>1364110.22</v>
      </c>
    </row>
    <row r="48" spans="1:15" s="3" customFormat="1" x14ac:dyDescent="0.2">
      <c r="A48" s="204" t="s">
        <v>434</v>
      </c>
      <c r="B48" s="205" t="s">
        <v>69</v>
      </c>
      <c r="C48" s="204" t="s">
        <v>435</v>
      </c>
      <c r="D48" s="205" t="s">
        <v>20</v>
      </c>
      <c r="E48" s="205" t="s">
        <v>28</v>
      </c>
      <c r="F48" s="205" t="s">
        <v>74</v>
      </c>
      <c r="G48" s="205"/>
      <c r="H48" s="205"/>
      <c r="I48" s="206">
        <v>1549821</v>
      </c>
      <c r="J48" s="205"/>
      <c r="K48" s="205"/>
      <c r="L48" s="205"/>
      <c r="M48" s="205"/>
      <c r="N48" s="206">
        <v>1549821</v>
      </c>
      <c r="O48" s="206">
        <v>1549821</v>
      </c>
    </row>
    <row r="49" spans="1:15" s="3" customFormat="1" x14ac:dyDescent="0.2">
      <c r="A49" s="204" t="s">
        <v>450</v>
      </c>
      <c r="B49" s="205" t="s">
        <v>240</v>
      </c>
      <c r="C49" s="204" t="s">
        <v>451</v>
      </c>
      <c r="D49" s="205" t="s">
        <v>20</v>
      </c>
      <c r="E49" s="205" t="s">
        <v>28</v>
      </c>
      <c r="F49" s="205" t="s">
        <v>243</v>
      </c>
      <c r="G49" s="205"/>
      <c r="H49" s="205"/>
      <c r="I49" s="205"/>
      <c r="J49" s="205"/>
      <c r="K49" s="205"/>
      <c r="L49" s="206">
        <v>-139392.09</v>
      </c>
      <c r="M49" s="205"/>
      <c r="N49" s="206">
        <v>-139392.09</v>
      </c>
      <c r="O49" s="206">
        <v>-139392.09</v>
      </c>
    </row>
    <row r="50" spans="1:15" s="3" customFormat="1" x14ac:dyDescent="0.2">
      <c r="A50" s="204" t="s">
        <v>460</v>
      </c>
      <c r="B50" s="205" t="s">
        <v>240</v>
      </c>
      <c r="C50" s="204" t="s">
        <v>461</v>
      </c>
      <c r="D50" s="205" t="s">
        <v>20</v>
      </c>
      <c r="E50" s="205" t="s">
        <v>36</v>
      </c>
      <c r="F50" s="205" t="s">
        <v>243</v>
      </c>
      <c r="G50" s="205"/>
      <c r="H50" s="205"/>
      <c r="I50" s="205"/>
      <c r="J50" s="205"/>
      <c r="K50" s="205"/>
      <c r="L50" s="206">
        <v>-263025</v>
      </c>
      <c r="M50" s="205"/>
      <c r="N50" s="206">
        <v>-263025</v>
      </c>
      <c r="O50" s="206">
        <v>-263025</v>
      </c>
    </row>
    <row r="51" spans="1:15" s="3" customFormat="1" x14ac:dyDescent="0.2">
      <c r="A51" s="204" t="s">
        <v>468</v>
      </c>
      <c r="B51" s="205" t="s">
        <v>69</v>
      </c>
      <c r="C51" s="204" t="s">
        <v>469</v>
      </c>
      <c r="D51" s="205" t="s">
        <v>20</v>
      </c>
      <c r="E51" s="205" t="s">
        <v>28</v>
      </c>
      <c r="F51" s="205" t="s">
        <v>74</v>
      </c>
      <c r="G51" s="205"/>
      <c r="H51" s="205"/>
      <c r="I51" s="206">
        <v>1005382</v>
      </c>
      <c r="J51" s="205"/>
      <c r="K51" s="205"/>
      <c r="L51" s="205"/>
      <c r="M51" s="205"/>
      <c r="N51" s="206">
        <v>1005382</v>
      </c>
      <c r="O51" s="206">
        <v>1005382</v>
      </c>
    </row>
    <row r="52" spans="1:15" s="3" customFormat="1" x14ac:dyDescent="0.2">
      <c r="A52" s="204" t="s">
        <v>472</v>
      </c>
      <c r="B52" s="205" t="s">
        <v>240</v>
      </c>
      <c r="C52" s="204" t="s">
        <v>473</v>
      </c>
      <c r="D52" s="205" t="s">
        <v>20</v>
      </c>
      <c r="E52" s="205" t="s">
        <v>28</v>
      </c>
      <c r="F52" s="205" t="s">
        <v>243</v>
      </c>
      <c r="G52" s="205"/>
      <c r="H52" s="205"/>
      <c r="I52" s="206">
        <v>3560670</v>
      </c>
      <c r="J52" s="205"/>
      <c r="K52" s="205"/>
      <c r="L52" s="205"/>
      <c r="M52" s="205"/>
      <c r="N52" s="206">
        <v>3560670</v>
      </c>
      <c r="O52" s="206">
        <v>3560670</v>
      </c>
    </row>
    <row r="53" spans="1:15" s="3" customFormat="1" x14ac:dyDescent="0.2">
      <c r="A53" s="204" t="s">
        <v>474</v>
      </c>
      <c r="B53" s="205" t="s">
        <v>69</v>
      </c>
      <c r="C53" s="204" t="s">
        <v>475</v>
      </c>
      <c r="D53" s="205" t="s">
        <v>20</v>
      </c>
      <c r="E53" s="205" t="s">
        <v>28</v>
      </c>
      <c r="F53" s="205" t="s">
        <v>74</v>
      </c>
      <c r="G53" s="205"/>
      <c r="H53" s="205"/>
      <c r="I53" s="206">
        <v>643035.6</v>
      </c>
      <c r="J53" s="205"/>
      <c r="K53" s="205"/>
      <c r="L53" s="205"/>
      <c r="M53" s="205"/>
      <c r="N53" s="206">
        <v>643035.6</v>
      </c>
      <c r="O53" s="206">
        <v>643035.6</v>
      </c>
    </row>
    <row r="54" spans="1:15" s="3" customFormat="1" x14ac:dyDescent="0.2">
      <c r="A54" s="204" t="s">
        <v>476</v>
      </c>
      <c r="B54" s="205" t="s">
        <v>240</v>
      </c>
      <c r="C54" s="204" t="s">
        <v>477</v>
      </c>
      <c r="D54" s="205" t="s">
        <v>102</v>
      </c>
      <c r="E54" s="205" t="s">
        <v>28</v>
      </c>
      <c r="F54" s="205" t="s">
        <v>243</v>
      </c>
      <c r="G54" s="205"/>
      <c r="H54" s="205"/>
      <c r="I54" s="205"/>
      <c r="J54" s="205"/>
      <c r="K54" s="205"/>
      <c r="L54" s="206">
        <v>-7605</v>
      </c>
      <c r="M54" s="205"/>
      <c r="N54" s="206">
        <v>-7605</v>
      </c>
      <c r="O54" s="206">
        <v>-7605</v>
      </c>
    </row>
    <row r="55" spans="1:15" s="3" customFormat="1" x14ac:dyDescent="0.2">
      <c r="A55" s="204" t="s">
        <v>505</v>
      </c>
      <c r="B55" s="205" t="s">
        <v>185</v>
      </c>
      <c r="C55" s="204" t="s">
        <v>506</v>
      </c>
      <c r="D55" s="205" t="s">
        <v>76</v>
      </c>
      <c r="E55" s="205" t="s">
        <v>28</v>
      </c>
      <c r="F55" s="205" t="s">
        <v>186</v>
      </c>
      <c r="G55" s="205"/>
      <c r="H55" s="205"/>
      <c r="I55" s="206">
        <v>253132</v>
      </c>
      <c r="J55" s="205"/>
      <c r="K55" s="205"/>
      <c r="L55" s="205"/>
      <c r="M55" s="205"/>
      <c r="N55" s="206">
        <v>253132</v>
      </c>
      <c r="O55" s="206">
        <v>253132</v>
      </c>
    </row>
    <row r="56" spans="1:15" s="3" customFormat="1" x14ac:dyDescent="0.2">
      <c r="A56" s="204" t="s">
        <v>507</v>
      </c>
      <c r="B56" s="205" t="s">
        <v>185</v>
      </c>
      <c r="C56" s="204" t="s">
        <v>508</v>
      </c>
      <c r="D56" s="205" t="s">
        <v>76</v>
      </c>
      <c r="E56" s="205" t="s">
        <v>28</v>
      </c>
      <c r="F56" s="205" t="s">
        <v>186</v>
      </c>
      <c r="G56" s="205"/>
      <c r="H56" s="205"/>
      <c r="I56" s="206">
        <v>276408</v>
      </c>
      <c r="J56" s="205"/>
      <c r="K56" s="205"/>
      <c r="L56" s="205"/>
      <c r="M56" s="205"/>
      <c r="N56" s="206">
        <v>276408</v>
      </c>
      <c r="O56" s="206">
        <v>276408</v>
      </c>
    </row>
    <row r="57" spans="1:15" s="3" customFormat="1" x14ac:dyDescent="0.2">
      <c r="A57" s="204" t="s">
        <v>509</v>
      </c>
      <c r="B57" s="205" t="s">
        <v>185</v>
      </c>
      <c r="C57" s="204" t="s">
        <v>510</v>
      </c>
      <c r="D57" s="205" t="s">
        <v>102</v>
      </c>
      <c r="E57" s="205" t="s">
        <v>28</v>
      </c>
      <c r="F57" s="205" t="s">
        <v>186</v>
      </c>
      <c r="G57" s="205"/>
      <c r="H57" s="205"/>
      <c r="I57" s="207">
        <v>69.400000000000006</v>
      </c>
      <c r="J57" s="205"/>
      <c r="K57" s="205"/>
      <c r="L57" s="205"/>
      <c r="M57" s="205"/>
      <c r="N57" s="207">
        <v>69.400000000000006</v>
      </c>
      <c r="O57" s="207">
        <v>69.400000000000006</v>
      </c>
    </row>
    <row r="58" spans="1:15" s="3" customFormat="1" x14ac:dyDescent="0.2">
      <c r="A58" s="204" t="s">
        <v>511</v>
      </c>
      <c r="B58" s="205" t="s">
        <v>185</v>
      </c>
      <c r="C58" s="204" t="s">
        <v>512</v>
      </c>
      <c r="D58" s="205" t="s">
        <v>102</v>
      </c>
      <c r="E58" s="205" t="s">
        <v>28</v>
      </c>
      <c r="F58" s="205" t="s">
        <v>186</v>
      </c>
      <c r="G58" s="205"/>
      <c r="H58" s="205"/>
      <c r="I58" s="206">
        <v>65240</v>
      </c>
      <c r="J58" s="205"/>
      <c r="K58" s="205"/>
      <c r="L58" s="205"/>
      <c r="M58" s="205"/>
      <c r="N58" s="206">
        <v>65240</v>
      </c>
      <c r="O58" s="206">
        <v>65240</v>
      </c>
    </row>
    <row r="59" spans="1:15" s="3" customFormat="1" x14ac:dyDescent="0.2">
      <c r="A59" s="204" t="s">
        <v>513</v>
      </c>
      <c r="B59" s="205" t="s">
        <v>185</v>
      </c>
      <c r="C59" s="204" t="s">
        <v>514</v>
      </c>
      <c r="D59" s="205" t="s">
        <v>102</v>
      </c>
      <c r="E59" s="205" t="s">
        <v>28</v>
      </c>
      <c r="F59" s="205" t="s">
        <v>186</v>
      </c>
      <c r="G59" s="205"/>
      <c r="H59" s="205"/>
      <c r="I59" s="206">
        <v>65240</v>
      </c>
      <c r="J59" s="205"/>
      <c r="K59" s="205"/>
      <c r="L59" s="205"/>
      <c r="M59" s="205"/>
      <c r="N59" s="206">
        <v>65240</v>
      </c>
      <c r="O59" s="206">
        <v>65240</v>
      </c>
    </row>
    <row r="60" spans="1:15" s="3" customFormat="1" x14ac:dyDescent="0.2">
      <c r="A60" s="204" t="s">
        <v>515</v>
      </c>
      <c r="B60" s="205" t="s">
        <v>69</v>
      </c>
      <c r="C60" s="204" t="s">
        <v>516</v>
      </c>
      <c r="D60" s="205" t="s">
        <v>20</v>
      </c>
      <c r="E60" s="205" t="s">
        <v>28</v>
      </c>
      <c r="F60" s="205" t="s">
        <v>74</v>
      </c>
      <c r="G60" s="205"/>
      <c r="H60" s="205"/>
      <c r="I60" s="206">
        <v>163888</v>
      </c>
      <c r="J60" s="205"/>
      <c r="K60" s="205"/>
      <c r="L60" s="205"/>
      <c r="M60" s="205"/>
      <c r="N60" s="206">
        <v>163888</v>
      </c>
      <c r="O60" s="206">
        <v>163888</v>
      </c>
    </row>
    <row r="61" spans="1:15" s="3" customFormat="1" x14ac:dyDescent="0.2">
      <c r="A61" s="204" t="s">
        <v>532</v>
      </c>
      <c r="B61" s="205" t="s">
        <v>240</v>
      </c>
      <c r="C61" s="204" t="s">
        <v>533</v>
      </c>
      <c r="D61" s="205" t="s">
        <v>20</v>
      </c>
      <c r="E61" s="205" t="s">
        <v>28</v>
      </c>
      <c r="F61" s="205" t="s">
        <v>243</v>
      </c>
      <c r="G61" s="205"/>
      <c r="H61" s="205"/>
      <c r="I61" s="206">
        <v>5867595</v>
      </c>
      <c r="J61" s="205"/>
      <c r="K61" s="205"/>
      <c r="L61" s="205"/>
      <c r="M61" s="205"/>
      <c r="N61" s="206">
        <v>5867595</v>
      </c>
      <c r="O61" s="206">
        <v>5867595</v>
      </c>
    </row>
    <row r="62" spans="1:15" s="3" customFormat="1" x14ac:dyDescent="0.2">
      <c r="A62" s="204" t="s">
        <v>544</v>
      </c>
      <c r="B62" s="205" t="s">
        <v>285</v>
      </c>
      <c r="C62" s="204" t="s">
        <v>545</v>
      </c>
      <c r="D62" s="205" t="s">
        <v>20</v>
      </c>
      <c r="E62" s="205" t="s">
        <v>28</v>
      </c>
      <c r="F62" s="205" t="s">
        <v>288</v>
      </c>
      <c r="G62" s="205"/>
      <c r="H62" s="205"/>
      <c r="I62" s="206">
        <v>2233170</v>
      </c>
      <c r="J62" s="205"/>
      <c r="K62" s="205"/>
      <c r="L62" s="205"/>
      <c r="M62" s="205"/>
      <c r="N62" s="206">
        <v>2233170</v>
      </c>
      <c r="O62" s="206">
        <v>2233170</v>
      </c>
    </row>
    <row r="63" spans="1:15" s="3" customFormat="1" x14ac:dyDescent="0.2">
      <c r="A63" s="204" t="s">
        <v>546</v>
      </c>
      <c r="B63" s="205" t="s">
        <v>285</v>
      </c>
      <c r="C63" s="204" t="s">
        <v>547</v>
      </c>
      <c r="D63" s="205" t="s">
        <v>20</v>
      </c>
      <c r="E63" s="205" t="s">
        <v>28</v>
      </c>
      <c r="F63" s="205" t="s">
        <v>288</v>
      </c>
      <c r="G63" s="205"/>
      <c r="H63" s="205"/>
      <c r="I63" s="206">
        <v>2823075</v>
      </c>
      <c r="J63" s="205"/>
      <c r="K63" s="205"/>
      <c r="L63" s="205"/>
      <c r="M63" s="205"/>
      <c r="N63" s="206">
        <v>2823075</v>
      </c>
      <c r="O63" s="206">
        <v>2823075</v>
      </c>
    </row>
    <row r="64" spans="1:15" s="3" customFormat="1" x14ac:dyDescent="0.2">
      <c r="A64" s="204" t="s">
        <v>558</v>
      </c>
      <c r="B64" s="205" t="s">
        <v>285</v>
      </c>
      <c r="C64" s="204" t="s">
        <v>559</v>
      </c>
      <c r="D64" s="205" t="s">
        <v>20</v>
      </c>
      <c r="E64" s="205" t="s">
        <v>28</v>
      </c>
      <c r="F64" s="205" t="s">
        <v>288</v>
      </c>
      <c r="G64" s="205"/>
      <c r="H64" s="206">
        <v>2634479</v>
      </c>
      <c r="I64" s="205"/>
      <c r="J64" s="205"/>
      <c r="K64" s="205"/>
      <c r="L64" s="205"/>
      <c r="M64" s="205"/>
      <c r="N64" s="206">
        <v>2634479</v>
      </c>
      <c r="O64" s="206">
        <v>2634479</v>
      </c>
    </row>
    <row r="65" spans="1:15" s="3" customFormat="1" x14ac:dyDescent="0.2">
      <c r="A65" s="204" t="s">
        <v>568</v>
      </c>
      <c r="B65" s="205" t="s">
        <v>240</v>
      </c>
      <c r="C65" s="204" t="s">
        <v>569</v>
      </c>
      <c r="D65" s="205" t="s">
        <v>56</v>
      </c>
      <c r="E65" s="205" t="s">
        <v>28</v>
      </c>
      <c r="F65" s="205" t="s">
        <v>243</v>
      </c>
      <c r="G65" s="205"/>
      <c r="H65" s="206">
        <v>283140</v>
      </c>
      <c r="I65" s="205"/>
      <c r="J65" s="205"/>
      <c r="K65" s="205"/>
      <c r="L65" s="205"/>
      <c r="M65" s="205"/>
      <c r="N65" s="206">
        <v>283140</v>
      </c>
      <c r="O65" s="206">
        <v>283140</v>
      </c>
    </row>
    <row r="66" spans="1:15" s="3" customFormat="1" x14ac:dyDescent="0.2">
      <c r="A66" s="204" t="s">
        <v>570</v>
      </c>
      <c r="B66" s="205" t="s">
        <v>240</v>
      </c>
      <c r="C66" s="204" t="s">
        <v>571</v>
      </c>
      <c r="D66" s="205" t="s">
        <v>56</v>
      </c>
      <c r="E66" s="205" t="s">
        <v>28</v>
      </c>
      <c r="F66" s="205" t="s">
        <v>243</v>
      </c>
      <c r="G66" s="205"/>
      <c r="H66" s="206">
        <v>1475848</v>
      </c>
      <c r="I66" s="205"/>
      <c r="J66" s="205"/>
      <c r="K66" s="205"/>
      <c r="L66" s="205"/>
      <c r="M66" s="205"/>
      <c r="N66" s="206">
        <v>1475848</v>
      </c>
      <c r="O66" s="206">
        <v>1475848</v>
      </c>
    </row>
    <row r="67" spans="1:15" s="3" customFormat="1" x14ac:dyDescent="0.2">
      <c r="A67" s="204" t="s">
        <v>572</v>
      </c>
      <c r="B67" s="205" t="s">
        <v>240</v>
      </c>
      <c r="C67" s="204" t="s">
        <v>573</v>
      </c>
      <c r="D67" s="205" t="s">
        <v>56</v>
      </c>
      <c r="E67" s="205" t="s">
        <v>28</v>
      </c>
      <c r="F67" s="205" t="s">
        <v>243</v>
      </c>
      <c r="G67" s="205"/>
      <c r="H67" s="206">
        <v>182248</v>
      </c>
      <c r="I67" s="205"/>
      <c r="J67" s="205"/>
      <c r="K67" s="205"/>
      <c r="L67" s="205"/>
      <c r="M67" s="205"/>
      <c r="N67" s="206">
        <v>182248</v>
      </c>
      <c r="O67" s="206">
        <v>182248</v>
      </c>
    </row>
    <row r="68" spans="1:15" s="3" customFormat="1" x14ac:dyDescent="0.2">
      <c r="A68" s="204" t="s">
        <v>578</v>
      </c>
      <c r="B68" s="205" t="s">
        <v>185</v>
      </c>
      <c r="C68" s="204" t="s">
        <v>579</v>
      </c>
      <c r="D68" s="205" t="s">
        <v>102</v>
      </c>
      <c r="E68" s="205" t="s">
        <v>28</v>
      </c>
      <c r="F68" s="205" t="s">
        <v>186</v>
      </c>
      <c r="G68" s="205"/>
      <c r="H68" s="206">
        <v>113760</v>
      </c>
      <c r="I68" s="205"/>
      <c r="J68" s="205"/>
      <c r="K68" s="205"/>
      <c r="L68" s="205"/>
      <c r="M68" s="205"/>
      <c r="N68" s="206">
        <v>113760</v>
      </c>
      <c r="O68" s="206">
        <v>113760</v>
      </c>
    </row>
    <row r="69" spans="1:15" s="3" customFormat="1" x14ac:dyDescent="0.2">
      <c r="A69" s="204" t="s">
        <v>580</v>
      </c>
      <c r="B69" s="205" t="s">
        <v>185</v>
      </c>
      <c r="C69" s="204" t="s">
        <v>581</v>
      </c>
      <c r="D69" s="205" t="s">
        <v>102</v>
      </c>
      <c r="E69" s="205" t="s">
        <v>28</v>
      </c>
      <c r="F69" s="205" t="s">
        <v>186</v>
      </c>
      <c r="G69" s="205"/>
      <c r="H69" s="206">
        <v>136040</v>
      </c>
      <c r="I69" s="205"/>
      <c r="J69" s="205"/>
      <c r="K69" s="205"/>
      <c r="L69" s="205"/>
      <c r="M69" s="205"/>
      <c r="N69" s="206">
        <v>136040</v>
      </c>
      <c r="O69" s="206">
        <v>136040</v>
      </c>
    </row>
    <row r="70" spans="1:15" s="3" customFormat="1" x14ac:dyDescent="0.2">
      <c r="A70" s="204" t="s">
        <v>582</v>
      </c>
      <c r="B70" s="205" t="s">
        <v>185</v>
      </c>
      <c r="C70" s="204" t="s">
        <v>583</v>
      </c>
      <c r="D70" s="205" t="s">
        <v>107</v>
      </c>
      <c r="E70" s="205" t="s">
        <v>28</v>
      </c>
      <c r="F70" s="205" t="s">
        <v>186</v>
      </c>
      <c r="G70" s="205"/>
      <c r="H70" s="206">
        <v>82560</v>
      </c>
      <c r="I70" s="205"/>
      <c r="J70" s="205"/>
      <c r="K70" s="205"/>
      <c r="L70" s="205"/>
      <c r="M70" s="205"/>
      <c r="N70" s="206">
        <v>82560</v>
      </c>
      <c r="O70" s="206">
        <v>82560</v>
      </c>
    </row>
    <row r="71" spans="1:15" s="3" customFormat="1" x14ac:dyDescent="0.2">
      <c r="A71" s="204" t="s">
        <v>584</v>
      </c>
      <c r="B71" s="205" t="s">
        <v>185</v>
      </c>
      <c r="C71" s="204" t="s">
        <v>585</v>
      </c>
      <c r="D71" s="205" t="s">
        <v>107</v>
      </c>
      <c r="E71" s="205" t="s">
        <v>28</v>
      </c>
      <c r="F71" s="205" t="s">
        <v>186</v>
      </c>
      <c r="G71" s="205"/>
      <c r="H71" s="206">
        <v>219440</v>
      </c>
      <c r="I71" s="205"/>
      <c r="J71" s="205"/>
      <c r="K71" s="205"/>
      <c r="L71" s="205"/>
      <c r="M71" s="205"/>
      <c r="N71" s="206">
        <v>219440</v>
      </c>
      <c r="O71" s="206">
        <v>219440</v>
      </c>
    </row>
    <row r="72" spans="1:15" s="3" customFormat="1" x14ac:dyDescent="0.2">
      <c r="A72" s="204" t="s">
        <v>586</v>
      </c>
      <c r="B72" s="205" t="s">
        <v>69</v>
      </c>
      <c r="C72" s="204" t="s">
        <v>587</v>
      </c>
      <c r="D72" s="205" t="s">
        <v>20</v>
      </c>
      <c r="E72" s="205" t="s">
        <v>28</v>
      </c>
      <c r="F72" s="205" t="s">
        <v>74</v>
      </c>
      <c r="G72" s="205"/>
      <c r="H72" s="206">
        <v>5564195</v>
      </c>
      <c r="I72" s="205"/>
      <c r="J72" s="205"/>
      <c r="K72" s="205"/>
      <c r="L72" s="205"/>
      <c r="M72" s="205"/>
      <c r="N72" s="206">
        <v>5564195</v>
      </c>
      <c r="O72" s="206">
        <v>5564195</v>
      </c>
    </row>
    <row r="73" spans="1:15" s="3" customFormat="1" x14ac:dyDescent="0.2">
      <c r="A73" s="204" t="s">
        <v>595</v>
      </c>
      <c r="B73" s="205" t="s">
        <v>69</v>
      </c>
      <c r="C73" s="204" t="s">
        <v>596</v>
      </c>
      <c r="D73" s="205" t="s">
        <v>20</v>
      </c>
      <c r="E73" s="205" t="s">
        <v>28</v>
      </c>
      <c r="F73" s="205" t="s">
        <v>74</v>
      </c>
      <c r="G73" s="205"/>
      <c r="H73" s="206">
        <v>408948.9</v>
      </c>
      <c r="I73" s="205"/>
      <c r="J73" s="205"/>
      <c r="K73" s="205"/>
      <c r="L73" s="205"/>
      <c r="M73" s="205"/>
      <c r="N73" s="206">
        <v>408948.9</v>
      </c>
      <c r="O73" s="206">
        <v>408948.9</v>
      </c>
    </row>
    <row r="74" spans="1:15" s="3" customFormat="1" x14ac:dyDescent="0.2">
      <c r="A74" s="204" t="s">
        <v>603</v>
      </c>
      <c r="B74" s="205" t="s">
        <v>69</v>
      </c>
      <c r="C74" s="204" t="s">
        <v>604</v>
      </c>
      <c r="D74" s="205" t="s">
        <v>20</v>
      </c>
      <c r="E74" s="205" t="s">
        <v>28</v>
      </c>
      <c r="F74" s="205" t="s">
        <v>74</v>
      </c>
      <c r="G74" s="205"/>
      <c r="H74" s="206">
        <v>685314</v>
      </c>
      <c r="I74" s="205"/>
      <c r="J74" s="205"/>
      <c r="K74" s="205"/>
      <c r="L74" s="205"/>
      <c r="M74" s="205"/>
      <c r="N74" s="206">
        <v>685314</v>
      </c>
      <c r="O74" s="206">
        <v>685314</v>
      </c>
    </row>
    <row r="75" spans="1:15" s="3" customFormat="1" x14ac:dyDescent="0.2">
      <c r="A75" s="204" t="s">
        <v>615</v>
      </c>
      <c r="B75" s="205" t="s">
        <v>143</v>
      </c>
      <c r="C75" s="204" t="s">
        <v>616</v>
      </c>
      <c r="D75" s="205" t="s">
        <v>107</v>
      </c>
      <c r="E75" s="205" t="s">
        <v>36</v>
      </c>
      <c r="F75" s="205" t="s">
        <v>144</v>
      </c>
      <c r="G75" s="205"/>
      <c r="H75" s="205"/>
      <c r="I75" s="205"/>
      <c r="J75" s="205"/>
      <c r="K75" s="205"/>
      <c r="L75" s="206">
        <v>-8839.48</v>
      </c>
      <c r="M75" s="205"/>
      <c r="N75" s="206">
        <v>-8839.48</v>
      </c>
      <c r="O75" s="206">
        <v>-8839.48</v>
      </c>
    </row>
    <row r="76" spans="1:15" s="3" customFormat="1" x14ac:dyDescent="0.2">
      <c r="A76" s="204" t="s">
        <v>623</v>
      </c>
      <c r="B76" s="205" t="s">
        <v>285</v>
      </c>
      <c r="C76" s="204" t="s">
        <v>624</v>
      </c>
      <c r="D76" s="205" t="s">
        <v>20</v>
      </c>
      <c r="E76" s="205" t="s">
        <v>28</v>
      </c>
      <c r="F76" s="205" t="s">
        <v>288</v>
      </c>
      <c r="G76" s="205"/>
      <c r="H76" s="206">
        <v>690030</v>
      </c>
      <c r="I76" s="205"/>
      <c r="J76" s="205"/>
      <c r="K76" s="205"/>
      <c r="L76" s="205"/>
      <c r="M76" s="205"/>
      <c r="N76" s="206">
        <v>690030</v>
      </c>
      <c r="O76" s="206">
        <v>690030</v>
      </c>
    </row>
    <row r="77" spans="1:15" s="3" customFormat="1" x14ac:dyDescent="0.2">
      <c r="A77" s="204" t="s">
        <v>627</v>
      </c>
      <c r="B77" s="205" t="s">
        <v>285</v>
      </c>
      <c r="C77" s="204" t="s">
        <v>628</v>
      </c>
      <c r="D77" s="205" t="s">
        <v>20</v>
      </c>
      <c r="E77" s="205" t="s">
        <v>28</v>
      </c>
      <c r="F77" s="205" t="s">
        <v>288</v>
      </c>
      <c r="G77" s="205"/>
      <c r="H77" s="206">
        <v>957060</v>
      </c>
      <c r="I77" s="205"/>
      <c r="J77" s="205"/>
      <c r="K77" s="205"/>
      <c r="L77" s="205"/>
      <c r="M77" s="205"/>
      <c r="N77" s="206">
        <v>957060</v>
      </c>
      <c r="O77" s="206">
        <v>957060</v>
      </c>
    </row>
    <row r="78" spans="1:15" s="3" customFormat="1" x14ac:dyDescent="0.2">
      <c r="A78" s="204" t="s">
        <v>631</v>
      </c>
      <c r="B78" s="205" t="s">
        <v>116</v>
      </c>
      <c r="C78" s="204" t="s">
        <v>630</v>
      </c>
      <c r="D78" s="205" t="s">
        <v>20</v>
      </c>
      <c r="E78" s="205" t="s">
        <v>36</v>
      </c>
      <c r="F78" s="205" t="s">
        <v>632</v>
      </c>
      <c r="G78" s="205"/>
      <c r="H78" s="205"/>
      <c r="I78" s="205"/>
      <c r="J78" s="205"/>
      <c r="K78" s="205"/>
      <c r="L78" s="206">
        <v>-10200</v>
      </c>
      <c r="M78" s="205"/>
      <c r="N78" s="206">
        <v>-10200</v>
      </c>
      <c r="O78" s="206">
        <v>-10200</v>
      </c>
    </row>
    <row r="79" spans="1:15" s="3" customFormat="1" x14ac:dyDescent="0.2">
      <c r="A79" s="204" t="s">
        <v>635</v>
      </c>
      <c r="B79" s="205" t="s">
        <v>185</v>
      </c>
      <c r="C79" s="204" t="s">
        <v>636</v>
      </c>
      <c r="D79" s="205" t="s">
        <v>107</v>
      </c>
      <c r="E79" s="205" t="s">
        <v>28</v>
      </c>
      <c r="F79" s="205" t="s">
        <v>186</v>
      </c>
      <c r="G79" s="205"/>
      <c r="H79" s="206">
        <v>180200</v>
      </c>
      <c r="I79" s="205"/>
      <c r="J79" s="205"/>
      <c r="K79" s="205"/>
      <c r="L79" s="205"/>
      <c r="M79" s="205"/>
      <c r="N79" s="206">
        <v>180200</v>
      </c>
      <c r="O79" s="206">
        <v>180200</v>
      </c>
    </row>
    <row r="80" spans="1:15" s="3" customFormat="1" x14ac:dyDescent="0.2">
      <c r="A80" s="204" t="s">
        <v>637</v>
      </c>
      <c r="B80" s="205" t="s">
        <v>185</v>
      </c>
      <c r="C80" s="204" t="s">
        <v>638</v>
      </c>
      <c r="D80" s="205" t="s">
        <v>107</v>
      </c>
      <c r="E80" s="205" t="s">
        <v>28</v>
      </c>
      <c r="F80" s="205" t="s">
        <v>186</v>
      </c>
      <c r="G80" s="205"/>
      <c r="H80" s="206">
        <v>167040</v>
      </c>
      <c r="I80" s="205"/>
      <c r="J80" s="205"/>
      <c r="K80" s="205"/>
      <c r="L80" s="205"/>
      <c r="M80" s="205"/>
      <c r="N80" s="206">
        <v>167040</v>
      </c>
      <c r="O80" s="206">
        <v>167040</v>
      </c>
    </row>
    <row r="81" spans="1:15" s="3" customFormat="1" x14ac:dyDescent="0.2">
      <c r="A81" s="204" t="s">
        <v>639</v>
      </c>
      <c r="B81" s="205" t="s">
        <v>185</v>
      </c>
      <c r="C81" s="204" t="s">
        <v>640</v>
      </c>
      <c r="D81" s="205" t="s">
        <v>88</v>
      </c>
      <c r="E81" s="205" t="s">
        <v>28</v>
      </c>
      <c r="F81" s="205" t="s">
        <v>186</v>
      </c>
      <c r="G81" s="205"/>
      <c r="H81" s="206">
        <v>40750</v>
      </c>
      <c r="I81" s="205"/>
      <c r="J81" s="205"/>
      <c r="K81" s="205"/>
      <c r="L81" s="205"/>
      <c r="M81" s="205"/>
      <c r="N81" s="206">
        <v>40750</v>
      </c>
      <c r="O81" s="206">
        <v>40750</v>
      </c>
    </row>
    <row r="82" spans="1:15" s="3" customFormat="1" x14ac:dyDescent="0.2">
      <c r="A82" s="204" t="s">
        <v>641</v>
      </c>
      <c r="B82" s="205" t="s">
        <v>185</v>
      </c>
      <c r="C82" s="204" t="s">
        <v>642</v>
      </c>
      <c r="D82" s="205" t="s">
        <v>88</v>
      </c>
      <c r="E82" s="205" t="s">
        <v>28</v>
      </c>
      <c r="F82" s="205" t="s">
        <v>186</v>
      </c>
      <c r="G82" s="205"/>
      <c r="H82" s="206">
        <v>262429.5</v>
      </c>
      <c r="I82" s="205"/>
      <c r="J82" s="205"/>
      <c r="K82" s="205"/>
      <c r="L82" s="205"/>
      <c r="M82" s="205"/>
      <c r="N82" s="206">
        <v>262429.5</v>
      </c>
      <c r="O82" s="206">
        <v>262429.5</v>
      </c>
    </row>
    <row r="83" spans="1:15" s="3" customFormat="1" x14ac:dyDescent="0.2">
      <c r="A83" s="204" t="s">
        <v>655</v>
      </c>
      <c r="B83" s="205" t="s">
        <v>99</v>
      </c>
      <c r="C83" s="204" t="s">
        <v>656</v>
      </c>
      <c r="D83" s="205" t="s">
        <v>20</v>
      </c>
      <c r="E83" s="205" t="s">
        <v>28</v>
      </c>
      <c r="F83" s="205" t="s">
        <v>101</v>
      </c>
      <c r="G83" s="205"/>
      <c r="H83" s="206">
        <v>161782</v>
      </c>
      <c r="I83" s="205"/>
      <c r="J83" s="205"/>
      <c r="K83" s="205"/>
      <c r="L83" s="205"/>
      <c r="M83" s="205"/>
      <c r="N83" s="206">
        <v>161782</v>
      </c>
      <c r="O83" s="206">
        <v>161782</v>
      </c>
    </row>
    <row r="84" spans="1:15" s="3" customFormat="1" x14ac:dyDescent="0.2">
      <c r="A84" s="204" t="s">
        <v>677</v>
      </c>
      <c r="B84" s="205" t="s">
        <v>69</v>
      </c>
      <c r="C84" s="204" t="s">
        <v>678</v>
      </c>
      <c r="D84" s="205" t="s">
        <v>85</v>
      </c>
      <c r="E84" s="205"/>
      <c r="F84" s="205" t="s">
        <v>75</v>
      </c>
      <c r="G84" s="205"/>
      <c r="H84" s="206">
        <v>125452.65</v>
      </c>
      <c r="I84" s="205"/>
      <c r="J84" s="205"/>
      <c r="K84" s="205"/>
      <c r="L84" s="205"/>
      <c r="M84" s="205"/>
      <c r="N84" s="206">
        <v>125452.65</v>
      </c>
      <c r="O84" s="206">
        <v>125452.65</v>
      </c>
    </row>
    <row r="85" spans="1:15" s="3" customFormat="1" x14ac:dyDescent="0.2">
      <c r="A85" s="204" t="s">
        <v>691</v>
      </c>
      <c r="B85" s="205" t="s">
        <v>69</v>
      </c>
      <c r="C85" s="204" t="s">
        <v>692</v>
      </c>
      <c r="D85" s="205" t="s">
        <v>85</v>
      </c>
      <c r="E85" s="205"/>
      <c r="F85" s="205" t="s">
        <v>75</v>
      </c>
      <c r="G85" s="205"/>
      <c r="H85" s="206">
        <v>123456.21</v>
      </c>
      <c r="I85" s="205"/>
      <c r="J85" s="205"/>
      <c r="K85" s="205"/>
      <c r="L85" s="205"/>
      <c r="M85" s="205"/>
      <c r="N85" s="206">
        <v>123456.21</v>
      </c>
      <c r="O85" s="206">
        <v>123456.21</v>
      </c>
    </row>
    <row r="86" spans="1:15" s="3" customFormat="1" x14ac:dyDescent="0.2">
      <c r="A86" s="204" t="s">
        <v>715</v>
      </c>
      <c r="B86" s="205" t="s">
        <v>69</v>
      </c>
      <c r="C86" s="204" t="s">
        <v>716</v>
      </c>
      <c r="D86" s="205" t="s">
        <v>85</v>
      </c>
      <c r="E86" s="205" t="s">
        <v>714</v>
      </c>
      <c r="F86" s="205" t="s">
        <v>75</v>
      </c>
      <c r="G86" s="205"/>
      <c r="H86" s="206">
        <v>205738.95</v>
      </c>
      <c r="I86" s="205"/>
      <c r="J86" s="205"/>
      <c r="K86" s="205"/>
      <c r="L86" s="205"/>
      <c r="M86" s="205"/>
      <c r="N86" s="206">
        <v>205738.95</v>
      </c>
      <c r="O86" s="206">
        <v>205738.95</v>
      </c>
    </row>
    <row r="87" spans="1:15" s="3" customFormat="1" x14ac:dyDescent="0.2">
      <c r="A87" s="204" t="s">
        <v>835</v>
      </c>
      <c r="B87" s="205" t="s">
        <v>99</v>
      </c>
      <c r="C87" s="204" t="s">
        <v>836</v>
      </c>
      <c r="D87" s="205" t="s">
        <v>56</v>
      </c>
      <c r="E87" s="205" t="s">
        <v>28</v>
      </c>
      <c r="F87" s="205" t="s">
        <v>101</v>
      </c>
      <c r="G87" s="205"/>
      <c r="H87" s="206">
        <v>2313900</v>
      </c>
      <c r="I87" s="205"/>
      <c r="J87" s="205"/>
      <c r="K87" s="205"/>
      <c r="L87" s="205"/>
      <c r="M87" s="205"/>
      <c r="N87" s="206">
        <v>2313900</v>
      </c>
      <c r="O87" s="206">
        <v>2313900</v>
      </c>
    </row>
    <row r="88" spans="1:15" s="3" customFormat="1" x14ac:dyDescent="0.2">
      <c r="A88" s="204" t="s">
        <v>837</v>
      </c>
      <c r="B88" s="205" t="s">
        <v>125</v>
      </c>
      <c r="C88" s="204" t="s">
        <v>838</v>
      </c>
      <c r="D88" s="205" t="s">
        <v>20</v>
      </c>
      <c r="E88" s="205" t="s">
        <v>28</v>
      </c>
      <c r="F88" s="205" t="s">
        <v>126</v>
      </c>
      <c r="G88" s="205"/>
      <c r="H88" s="206">
        <v>517787.41</v>
      </c>
      <c r="I88" s="205"/>
      <c r="J88" s="205"/>
      <c r="K88" s="205"/>
      <c r="L88" s="205"/>
      <c r="M88" s="205"/>
      <c r="N88" s="206">
        <v>517787.41</v>
      </c>
      <c r="O88" s="206">
        <v>517787.41</v>
      </c>
    </row>
    <row r="89" spans="1:15" s="3" customFormat="1" x14ac:dyDescent="0.2">
      <c r="A89" s="204" t="s">
        <v>839</v>
      </c>
      <c r="B89" s="205" t="s">
        <v>185</v>
      </c>
      <c r="C89" s="204" t="s">
        <v>840</v>
      </c>
      <c r="D89" s="205" t="s">
        <v>52</v>
      </c>
      <c r="E89" s="205" t="s">
        <v>28</v>
      </c>
      <c r="F89" s="205" t="s">
        <v>186</v>
      </c>
      <c r="G89" s="205"/>
      <c r="H89" s="206">
        <v>130603.5</v>
      </c>
      <c r="I89" s="205"/>
      <c r="J89" s="205"/>
      <c r="K89" s="205"/>
      <c r="L89" s="205"/>
      <c r="M89" s="205"/>
      <c r="N89" s="206">
        <v>130603.5</v>
      </c>
      <c r="O89" s="206">
        <v>130603.5</v>
      </c>
    </row>
    <row r="90" spans="1:15" s="3" customFormat="1" x14ac:dyDescent="0.2">
      <c r="A90" s="204" t="s">
        <v>841</v>
      </c>
      <c r="B90" s="205" t="s">
        <v>185</v>
      </c>
      <c r="C90" s="204" t="s">
        <v>842</v>
      </c>
      <c r="D90" s="205" t="s">
        <v>52</v>
      </c>
      <c r="E90" s="205" t="s">
        <v>28</v>
      </c>
      <c r="F90" s="205" t="s">
        <v>186</v>
      </c>
      <c r="G90" s="205"/>
      <c r="H90" s="206">
        <v>40845</v>
      </c>
      <c r="I90" s="205"/>
      <c r="J90" s="205"/>
      <c r="K90" s="205"/>
      <c r="L90" s="205"/>
      <c r="M90" s="205"/>
      <c r="N90" s="206">
        <v>40845</v>
      </c>
      <c r="O90" s="206">
        <v>40845</v>
      </c>
    </row>
    <row r="91" spans="1:15" s="3" customFormat="1" x14ac:dyDescent="0.2">
      <c r="A91" s="204" t="s">
        <v>843</v>
      </c>
      <c r="B91" s="205" t="s">
        <v>185</v>
      </c>
      <c r="C91" s="204" t="s">
        <v>844</v>
      </c>
      <c r="D91" s="205" t="s">
        <v>52</v>
      </c>
      <c r="E91" s="205" t="s">
        <v>28</v>
      </c>
      <c r="F91" s="205" t="s">
        <v>186</v>
      </c>
      <c r="G91" s="205"/>
      <c r="H91" s="206">
        <v>65800</v>
      </c>
      <c r="I91" s="205"/>
      <c r="J91" s="205"/>
      <c r="K91" s="205"/>
      <c r="L91" s="205"/>
      <c r="M91" s="205"/>
      <c r="N91" s="206">
        <v>65800</v>
      </c>
      <c r="O91" s="206">
        <v>65800</v>
      </c>
    </row>
    <row r="92" spans="1:15" s="3" customFormat="1" x14ac:dyDescent="0.2">
      <c r="A92" s="204" t="s">
        <v>845</v>
      </c>
      <c r="B92" s="205" t="s">
        <v>185</v>
      </c>
      <c r="C92" s="204" t="s">
        <v>846</v>
      </c>
      <c r="D92" s="205" t="s">
        <v>52</v>
      </c>
      <c r="E92" s="205" t="s">
        <v>28</v>
      </c>
      <c r="F92" s="205" t="s">
        <v>186</v>
      </c>
      <c r="G92" s="205"/>
      <c r="H92" s="206">
        <v>141030</v>
      </c>
      <c r="I92" s="205"/>
      <c r="J92" s="205"/>
      <c r="K92" s="205"/>
      <c r="L92" s="205"/>
      <c r="M92" s="205"/>
      <c r="N92" s="206">
        <v>141030</v>
      </c>
      <c r="O92" s="206">
        <v>141030</v>
      </c>
    </row>
    <row r="93" spans="1:15" s="3" customFormat="1" x14ac:dyDescent="0.2">
      <c r="A93" s="204" t="s">
        <v>847</v>
      </c>
      <c r="B93" s="205" t="s">
        <v>240</v>
      </c>
      <c r="C93" s="204" t="s">
        <v>848</v>
      </c>
      <c r="D93" s="205" t="s">
        <v>52</v>
      </c>
      <c r="E93" s="205" t="s">
        <v>28</v>
      </c>
      <c r="F93" s="205" t="s">
        <v>243</v>
      </c>
      <c r="G93" s="205"/>
      <c r="H93" s="206">
        <v>1909755</v>
      </c>
      <c r="I93" s="205"/>
      <c r="J93" s="205"/>
      <c r="K93" s="205"/>
      <c r="L93" s="205"/>
      <c r="M93" s="205"/>
      <c r="N93" s="206">
        <v>1909755</v>
      </c>
      <c r="O93" s="206">
        <v>1909755</v>
      </c>
    </row>
    <row r="94" spans="1:15" s="3" customFormat="1" x14ac:dyDescent="0.2">
      <c r="A94" s="204" t="s">
        <v>849</v>
      </c>
      <c r="B94" s="205" t="s">
        <v>240</v>
      </c>
      <c r="C94" s="204" t="s">
        <v>850</v>
      </c>
      <c r="D94" s="205" t="s">
        <v>107</v>
      </c>
      <c r="E94" s="205" t="s">
        <v>28</v>
      </c>
      <c r="F94" s="205" t="s">
        <v>243</v>
      </c>
      <c r="G94" s="205"/>
      <c r="H94" s="206">
        <v>260775</v>
      </c>
      <c r="I94" s="205"/>
      <c r="J94" s="205"/>
      <c r="K94" s="205"/>
      <c r="L94" s="205"/>
      <c r="M94" s="205"/>
      <c r="N94" s="206">
        <v>260775</v>
      </c>
      <c r="O94" s="206">
        <v>260775</v>
      </c>
    </row>
    <row r="95" spans="1:15" s="3" customFormat="1" x14ac:dyDescent="0.2">
      <c r="A95" s="204" t="s">
        <v>851</v>
      </c>
      <c r="B95" s="205" t="s">
        <v>240</v>
      </c>
      <c r="C95" s="204" t="s">
        <v>852</v>
      </c>
      <c r="D95" s="205" t="s">
        <v>88</v>
      </c>
      <c r="E95" s="205" t="s">
        <v>28</v>
      </c>
      <c r="F95" s="205" t="s">
        <v>243</v>
      </c>
      <c r="G95" s="205"/>
      <c r="H95" s="206">
        <v>659560</v>
      </c>
      <c r="I95" s="205"/>
      <c r="J95" s="205"/>
      <c r="K95" s="205"/>
      <c r="L95" s="205"/>
      <c r="M95" s="205"/>
      <c r="N95" s="206">
        <v>659560</v>
      </c>
      <c r="O95" s="206">
        <v>659560</v>
      </c>
    </row>
    <row r="96" spans="1:15" s="3" customFormat="1" x14ac:dyDescent="0.2">
      <c r="A96" s="204" t="s">
        <v>1084</v>
      </c>
      <c r="B96" s="205" t="s">
        <v>240</v>
      </c>
      <c r="C96" s="204" t="s">
        <v>1085</v>
      </c>
      <c r="D96" s="205" t="s">
        <v>56</v>
      </c>
      <c r="E96" s="205" t="s">
        <v>36</v>
      </c>
      <c r="F96" s="205" t="s">
        <v>243</v>
      </c>
      <c r="G96" s="205"/>
      <c r="H96" s="205"/>
      <c r="I96" s="205"/>
      <c r="J96" s="205"/>
      <c r="K96" s="205"/>
      <c r="L96" s="206">
        <v>-7035.34</v>
      </c>
      <c r="M96" s="205"/>
      <c r="N96" s="206">
        <v>-7035.34</v>
      </c>
      <c r="O96" s="206">
        <v>-7035.34</v>
      </c>
    </row>
    <row r="97" spans="1:15" s="3" customFormat="1" x14ac:dyDescent="0.2">
      <c r="A97" s="204" t="s">
        <v>853</v>
      </c>
      <c r="B97" s="205" t="s">
        <v>292</v>
      </c>
      <c r="C97" s="204" t="s">
        <v>854</v>
      </c>
      <c r="D97" s="205" t="s">
        <v>102</v>
      </c>
      <c r="E97" s="205" t="s">
        <v>28</v>
      </c>
      <c r="F97" s="205" t="s">
        <v>293</v>
      </c>
      <c r="G97" s="205"/>
      <c r="H97" s="206">
        <v>5290.5</v>
      </c>
      <c r="I97" s="205"/>
      <c r="J97" s="205"/>
      <c r="K97" s="205"/>
      <c r="L97" s="205"/>
      <c r="M97" s="205"/>
      <c r="N97" s="206">
        <v>5290.5</v>
      </c>
      <c r="O97" s="206">
        <v>5290.5</v>
      </c>
    </row>
    <row r="98" spans="1:15" s="3" customFormat="1" x14ac:dyDescent="0.2">
      <c r="A98" s="204" t="s">
        <v>855</v>
      </c>
      <c r="B98" s="205" t="s">
        <v>185</v>
      </c>
      <c r="C98" s="204" t="s">
        <v>856</v>
      </c>
      <c r="D98" s="205" t="s">
        <v>35</v>
      </c>
      <c r="E98" s="205" t="s">
        <v>28</v>
      </c>
      <c r="F98" s="205" t="s">
        <v>186</v>
      </c>
      <c r="G98" s="205"/>
      <c r="H98" s="206">
        <v>43875</v>
      </c>
      <c r="I98" s="205"/>
      <c r="J98" s="205"/>
      <c r="K98" s="205"/>
      <c r="L98" s="205"/>
      <c r="M98" s="205"/>
      <c r="N98" s="206">
        <v>43875</v>
      </c>
      <c r="O98" s="206">
        <v>43875</v>
      </c>
    </row>
    <row r="99" spans="1:15" s="3" customFormat="1" x14ac:dyDescent="0.2">
      <c r="A99" s="204" t="s">
        <v>857</v>
      </c>
      <c r="B99" s="205" t="s">
        <v>185</v>
      </c>
      <c r="C99" s="204" t="s">
        <v>858</v>
      </c>
      <c r="D99" s="205" t="s">
        <v>35</v>
      </c>
      <c r="E99" s="205" t="s">
        <v>28</v>
      </c>
      <c r="F99" s="205" t="s">
        <v>186</v>
      </c>
      <c r="G99" s="205"/>
      <c r="H99" s="206">
        <v>96668</v>
      </c>
      <c r="I99" s="205"/>
      <c r="J99" s="205"/>
      <c r="K99" s="205"/>
      <c r="L99" s="205"/>
      <c r="M99" s="205"/>
      <c r="N99" s="206">
        <v>96668</v>
      </c>
      <c r="O99" s="206">
        <v>96668</v>
      </c>
    </row>
    <row r="100" spans="1:15" s="3" customFormat="1" x14ac:dyDescent="0.2">
      <c r="A100" s="204" t="s">
        <v>859</v>
      </c>
      <c r="B100" s="205" t="s">
        <v>185</v>
      </c>
      <c r="C100" s="204" t="s">
        <v>860</v>
      </c>
      <c r="D100" s="205" t="s">
        <v>76</v>
      </c>
      <c r="E100" s="205" t="s">
        <v>28</v>
      </c>
      <c r="F100" s="205" t="s">
        <v>186</v>
      </c>
      <c r="G100" s="205"/>
      <c r="H100" s="206">
        <v>159840</v>
      </c>
      <c r="I100" s="205"/>
      <c r="J100" s="205"/>
      <c r="K100" s="205"/>
      <c r="L100" s="205"/>
      <c r="M100" s="205"/>
      <c r="N100" s="206">
        <v>159840</v>
      </c>
      <c r="O100" s="206">
        <v>159840</v>
      </c>
    </row>
    <row r="101" spans="1:15" s="3" customFormat="1" x14ac:dyDescent="0.2">
      <c r="A101" s="204" t="s">
        <v>861</v>
      </c>
      <c r="B101" s="205" t="s">
        <v>285</v>
      </c>
      <c r="C101" s="204" t="s">
        <v>862</v>
      </c>
      <c r="D101" s="205" t="s">
        <v>102</v>
      </c>
      <c r="E101" s="205" t="s">
        <v>28</v>
      </c>
      <c r="F101" s="205" t="s">
        <v>288</v>
      </c>
      <c r="G101" s="205"/>
      <c r="H101" s="206">
        <v>604215</v>
      </c>
      <c r="I101" s="205"/>
      <c r="J101" s="205"/>
      <c r="K101" s="205"/>
      <c r="L101" s="205"/>
      <c r="M101" s="205"/>
      <c r="N101" s="206">
        <v>604215</v>
      </c>
      <c r="O101" s="206">
        <v>604215</v>
      </c>
    </row>
    <row r="102" spans="1:15" s="3" customFormat="1" x14ac:dyDescent="0.2">
      <c r="A102" s="204" t="s">
        <v>863</v>
      </c>
      <c r="B102" s="205" t="s">
        <v>240</v>
      </c>
      <c r="C102" s="204" t="s">
        <v>864</v>
      </c>
      <c r="D102" s="205" t="s">
        <v>35</v>
      </c>
      <c r="E102" s="205" t="s">
        <v>28</v>
      </c>
      <c r="F102" s="205" t="s">
        <v>243</v>
      </c>
      <c r="G102" s="205"/>
      <c r="H102" s="206">
        <v>1772217</v>
      </c>
      <c r="I102" s="205"/>
      <c r="J102" s="205"/>
      <c r="K102" s="205"/>
      <c r="L102" s="205"/>
      <c r="M102" s="205"/>
      <c r="N102" s="206">
        <v>1772217</v>
      </c>
      <c r="O102" s="206">
        <v>1772217</v>
      </c>
    </row>
    <row r="103" spans="1:15" s="3" customFormat="1" x14ac:dyDescent="0.2">
      <c r="A103" s="204" t="s">
        <v>865</v>
      </c>
      <c r="B103" s="205" t="s">
        <v>240</v>
      </c>
      <c r="C103" s="204" t="s">
        <v>866</v>
      </c>
      <c r="D103" s="205" t="s">
        <v>102</v>
      </c>
      <c r="E103" s="205" t="s">
        <v>28</v>
      </c>
      <c r="F103" s="205" t="s">
        <v>243</v>
      </c>
      <c r="G103" s="205"/>
      <c r="H103" s="206">
        <v>2712960</v>
      </c>
      <c r="I103" s="205"/>
      <c r="J103" s="205"/>
      <c r="K103" s="205"/>
      <c r="L103" s="205"/>
      <c r="M103" s="205"/>
      <c r="N103" s="206">
        <v>2712960</v>
      </c>
      <c r="O103" s="206">
        <v>2712960</v>
      </c>
    </row>
    <row r="104" spans="1:15" s="3" customFormat="1" x14ac:dyDescent="0.2">
      <c r="A104" s="204" t="s">
        <v>867</v>
      </c>
      <c r="B104" s="205" t="s">
        <v>240</v>
      </c>
      <c r="C104" s="204" t="s">
        <v>868</v>
      </c>
      <c r="D104" s="205" t="s">
        <v>76</v>
      </c>
      <c r="E104" s="205" t="s">
        <v>28</v>
      </c>
      <c r="F104" s="205" t="s">
        <v>243</v>
      </c>
      <c r="G104" s="205"/>
      <c r="H104" s="206">
        <v>996840</v>
      </c>
      <c r="I104" s="205"/>
      <c r="J104" s="205"/>
      <c r="K104" s="205"/>
      <c r="L104" s="205"/>
      <c r="M104" s="205"/>
      <c r="N104" s="206">
        <v>996840</v>
      </c>
      <c r="O104" s="206">
        <v>996840</v>
      </c>
    </row>
    <row r="105" spans="1:15" s="3" customFormat="1" x14ac:dyDescent="0.2">
      <c r="A105" s="204" t="s">
        <v>869</v>
      </c>
      <c r="B105" s="205" t="s">
        <v>240</v>
      </c>
      <c r="C105" s="204" t="s">
        <v>870</v>
      </c>
      <c r="D105" s="205" t="s">
        <v>102</v>
      </c>
      <c r="E105" s="205" t="s">
        <v>28</v>
      </c>
      <c r="F105" s="205" t="s">
        <v>243</v>
      </c>
      <c r="G105" s="205"/>
      <c r="H105" s="206">
        <v>4348170</v>
      </c>
      <c r="I105" s="205"/>
      <c r="J105" s="205"/>
      <c r="K105" s="205"/>
      <c r="L105" s="205"/>
      <c r="M105" s="205"/>
      <c r="N105" s="206">
        <v>4348170</v>
      </c>
      <c r="O105" s="206">
        <v>4348170</v>
      </c>
    </row>
    <row r="106" spans="1:15" s="3" customFormat="1" x14ac:dyDescent="0.2">
      <c r="A106" s="204" t="s">
        <v>871</v>
      </c>
      <c r="B106" s="205" t="s">
        <v>265</v>
      </c>
      <c r="C106" s="204" t="s">
        <v>872</v>
      </c>
      <c r="D106" s="205" t="s">
        <v>20</v>
      </c>
      <c r="E106" s="205" t="s">
        <v>36</v>
      </c>
      <c r="F106" s="205" t="s">
        <v>873</v>
      </c>
      <c r="G106" s="205"/>
      <c r="H106" s="205"/>
      <c r="I106" s="205"/>
      <c r="J106" s="205"/>
      <c r="K106" s="205"/>
      <c r="L106" s="206">
        <v>-4628</v>
      </c>
      <c r="M106" s="205"/>
      <c r="N106" s="206">
        <v>-4628</v>
      </c>
      <c r="O106" s="206">
        <v>-4628</v>
      </c>
    </row>
    <row r="107" spans="1:15" s="3" customFormat="1" x14ac:dyDescent="0.2">
      <c r="A107" s="204" t="s">
        <v>875</v>
      </c>
      <c r="B107" s="205" t="s">
        <v>105</v>
      </c>
      <c r="C107" s="204" t="s">
        <v>876</v>
      </c>
      <c r="D107" s="205" t="s">
        <v>52</v>
      </c>
      <c r="E107" s="205" t="s">
        <v>36</v>
      </c>
      <c r="F107" s="205" t="s">
        <v>877</v>
      </c>
      <c r="G107" s="205"/>
      <c r="H107" s="205"/>
      <c r="I107" s="205"/>
      <c r="J107" s="205"/>
      <c r="K107" s="205"/>
      <c r="L107" s="206">
        <v>-1194</v>
      </c>
      <c r="M107" s="205"/>
      <c r="N107" s="206">
        <v>-1194</v>
      </c>
      <c r="O107" s="206">
        <v>-1194</v>
      </c>
    </row>
    <row r="108" spans="1:15" s="3" customFormat="1" x14ac:dyDescent="0.2">
      <c r="A108" s="204" t="s">
        <v>878</v>
      </c>
      <c r="B108" s="205" t="s">
        <v>292</v>
      </c>
      <c r="C108" s="204" t="s">
        <v>879</v>
      </c>
      <c r="D108" s="205" t="s">
        <v>102</v>
      </c>
      <c r="E108" s="205" t="s">
        <v>28</v>
      </c>
      <c r="F108" s="205" t="s">
        <v>293</v>
      </c>
      <c r="G108" s="205"/>
      <c r="H108" s="206">
        <v>1246140</v>
      </c>
      <c r="I108" s="205"/>
      <c r="J108" s="205"/>
      <c r="K108" s="205"/>
      <c r="L108" s="205"/>
      <c r="M108" s="205"/>
      <c r="N108" s="206">
        <v>1246140</v>
      </c>
      <c r="O108" s="206">
        <v>1246140</v>
      </c>
    </row>
    <row r="109" spans="1:15" s="3" customFormat="1" x14ac:dyDescent="0.2">
      <c r="A109" s="204" t="s">
        <v>880</v>
      </c>
      <c r="B109" s="205" t="s">
        <v>99</v>
      </c>
      <c r="C109" s="204" t="s">
        <v>881</v>
      </c>
      <c r="D109" s="205" t="s">
        <v>76</v>
      </c>
      <c r="E109" s="205" t="s">
        <v>28</v>
      </c>
      <c r="F109" s="205" t="s">
        <v>101</v>
      </c>
      <c r="G109" s="205"/>
      <c r="H109" s="206">
        <v>292876.79999999999</v>
      </c>
      <c r="I109" s="205"/>
      <c r="J109" s="205"/>
      <c r="K109" s="205"/>
      <c r="L109" s="205"/>
      <c r="M109" s="205"/>
      <c r="N109" s="206">
        <v>292876.79999999999</v>
      </c>
      <c r="O109" s="206">
        <v>292876.79999999999</v>
      </c>
    </row>
    <row r="110" spans="1:15" s="3" customFormat="1" x14ac:dyDescent="0.2">
      <c r="A110" s="204" t="s">
        <v>882</v>
      </c>
      <c r="B110" s="205" t="s">
        <v>99</v>
      </c>
      <c r="C110" s="204" t="s">
        <v>883</v>
      </c>
      <c r="D110" s="205" t="s">
        <v>102</v>
      </c>
      <c r="E110" s="205" t="s">
        <v>28</v>
      </c>
      <c r="F110" s="205" t="s">
        <v>101</v>
      </c>
      <c r="G110" s="205"/>
      <c r="H110" s="206">
        <v>1191650</v>
      </c>
      <c r="I110" s="205"/>
      <c r="J110" s="205"/>
      <c r="K110" s="205"/>
      <c r="L110" s="205"/>
      <c r="M110" s="205"/>
      <c r="N110" s="206">
        <v>1191650</v>
      </c>
      <c r="O110" s="206">
        <v>1191650</v>
      </c>
    </row>
    <row r="111" spans="1:15" s="3" customFormat="1" x14ac:dyDescent="0.2">
      <c r="A111" s="204" t="s">
        <v>884</v>
      </c>
      <c r="B111" s="205" t="s">
        <v>285</v>
      </c>
      <c r="C111" s="204" t="s">
        <v>885</v>
      </c>
      <c r="D111" s="205" t="s">
        <v>102</v>
      </c>
      <c r="E111" s="205" t="s">
        <v>28</v>
      </c>
      <c r="F111" s="205" t="s">
        <v>288</v>
      </c>
      <c r="G111" s="205"/>
      <c r="H111" s="206">
        <v>1661715</v>
      </c>
      <c r="I111" s="205"/>
      <c r="J111" s="205"/>
      <c r="K111" s="205"/>
      <c r="L111" s="205"/>
      <c r="M111" s="205"/>
      <c r="N111" s="206">
        <v>1661715</v>
      </c>
      <c r="O111" s="206">
        <v>1661715</v>
      </c>
    </row>
    <row r="112" spans="1:15" s="3" customFormat="1" x14ac:dyDescent="0.2">
      <c r="A112" s="204" t="s">
        <v>886</v>
      </c>
      <c r="B112" s="205" t="s">
        <v>99</v>
      </c>
      <c r="C112" s="204" t="s">
        <v>887</v>
      </c>
      <c r="D112" s="205" t="s">
        <v>20</v>
      </c>
      <c r="E112" s="205" t="s">
        <v>28</v>
      </c>
      <c r="F112" s="205" t="s">
        <v>101</v>
      </c>
      <c r="G112" s="205"/>
      <c r="H112" s="206">
        <v>755826</v>
      </c>
      <c r="I112" s="205"/>
      <c r="J112" s="205"/>
      <c r="K112" s="205"/>
      <c r="L112" s="205"/>
      <c r="M112" s="205"/>
      <c r="N112" s="206">
        <v>755826</v>
      </c>
      <c r="O112" s="206">
        <v>755826</v>
      </c>
    </row>
    <row r="113" spans="1:15" s="3" customFormat="1" x14ac:dyDescent="0.2">
      <c r="A113" s="204" t="s">
        <v>888</v>
      </c>
      <c r="B113" s="205" t="s">
        <v>185</v>
      </c>
      <c r="C113" s="204" t="s">
        <v>889</v>
      </c>
      <c r="D113" s="205" t="s">
        <v>102</v>
      </c>
      <c r="E113" s="205" t="s">
        <v>28</v>
      </c>
      <c r="F113" s="205" t="s">
        <v>186</v>
      </c>
      <c r="G113" s="205"/>
      <c r="H113" s="206">
        <v>398600</v>
      </c>
      <c r="I113" s="205"/>
      <c r="J113" s="205"/>
      <c r="K113" s="205"/>
      <c r="L113" s="205"/>
      <c r="M113" s="205"/>
      <c r="N113" s="206">
        <v>398600</v>
      </c>
      <c r="O113" s="206">
        <v>398600</v>
      </c>
    </row>
    <row r="114" spans="1:15" s="3" customFormat="1" x14ac:dyDescent="0.2">
      <c r="A114" s="204" t="s">
        <v>890</v>
      </c>
      <c r="B114" s="205" t="s">
        <v>185</v>
      </c>
      <c r="C114" s="204" t="s">
        <v>891</v>
      </c>
      <c r="D114" s="205" t="s">
        <v>52</v>
      </c>
      <c r="E114" s="205" t="s">
        <v>28</v>
      </c>
      <c r="F114" s="205" t="s">
        <v>186</v>
      </c>
      <c r="G114" s="205"/>
      <c r="H114" s="206">
        <v>242685</v>
      </c>
      <c r="I114" s="205"/>
      <c r="J114" s="205"/>
      <c r="K114" s="205"/>
      <c r="L114" s="205"/>
      <c r="M114" s="205"/>
      <c r="N114" s="206">
        <v>242685</v>
      </c>
      <c r="O114" s="206">
        <v>242685</v>
      </c>
    </row>
    <row r="115" spans="1:15" s="3" customFormat="1" x14ac:dyDescent="0.2">
      <c r="A115" s="204" t="s">
        <v>892</v>
      </c>
      <c r="B115" s="205" t="s">
        <v>185</v>
      </c>
      <c r="C115" s="204" t="s">
        <v>893</v>
      </c>
      <c r="D115" s="205" t="s">
        <v>52</v>
      </c>
      <c r="E115" s="205" t="s">
        <v>28</v>
      </c>
      <c r="F115" s="205" t="s">
        <v>186</v>
      </c>
      <c r="G115" s="205"/>
      <c r="H115" s="206">
        <v>35175</v>
      </c>
      <c r="I115" s="205"/>
      <c r="J115" s="205"/>
      <c r="K115" s="205"/>
      <c r="L115" s="205"/>
      <c r="M115" s="205"/>
      <c r="N115" s="206">
        <v>35175</v>
      </c>
      <c r="O115" s="206">
        <v>35175</v>
      </c>
    </row>
    <row r="116" spans="1:15" s="3" customFormat="1" x14ac:dyDescent="0.2">
      <c r="A116" s="204" t="s">
        <v>894</v>
      </c>
      <c r="B116" s="205" t="s">
        <v>185</v>
      </c>
      <c r="C116" s="204" t="s">
        <v>895</v>
      </c>
      <c r="D116" s="205" t="s">
        <v>76</v>
      </c>
      <c r="E116" s="205" t="s">
        <v>28</v>
      </c>
      <c r="F116" s="205" t="s">
        <v>186</v>
      </c>
      <c r="G116" s="205"/>
      <c r="H116" s="206">
        <v>198092</v>
      </c>
      <c r="I116" s="205"/>
      <c r="J116" s="205"/>
      <c r="K116" s="205"/>
      <c r="L116" s="205"/>
      <c r="M116" s="205"/>
      <c r="N116" s="206">
        <v>198092</v>
      </c>
      <c r="O116" s="206">
        <v>198092</v>
      </c>
    </row>
    <row r="117" spans="1:15" s="3" customFormat="1" x14ac:dyDescent="0.2">
      <c r="A117" s="204" t="s">
        <v>896</v>
      </c>
      <c r="B117" s="205" t="s">
        <v>185</v>
      </c>
      <c r="C117" s="204" t="s">
        <v>897</v>
      </c>
      <c r="D117" s="205" t="s">
        <v>35</v>
      </c>
      <c r="E117" s="205" t="s">
        <v>28</v>
      </c>
      <c r="F117" s="205" t="s">
        <v>186</v>
      </c>
      <c r="G117" s="205"/>
      <c r="H117" s="206">
        <v>363968</v>
      </c>
      <c r="I117" s="205"/>
      <c r="J117" s="205"/>
      <c r="K117" s="205"/>
      <c r="L117" s="205"/>
      <c r="M117" s="205"/>
      <c r="N117" s="206">
        <v>363968</v>
      </c>
      <c r="O117" s="206">
        <v>363968</v>
      </c>
    </row>
    <row r="118" spans="1:15" s="3" customFormat="1" x14ac:dyDescent="0.2">
      <c r="A118" s="204" t="s">
        <v>898</v>
      </c>
      <c r="B118" s="205" t="s">
        <v>185</v>
      </c>
      <c r="C118" s="204" t="s">
        <v>899</v>
      </c>
      <c r="D118" s="205" t="s">
        <v>35</v>
      </c>
      <c r="E118" s="205" t="s">
        <v>28</v>
      </c>
      <c r="F118" s="205" t="s">
        <v>186</v>
      </c>
      <c r="G118" s="205"/>
      <c r="H118" s="206">
        <v>67632.5</v>
      </c>
      <c r="I118" s="205"/>
      <c r="J118" s="205"/>
      <c r="K118" s="205"/>
      <c r="L118" s="205"/>
      <c r="M118" s="205"/>
      <c r="N118" s="206">
        <v>67632.5</v>
      </c>
      <c r="O118" s="206">
        <v>67632.5</v>
      </c>
    </row>
    <row r="119" spans="1:15" s="3" customFormat="1" x14ac:dyDescent="0.2">
      <c r="A119" s="204" t="s">
        <v>900</v>
      </c>
      <c r="B119" s="205" t="s">
        <v>185</v>
      </c>
      <c r="C119" s="204" t="s">
        <v>901</v>
      </c>
      <c r="D119" s="205" t="s">
        <v>52</v>
      </c>
      <c r="E119" s="205" t="s">
        <v>28</v>
      </c>
      <c r="F119" s="205" t="s">
        <v>186</v>
      </c>
      <c r="G119" s="205"/>
      <c r="H119" s="206">
        <v>72517.5</v>
      </c>
      <c r="I119" s="205"/>
      <c r="J119" s="205"/>
      <c r="K119" s="205"/>
      <c r="L119" s="205"/>
      <c r="M119" s="205"/>
      <c r="N119" s="206">
        <v>72517.5</v>
      </c>
      <c r="O119" s="206">
        <v>72517.5</v>
      </c>
    </row>
    <row r="120" spans="1:15" s="3" customFormat="1" x14ac:dyDescent="0.2">
      <c r="A120" s="204" t="s">
        <v>902</v>
      </c>
      <c r="B120" s="205" t="s">
        <v>185</v>
      </c>
      <c r="C120" s="204" t="s">
        <v>903</v>
      </c>
      <c r="D120" s="205" t="s">
        <v>52</v>
      </c>
      <c r="E120" s="205" t="s">
        <v>28</v>
      </c>
      <c r="F120" s="205" t="s">
        <v>186</v>
      </c>
      <c r="G120" s="205"/>
      <c r="H120" s="206">
        <v>69412.5</v>
      </c>
      <c r="I120" s="205"/>
      <c r="J120" s="205"/>
      <c r="K120" s="205"/>
      <c r="L120" s="205"/>
      <c r="M120" s="205"/>
      <c r="N120" s="206">
        <v>69412.5</v>
      </c>
      <c r="O120" s="206">
        <v>69412.5</v>
      </c>
    </row>
    <row r="121" spans="1:15" s="3" customFormat="1" x14ac:dyDescent="0.2">
      <c r="A121" s="204" t="s">
        <v>905</v>
      </c>
      <c r="B121" s="205" t="s">
        <v>328</v>
      </c>
      <c r="C121" s="204" t="s">
        <v>904</v>
      </c>
      <c r="D121" s="205" t="s">
        <v>52</v>
      </c>
      <c r="E121" s="205" t="s">
        <v>36</v>
      </c>
      <c r="F121" s="205" t="s">
        <v>906</v>
      </c>
      <c r="G121" s="205"/>
      <c r="H121" s="205"/>
      <c r="I121" s="205"/>
      <c r="J121" s="205"/>
      <c r="K121" s="205"/>
      <c r="L121" s="207">
        <v>-0.76</v>
      </c>
      <c r="M121" s="205"/>
      <c r="N121" s="207">
        <v>-0.76</v>
      </c>
      <c r="O121" s="207">
        <v>-0.76</v>
      </c>
    </row>
    <row r="122" spans="1:15" s="3" customFormat="1" x14ac:dyDescent="0.2">
      <c r="A122" s="204" t="s">
        <v>909</v>
      </c>
      <c r="B122" s="205" t="s">
        <v>285</v>
      </c>
      <c r="C122" s="204" t="s">
        <v>910</v>
      </c>
      <c r="D122" s="205" t="s">
        <v>35</v>
      </c>
      <c r="E122" s="205" t="s">
        <v>28</v>
      </c>
      <c r="F122" s="205" t="s">
        <v>288</v>
      </c>
      <c r="G122" s="206">
        <v>1834560</v>
      </c>
      <c r="H122" s="205"/>
      <c r="I122" s="205"/>
      <c r="J122" s="205"/>
      <c r="K122" s="205"/>
      <c r="L122" s="205"/>
      <c r="M122" s="205"/>
      <c r="N122" s="206">
        <v>1834560</v>
      </c>
      <c r="O122" s="206">
        <v>1834560</v>
      </c>
    </row>
    <row r="123" spans="1:15" s="3" customFormat="1" x14ac:dyDescent="0.2">
      <c r="A123" s="204" t="s">
        <v>911</v>
      </c>
      <c r="B123" s="205" t="s">
        <v>240</v>
      </c>
      <c r="C123" s="204" t="s">
        <v>912</v>
      </c>
      <c r="D123" s="205" t="s">
        <v>20</v>
      </c>
      <c r="E123" s="205" t="s">
        <v>28</v>
      </c>
      <c r="F123" s="205" t="s">
        <v>243</v>
      </c>
      <c r="G123" s="206">
        <v>1706175</v>
      </c>
      <c r="H123" s="205"/>
      <c r="I123" s="205"/>
      <c r="J123" s="205"/>
      <c r="K123" s="205"/>
      <c r="L123" s="205"/>
      <c r="M123" s="205"/>
      <c r="N123" s="206">
        <v>1706175</v>
      </c>
      <c r="O123" s="206">
        <v>1706175</v>
      </c>
    </row>
    <row r="124" spans="1:15" s="3" customFormat="1" x14ac:dyDescent="0.2">
      <c r="A124" s="204" t="s">
        <v>913</v>
      </c>
      <c r="B124" s="205" t="s">
        <v>240</v>
      </c>
      <c r="C124" s="204" t="s">
        <v>914</v>
      </c>
      <c r="D124" s="205" t="s">
        <v>20</v>
      </c>
      <c r="E124" s="205" t="s">
        <v>28</v>
      </c>
      <c r="F124" s="205" t="s">
        <v>243</v>
      </c>
      <c r="G124" s="206">
        <v>1346850</v>
      </c>
      <c r="H124" s="205"/>
      <c r="I124" s="205"/>
      <c r="J124" s="205"/>
      <c r="K124" s="205"/>
      <c r="L124" s="205"/>
      <c r="M124" s="205"/>
      <c r="N124" s="206">
        <v>1346850</v>
      </c>
      <c r="O124" s="206">
        <v>1346850</v>
      </c>
    </row>
    <row r="125" spans="1:15" s="3" customFormat="1" x14ac:dyDescent="0.2">
      <c r="A125" s="204" t="s">
        <v>915</v>
      </c>
      <c r="B125" s="205" t="s">
        <v>240</v>
      </c>
      <c r="C125" s="204" t="s">
        <v>916</v>
      </c>
      <c r="D125" s="205" t="s">
        <v>102</v>
      </c>
      <c r="E125" s="205" t="s">
        <v>28</v>
      </c>
      <c r="F125" s="205" t="s">
        <v>243</v>
      </c>
      <c r="G125" s="206">
        <v>238235.86</v>
      </c>
      <c r="H125" s="205"/>
      <c r="I125" s="205"/>
      <c r="J125" s="205"/>
      <c r="K125" s="205"/>
      <c r="L125" s="205"/>
      <c r="M125" s="205"/>
      <c r="N125" s="206">
        <v>238235.86</v>
      </c>
      <c r="O125" s="206">
        <v>238235.86</v>
      </c>
    </row>
    <row r="126" spans="1:15" s="3" customFormat="1" x14ac:dyDescent="0.2">
      <c r="A126" s="204" t="s">
        <v>917</v>
      </c>
      <c r="B126" s="205" t="s">
        <v>240</v>
      </c>
      <c r="C126" s="204" t="s">
        <v>918</v>
      </c>
      <c r="D126" s="205" t="s">
        <v>107</v>
      </c>
      <c r="E126" s="205" t="s">
        <v>28</v>
      </c>
      <c r="F126" s="205" t="s">
        <v>243</v>
      </c>
      <c r="G126" s="206">
        <v>664587</v>
      </c>
      <c r="H126" s="205"/>
      <c r="I126" s="205"/>
      <c r="J126" s="205"/>
      <c r="K126" s="205"/>
      <c r="L126" s="205"/>
      <c r="M126" s="205"/>
      <c r="N126" s="206">
        <v>664587</v>
      </c>
      <c r="O126" s="206">
        <v>664587</v>
      </c>
    </row>
    <row r="127" spans="1:15" s="3" customFormat="1" x14ac:dyDescent="0.2">
      <c r="A127" s="204" t="s">
        <v>919</v>
      </c>
      <c r="B127" s="205" t="s">
        <v>310</v>
      </c>
      <c r="C127" s="204" t="s">
        <v>920</v>
      </c>
      <c r="D127" s="205" t="s">
        <v>52</v>
      </c>
      <c r="E127" s="205" t="s">
        <v>28</v>
      </c>
      <c r="F127" s="205" t="s">
        <v>312</v>
      </c>
      <c r="G127" s="206">
        <v>231000</v>
      </c>
      <c r="H127" s="205"/>
      <c r="I127" s="205"/>
      <c r="J127" s="205"/>
      <c r="K127" s="205"/>
      <c r="L127" s="205"/>
      <c r="M127" s="205"/>
      <c r="N127" s="206">
        <v>231000</v>
      </c>
      <c r="O127" s="206">
        <v>231000</v>
      </c>
    </row>
    <row r="128" spans="1:15" s="3" customFormat="1" x14ac:dyDescent="0.2">
      <c r="A128" s="204" t="s">
        <v>921</v>
      </c>
      <c r="B128" s="205" t="s">
        <v>310</v>
      </c>
      <c r="C128" s="204" t="s">
        <v>922</v>
      </c>
      <c r="D128" s="205" t="s">
        <v>52</v>
      </c>
      <c r="E128" s="205" t="s">
        <v>28</v>
      </c>
      <c r="F128" s="205" t="s">
        <v>312</v>
      </c>
      <c r="G128" s="206">
        <v>264000</v>
      </c>
      <c r="H128" s="205"/>
      <c r="I128" s="205"/>
      <c r="J128" s="205"/>
      <c r="K128" s="205"/>
      <c r="L128" s="205"/>
      <c r="M128" s="205"/>
      <c r="N128" s="206">
        <v>264000</v>
      </c>
      <c r="O128" s="206">
        <v>264000</v>
      </c>
    </row>
    <row r="129" spans="1:15" s="3" customFormat="1" x14ac:dyDescent="0.2">
      <c r="A129" s="204" t="s">
        <v>923</v>
      </c>
      <c r="B129" s="205" t="s">
        <v>285</v>
      </c>
      <c r="C129" s="204" t="s">
        <v>924</v>
      </c>
      <c r="D129" s="205" t="s">
        <v>20</v>
      </c>
      <c r="E129" s="205" t="s">
        <v>28</v>
      </c>
      <c r="F129" s="205" t="s">
        <v>288</v>
      </c>
      <c r="G129" s="206">
        <v>9553185</v>
      </c>
      <c r="H129" s="205"/>
      <c r="I129" s="205"/>
      <c r="J129" s="205"/>
      <c r="K129" s="205"/>
      <c r="L129" s="205"/>
      <c r="M129" s="205"/>
      <c r="N129" s="206">
        <v>9553185</v>
      </c>
      <c r="O129" s="206">
        <v>9553185</v>
      </c>
    </row>
    <row r="130" spans="1:15" s="3" customFormat="1" x14ac:dyDescent="0.2">
      <c r="A130" s="204" t="s">
        <v>925</v>
      </c>
      <c r="B130" s="205" t="s">
        <v>285</v>
      </c>
      <c r="C130" s="204" t="s">
        <v>926</v>
      </c>
      <c r="D130" s="205" t="s">
        <v>20</v>
      </c>
      <c r="E130" s="205" t="s">
        <v>28</v>
      </c>
      <c r="F130" s="205" t="s">
        <v>288</v>
      </c>
      <c r="G130" s="206">
        <v>1820982.41</v>
      </c>
      <c r="H130" s="205"/>
      <c r="I130" s="205"/>
      <c r="J130" s="205"/>
      <c r="K130" s="205"/>
      <c r="L130" s="205"/>
      <c r="M130" s="205"/>
      <c r="N130" s="206">
        <v>1820982.41</v>
      </c>
      <c r="O130" s="206">
        <v>1820982.41</v>
      </c>
    </row>
    <row r="131" spans="1:15" s="3" customFormat="1" x14ac:dyDescent="0.2">
      <c r="A131" s="204" t="s">
        <v>927</v>
      </c>
      <c r="B131" s="205" t="s">
        <v>292</v>
      </c>
      <c r="C131" s="204" t="s">
        <v>928</v>
      </c>
      <c r="D131" s="205" t="s">
        <v>102</v>
      </c>
      <c r="E131" s="205" t="s">
        <v>28</v>
      </c>
      <c r="F131" s="205" t="s">
        <v>293</v>
      </c>
      <c r="G131" s="206">
        <v>604620</v>
      </c>
      <c r="H131" s="205"/>
      <c r="I131" s="205"/>
      <c r="J131" s="205"/>
      <c r="K131" s="205"/>
      <c r="L131" s="205"/>
      <c r="M131" s="205"/>
      <c r="N131" s="206">
        <v>604620</v>
      </c>
      <c r="O131" s="206">
        <v>604620</v>
      </c>
    </row>
    <row r="132" spans="1:15" s="3" customFormat="1" x14ac:dyDescent="0.2">
      <c r="A132" s="204" t="s">
        <v>929</v>
      </c>
      <c r="B132" s="205" t="s">
        <v>292</v>
      </c>
      <c r="C132" s="204" t="s">
        <v>930</v>
      </c>
      <c r="D132" s="205" t="s">
        <v>107</v>
      </c>
      <c r="E132" s="205" t="s">
        <v>28</v>
      </c>
      <c r="F132" s="205" t="s">
        <v>293</v>
      </c>
      <c r="G132" s="206">
        <v>93915</v>
      </c>
      <c r="H132" s="205"/>
      <c r="I132" s="205"/>
      <c r="J132" s="205"/>
      <c r="K132" s="205"/>
      <c r="L132" s="205"/>
      <c r="M132" s="205"/>
      <c r="N132" s="206">
        <v>93915</v>
      </c>
      <c r="O132" s="206">
        <v>93915</v>
      </c>
    </row>
    <row r="133" spans="1:15" s="3" customFormat="1" x14ac:dyDescent="0.2">
      <c r="A133" s="204" t="s">
        <v>931</v>
      </c>
      <c r="B133" s="205" t="s">
        <v>292</v>
      </c>
      <c r="C133" s="204" t="s">
        <v>932</v>
      </c>
      <c r="D133" s="205" t="s">
        <v>35</v>
      </c>
      <c r="E133" s="205" t="s">
        <v>28</v>
      </c>
      <c r="F133" s="205" t="s">
        <v>293</v>
      </c>
      <c r="G133" s="206">
        <v>95304.5</v>
      </c>
      <c r="H133" s="205"/>
      <c r="I133" s="205"/>
      <c r="J133" s="205"/>
      <c r="K133" s="205"/>
      <c r="L133" s="205"/>
      <c r="M133" s="205"/>
      <c r="N133" s="206">
        <v>95304.5</v>
      </c>
      <c r="O133" s="206">
        <v>95304.5</v>
      </c>
    </row>
    <row r="134" spans="1:15" s="3" customFormat="1" x14ac:dyDescent="0.2">
      <c r="A134" s="204" t="s">
        <v>933</v>
      </c>
      <c r="B134" s="205" t="s">
        <v>134</v>
      </c>
      <c r="C134" s="204" t="s">
        <v>934</v>
      </c>
      <c r="D134" s="205" t="s">
        <v>52</v>
      </c>
      <c r="E134" s="205" t="s">
        <v>36</v>
      </c>
      <c r="F134" s="205" t="s">
        <v>592</v>
      </c>
      <c r="G134" s="205"/>
      <c r="H134" s="205"/>
      <c r="I134" s="205"/>
      <c r="J134" s="205"/>
      <c r="K134" s="205"/>
      <c r="L134" s="207">
        <v>-10</v>
      </c>
      <c r="M134" s="205"/>
      <c r="N134" s="207">
        <v>-10</v>
      </c>
      <c r="O134" s="207">
        <v>-10</v>
      </c>
    </row>
    <row r="135" spans="1:15" s="3" customFormat="1" x14ac:dyDescent="0.2">
      <c r="A135" s="204" t="s">
        <v>935</v>
      </c>
      <c r="B135" s="205" t="s">
        <v>292</v>
      </c>
      <c r="C135" s="204" t="s">
        <v>936</v>
      </c>
      <c r="D135" s="205" t="s">
        <v>52</v>
      </c>
      <c r="E135" s="205" t="s">
        <v>28</v>
      </c>
      <c r="F135" s="205" t="s">
        <v>293</v>
      </c>
      <c r="G135" s="206">
        <v>1880.55</v>
      </c>
      <c r="H135" s="205"/>
      <c r="I135" s="205"/>
      <c r="J135" s="205"/>
      <c r="K135" s="205"/>
      <c r="L135" s="205"/>
      <c r="M135" s="205"/>
      <c r="N135" s="206">
        <v>1880.55</v>
      </c>
      <c r="O135" s="206">
        <v>1880.55</v>
      </c>
    </row>
    <row r="136" spans="1:15" s="3" customFormat="1" x14ac:dyDescent="0.2">
      <c r="A136" s="204" t="s">
        <v>937</v>
      </c>
      <c r="B136" s="205" t="s">
        <v>315</v>
      </c>
      <c r="C136" s="204" t="s">
        <v>938</v>
      </c>
      <c r="D136" s="205" t="s">
        <v>20</v>
      </c>
      <c r="E136" s="205" t="s">
        <v>28</v>
      </c>
      <c r="F136" s="205" t="s">
        <v>939</v>
      </c>
      <c r="G136" s="206">
        <v>382050</v>
      </c>
      <c r="H136" s="205"/>
      <c r="I136" s="205"/>
      <c r="J136" s="205"/>
      <c r="K136" s="205"/>
      <c r="L136" s="205"/>
      <c r="M136" s="205"/>
      <c r="N136" s="206">
        <v>382050</v>
      </c>
      <c r="O136" s="206">
        <v>382050</v>
      </c>
    </row>
    <row r="137" spans="1:15" s="3" customFormat="1" x14ac:dyDescent="0.2">
      <c r="A137" s="204" t="s">
        <v>940</v>
      </c>
      <c r="B137" s="205" t="s">
        <v>315</v>
      </c>
      <c r="C137" s="204" t="s">
        <v>941</v>
      </c>
      <c r="D137" s="205" t="s">
        <v>20</v>
      </c>
      <c r="E137" s="205" t="s">
        <v>28</v>
      </c>
      <c r="F137" s="205" t="s">
        <v>939</v>
      </c>
      <c r="G137" s="206">
        <v>358650</v>
      </c>
      <c r="H137" s="205"/>
      <c r="I137" s="205"/>
      <c r="J137" s="205"/>
      <c r="K137" s="205"/>
      <c r="L137" s="205"/>
      <c r="M137" s="205"/>
      <c r="N137" s="206">
        <v>358650</v>
      </c>
      <c r="O137" s="206">
        <v>358650</v>
      </c>
    </row>
    <row r="138" spans="1:15" s="3" customFormat="1" x14ac:dyDescent="0.2">
      <c r="A138" s="204" t="s">
        <v>942</v>
      </c>
      <c r="B138" s="205" t="s">
        <v>292</v>
      </c>
      <c r="C138" s="204" t="s">
        <v>943</v>
      </c>
      <c r="D138" s="205" t="s">
        <v>20</v>
      </c>
      <c r="E138" s="205" t="s">
        <v>28</v>
      </c>
      <c r="F138" s="205" t="s">
        <v>293</v>
      </c>
      <c r="G138" s="206">
        <v>13182.52</v>
      </c>
      <c r="H138" s="205"/>
      <c r="I138" s="205"/>
      <c r="J138" s="205"/>
      <c r="K138" s="205"/>
      <c r="L138" s="205"/>
      <c r="M138" s="205"/>
      <c r="N138" s="206">
        <v>13182.52</v>
      </c>
      <c r="O138" s="206">
        <v>13182.52</v>
      </c>
    </row>
    <row r="139" spans="1:15" s="3" customFormat="1" x14ac:dyDescent="0.2">
      <c r="A139" s="204" t="s">
        <v>944</v>
      </c>
      <c r="B139" s="205" t="s">
        <v>99</v>
      </c>
      <c r="C139" s="204" t="s">
        <v>945</v>
      </c>
      <c r="D139" s="205" t="s">
        <v>102</v>
      </c>
      <c r="E139" s="205" t="s">
        <v>28</v>
      </c>
      <c r="F139" s="205" t="s">
        <v>101</v>
      </c>
      <c r="G139" s="206">
        <v>435600</v>
      </c>
      <c r="H139" s="205"/>
      <c r="I139" s="205"/>
      <c r="J139" s="205"/>
      <c r="K139" s="205"/>
      <c r="L139" s="205"/>
      <c r="M139" s="205"/>
      <c r="N139" s="206">
        <v>435600</v>
      </c>
      <c r="O139" s="206">
        <v>435600</v>
      </c>
    </row>
    <row r="140" spans="1:15" s="3" customFormat="1" x14ac:dyDescent="0.2">
      <c r="A140" s="204" t="s">
        <v>946</v>
      </c>
      <c r="B140" s="205" t="s">
        <v>240</v>
      </c>
      <c r="C140" s="204" t="s">
        <v>947</v>
      </c>
      <c r="D140" s="205" t="s">
        <v>107</v>
      </c>
      <c r="E140" s="205" t="s">
        <v>36</v>
      </c>
      <c r="F140" s="205" t="s">
        <v>243</v>
      </c>
      <c r="G140" s="205"/>
      <c r="H140" s="205"/>
      <c r="I140" s="205"/>
      <c r="J140" s="205"/>
      <c r="K140" s="205"/>
      <c r="L140" s="206">
        <v>-1006499.9</v>
      </c>
      <c r="M140" s="205"/>
      <c r="N140" s="206">
        <v>-1006499.9</v>
      </c>
      <c r="O140" s="206">
        <v>-1006499.9</v>
      </c>
    </row>
    <row r="141" spans="1:15" s="3" customFormat="1" x14ac:dyDescent="0.2">
      <c r="A141" s="204" t="s">
        <v>948</v>
      </c>
      <c r="B141" s="205" t="s">
        <v>240</v>
      </c>
      <c r="C141" s="204" t="s">
        <v>949</v>
      </c>
      <c r="D141" s="205" t="s">
        <v>20</v>
      </c>
      <c r="E141" s="205" t="s">
        <v>28</v>
      </c>
      <c r="F141" s="205" t="s">
        <v>243</v>
      </c>
      <c r="G141" s="206">
        <v>1581030</v>
      </c>
      <c r="H141" s="205"/>
      <c r="I141" s="205"/>
      <c r="J141" s="205"/>
      <c r="K141" s="205"/>
      <c r="L141" s="205"/>
      <c r="M141" s="205"/>
      <c r="N141" s="206">
        <v>1581030</v>
      </c>
      <c r="O141" s="206">
        <v>1581030</v>
      </c>
    </row>
    <row r="142" spans="1:15" s="3" customFormat="1" x14ac:dyDescent="0.2">
      <c r="A142" s="204" t="s">
        <v>950</v>
      </c>
      <c r="B142" s="205" t="s">
        <v>240</v>
      </c>
      <c r="C142" s="204" t="s">
        <v>951</v>
      </c>
      <c r="D142" s="205" t="s">
        <v>52</v>
      </c>
      <c r="E142" s="205" t="s">
        <v>28</v>
      </c>
      <c r="F142" s="205" t="s">
        <v>243</v>
      </c>
      <c r="G142" s="206">
        <v>1296585</v>
      </c>
      <c r="H142" s="205"/>
      <c r="I142" s="205"/>
      <c r="J142" s="205"/>
      <c r="K142" s="205"/>
      <c r="L142" s="205"/>
      <c r="M142" s="205"/>
      <c r="N142" s="206">
        <v>1296585</v>
      </c>
      <c r="O142" s="206">
        <v>1296585</v>
      </c>
    </row>
    <row r="143" spans="1:15" s="3" customFormat="1" x14ac:dyDescent="0.2">
      <c r="A143" s="204" t="s">
        <v>952</v>
      </c>
      <c r="B143" s="205" t="s">
        <v>240</v>
      </c>
      <c r="C143" s="204" t="s">
        <v>953</v>
      </c>
      <c r="D143" s="205" t="s">
        <v>20</v>
      </c>
      <c r="E143" s="205" t="s">
        <v>28</v>
      </c>
      <c r="F143" s="205" t="s">
        <v>243</v>
      </c>
      <c r="G143" s="206">
        <v>311895</v>
      </c>
      <c r="H143" s="205"/>
      <c r="I143" s="205"/>
      <c r="J143" s="205"/>
      <c r="K143" s="205"/>
      <c r="L143" s="205"/>
      <c r="M143" s="205"/>
      <c r="N143" s="206">
        <v>311895</v>
      </c>
      <c r="O143" s="206">
        <v>311895</v>
      </c>
    </row>
    <row r="144" spans="1:15" s="3" customFormat="1" x14ac:dyDescent="0.2">
      <c r="A144" s="204" t="s">
        <v>954</v>
      </c>
      <c r="B144" s="205" t="s">
        <v>240</v>
      </c>
      <c r="C144" s="204" t="s">
        <v>955</v>
      </c>
      <c r="D144" s="205" t="s">
        <v>76</v>
      </c>
      <c r="E144" s="205" t="s">
        <v>28</v>
      </c>
      <c r="F144" s="205" t="s">
        <v>243</v>
      </c>
      <c r="G144" s="206">
        <v>654934.5</v>
      </c>
      <c r="H144" s="205"/>
      <c r="I144" s="205"/>
      <c r="J144" s="205"/>
      <c r="K144" s="205"/>
      <c r="L144" s="205"/>
      <c r="M144" s="205"/>
      <c r="N144" s="206">
        <v>654934.5</v>
      </c>
      <c r="O144" s="206">
        <v>654934.5</v>
      </c>
    </row>
    <row r="145" spans="1:15" s="3" customFormat="1" x14ac:dyDescent="0.2">
      <c r="A145" s="204" t="s">
        <v>956</v>
      </c>
      <c r="B145" s="205" t="s">
        <v>48</v>
      </c>
      <c r="C145" s="204" t="s">
        <v>957</v>
      </c>
      <c r="D145" s="205" t="s">
        <v>20</v>
      </c>
      <c r="E145" s="205" t="s">
        <v>28</v>
      </c>
      <c r="F145" s="205" t="s">
        <v>49</v>
      </c>
      <c r="G145" s="206">
        <v>723466.67</v>
      </c>
      <c r="H145" s="205"/>
      <c r="I145" s="205"/>
      <c r="J145" s="205"/>
      <c r="K145" s="205"/>
      <c r="L145" s="205"/>
      <c r="M145" s="205"/>
      <c r="N145" s="206">
        <v>723466.67</v>
      </c>
      <c r="O145" s="206">
        <v>723466.67</v>
      </c>
    </row>
    <row r="146" spans="1:15" s="3" customFormat="1" x14ac:dyDescent="0.2">
      <c r="A146" s="204" t="s">
        <v>958</v>
      </c>
      <c r="B146" s="205" t="s">
        <v>48</v>
      </c>
      <c r="C146" s="204" t="s">
        <v>959</v>
      </c>
      <c r="D146" s="205" t="s">
        <v>20</v>
      </c>
      <c r="E146" s="205" t="s">
        <v>28</v>
      </c>
      <c r="F146" s="205" t="s">
        <v>49</v>
      </c>
      <c r="G146" s="206">
        <v>97500</v>
      </c>
      <c r="H146" s="205"/>
      <c r="I146" s="205"/>
      <c r="J146" s="205"/>
      <c r="K146" s="205"/>
      <c r="L146" s="205"/>
      <c r="M146" s="205"/>
      <c r="N146" s="206">
        <v>97500</v>
      </c>
      <c r="O146" s="206">
        <v>97500</v>
      </c>
    </row>
    <row r="147" spans="1:15" s="3" customFormat="1" x14ac:dyDescent="0.2">
      <c r="A147" s="204" t="s">
        <v>960</v>
      </c>
      <c r="B147" s="205" t="s">
        <v>145</v>
      </c>
      <c r="C147" s="204" t="s">
        <v>961</v>
      </c>
      <c r="D147" s="205" t="s">
        <v>88</v>
      </c>
      <c r="E147" s="205" t="s">
        <v>28</v>
      </c>
      <c r="F147" s="205" t="s">
        <v>147</v>
      </c>
      <c r="G147" s="206">
        <v>56263.199999999997</v>
      </c>
      <c r="H147" s="205"/>
      <c r="I147" s="205"/>
      <c r="J147" s="205"/>
      <c r="K147" s="205"/>
      <c r="L147" s="205"/>
      <c r="M147" s="205"/>
      <c r="N147" s="206">
        <v>56263.199999999997</v>
      </c>
      <c r="O147" s="206">
        <v>56263.199999999997</v>
      </c>
    </row>
    <row r="148" spans="1:15" s="3" customFormat="1" x14ac:dyDescent="0.2">
      <c r="A148" s="204" t="s">
        <v>962</v>
      </c>
      <c r="B148" s="205" t="s">
        <v>324</v>
      </c>
      <c r="C148" s="204" t="s">
        <v>963</v>
      </c>
      <c r="D148" s="205" t="s">
        <v>20</v>
      </c>
      <c r="E148" s="205" t="s">
        <v>28</v>
      </c>
      <c r="F148" s="205" t="s">
        <v>492</v>
      </c>
      <c r="G148" s="206">
        <v>296263.08</v>
      </c>
      <c r="H148" s="205"/>
      <c r="I148" s="205"/>
      <c r="J148" s="205"/>
      <c r="K148" s="205"/>
      <c r="L148" s="205"/>
      <c r="M148" s="205"/>
      <c r="N148" s="206">
        <v>296263.08</v>
      </c>
      <c r="O148" s="206">
        <v>296263.08</v>
      </c>
    </row>
    <row r="149" spans="1:15" s="3" customFormat="1" x14ac:dyDescent="0.2">
      <c r="A149" s="204" t="s">
        <v>964</v>
      </c>
      <c r="B149" s="205" t="s">
        <v>324</v>
      </c>
      <c r="C149" s="204" t="s">
        <v>965</v>
      </c>
      <c r="D149" s="205" t="s">
        <v>102</v>
      </c>
      <c r="E149" s="205" t="s">
        <v>28</v>
      </c>
      <c r="F149" s="205" t="s">
        <v>492</v>
      </c>
      <c r="G149" s="206">
        <v>173841.92000000001</v>
      </c>
      <c r="H149" s="205"/>
      <c r="I149" s="205"/>
      <c r="J149" s="205"/>
      <c r="K149" s="205"/>
      <c r="L149" s="205"/>
      <c r="M149" s="205"/>
      <c r="N149" s="206">
        <v>173841.92000000001</v>
      </c>
      <c r="O149" s="206">
        <v>173841.92000000001</v>
      </c>
    </row>
    <row r="150" spans="1:15" s="3" customFormat="1" x14ac:dyDescent="0.2">
      <c r="A150" s="204" t="s">
        <v>966</v>
      </c>
      <c r="B150" s="205" t="s">
        <v>99</v>
      </c>
      <c r="C150" s="204" t="s">
        <v>967</v>
      </c>
      <c r="D150" s="205" t="s">
        <v>20</v>
      </c>
      <c r="E150" s="205" t="s">
        <v>28</v>
      </c>
      <c r="F150" s="205" t="s">
        <v>101</v>
      </c>
      <c r="G150" s="206">
        <v>54712.4</v>
      </c>
      <c r="H150" s="205"/>
      <c r="I150" s="205"/>
      <c r="J150" s="205"/>
      <c r="K150" s="205"/>
      <c r="L150" s="205"/>
      <c r="M150" s="205"/>
      <c r="N150" s="206">
        <v>54712.4</v>
      </c>
      <c r="O150" s="206">
        <v>54712.4</v>
      </c>
    </row>
    <row r="151" spans="1:15" s="3" customFormat="1" x14ac:dyDescent="0.2">
      <c r="A151" s="204" t="s">
        <v>968</v>
      </c>
      <c r="B151" s="205" t="s">
        <v>99</v>
      </c>
      <c r="C151" s="204" t="s">
        <v>969</v>
      </c>
      <c r="D151" s="205" t="s">
        <v>20</v>
      </c>
      <c r="E151" s="205" t="s">
        <v>28</v>
      </c>
      <c r="F151" s="205" t="s">
        <v>101</v>
      </c>
      <c r="G151" s="206">
        <v>984216</v>
      </c>
      <c r="H151" s="205"/>
      <c r="I151" s="205"/>
      <c r="J151" s="205"/>
      <c r="K151" s="205"/>
      <c r="L151" s="205"/>
      <c r="M151" s="205"/>
      <c r="N151" s="206">
        <v>984216</v>
      </c>
      <c r="O151" s="206">
        <v>984216</v>
      </c>
    </row>
    <row r="152" spans="1:15" s="3" customFormat="1" x14ac:dyDescent="0.2">
      <c r="A152" s="204" t="s">
        <v>970</v>
      </c>
      <c r="B152" s="205" t="s">
        <v>99</v>
      </c>
      <c r="C152" s="204" t="s">
        <v>971</v>
      </c>
      <c r="D152" s="205" t="s">
        <v>20</v>
      </c>
      <c r="E152" s="205" t="s">
        <v>28</v>
      </c>
      <c r="F152" s="205" t="s">
        <v>101</v>
      </c>
      <c r="G152" s="206">
        <v>2159194</v>
      </c>
      <c r="H152" s="205"/>
      <c r="I152" s="205"/>
      <c r="J152" s="205"/>
      <c r="K152" s="205"/>
      <c r="L152" s="205"/>
      <c r="M152" s="205"/>
      <c r="N152" s="206">
        <v>2159194</v>
      </c>
      <c r="O152" s="206">
        <v>2159194</v>
      </c>
    </row>
    <row r="153" spans="1:15" s="3" customFormat="1" x14ac:dyDescent="0.2">
      <c r="A153" s="204" t="s">
        <v>972</v>
      </c>
      <c r="B153" s="205" t="s">
        <v>99</v>
      </c>
      <c r="C153" s="204" t="s">
        <v>973</v>
      </c>
      <c r="D153" s="205" t="s">
        <v>20</v>
      </c>
      <c r="E153" s="205" t="s">
        <v>28</v>
      </c>
      <c r="F153" s="205" t="s">
        <v>101</v>
      </c>
      <c r="G153" s="206">
        <v>164514.4</v>
      </c>
      <c r="H153" s="205"/>
      <c r="I153" s="205"/>
      <c r="J153" s="205"/>
      <c r="K153" s="205"/>
      <c r="L153" s="205"/>
      <c r="M153" s="205"/>
      <c r="N153" s="206">
        <v>164514.4</v>
      </c>
      <c r="O153" s="206">
        <v>164514.4</v>
      </c>
    </row>
    <row r="154" spans="1:15" s="3" customFormat="1" x14ac:dyDescent="0.2">
      <c r="A154" s="204" t="s">
        <v>974</v>
      </c>
      <c r="B154" s="205" t="s">
        <v>99</v>
      </c>
      <c r="C154" s="204" t="s">
        <v>975</v>
      </c>
      <c r="D154" s="205" t="s">
        <v>20</v>
      </c>
      <c r="E154" s="205" t="s">
        <v>28</v>
      </c>
      <c r="F154" s="205" t="s">
        <v>101</v>
      </c>
      <c r="G154" s="206">
        <v>814706</v>
      </c>
      <c r="H154" s="205"/>
      <c r="I154" s="205"/>
      <c r="J154" s="205"/>
      <c r="K154" s="205"/>
      <c r="L154" s="205"/>
      <c r="M154" s="205"/>
      <c r="N154" s="206">
        <v>814706</v>
      </c>
      <c r="O154" s="206">
        <v>814706</v>
      </c>
    </row>
    <row r="155" spans="1:15" s="3" customFormat="1" x14ac:dyDescent="0.2">
      <c r="A155" s="204" t="s">
        <v>976</v>
      </c>
      <c r="B155" s="205" t="s">
        <v>185</v>
      </c>
      <c r="C155" s="204" t="s">
        <v>977</v>
      </c>
      <c r="D155" s="205" t="s">
        <v>35</v>
      </c>
      <c r="E155" s="205" t="s">
        <v>28</v>
      </c>
      <c r="F155" s="205" t="s">
        <v>186</v>
      </c>
      <c r="G155" s="206">
        <v>113844</v>
      </c>
      <c r="H155" s="205"/>
      <c r="I155" s="205"/>
      <c r="J155" s="205"/>
      <c r="K155" s="205"/>
      <c r="L155" s="205"/>
      <c r="M155" s="205"/>
      <c r="N155" s="206">
        <v>113844</v>
      </c>
      <c r="O155" s="206">
        <v>113844</v>
      </c>
    </row>
    <row r="156" spans="1:15" s="3" customFormat="1" x14ac:dyDescent="0.2">
      <c r="A156" s="204" t="s">
        <v>978</v>
      </c>
      <c r="B156" s="205" t="s">
        <v>185</v>
      </c>
      <c r="C156" s="204" t="s">
        <v>979</v>
      </c>
      <c r="D156" s="205" t="s">
        <v>35</v>
      </c>
      <c r="E156" s="205" t="s">
        <v>28</v>
      </c>
      <c r="F156" s="205" t="s">
        <v>186</v>
      </c>
      <c r="G156" s="206">
        <v>140120</v>
      </c>
      <c r="H156" s="205"/>
      <c r="I156" s="205"/>
      <c r="J156" s="205"/>
      <c r="K156" s="205"/>
      <c r="L156" s="205"/>
      <c r="M156" s="205"/>
      <c r="N156" s="206">
        <v>140120</v>
      </c>
      <c r="O156" s="206">
        <v>140120</v>
      </c>
    </row>
    <row r="157" spans="1:15" s="3" customFormat="1" x14ac:dyDescent="0.2">
      <c r="A157" s="204" t="s">
        <v>980</v>
      </c>
      <c r="B157" s="205" t="s">
        <v>185</v>
      </c>
      <c r="C157" s="204" t="s">
        <v>981</v>
      </c>
      <c r="D157" s="205" t="s">
        <v>107</v>
      </c>
      <c r="E157" s="205" t="s">
        <v>28</v>
      </c>
      <c r="F157" s="205" t="s">
        <v>186</v>
      </c>
      <c r="G157" s="206">
        <v>25440</v>
      </c>
      <c r="H157" s="205"/>
      <c r="I157" s="205"/>
      <c r="J157" s="205"/>
      <c r="K157" s="205"/>
      <c r="L157" s="205"/>
      <c r="M157" s="205"/>
      <c r="N157" s="206">
        <v>25440</v>
      </c>
      <c r="O157" s="206">
        <v>25440</v>
      </c>
    </row>
    <row r="158" spans="1:15" s="3" customFormat="1" x14ac:dyDescent="0.2">
      <c r="A158" s="204" t="s">
        <v>982</v>
      </c>
      <c r="B158" s="205" t="s">
        <v>185</v>
      </c>
      <c r="C158" s="204" t="s">
        <v>983</v>
      </c>
      <c r="D158" s="205" t="s">
        <v>76</v>
      </c>
      <c r="E158" s="205" t="s">
        <v>28</v>
      </c>
      <c r="F158" s="205" t="s">
        <v>186</v>
      </c>
      <c r="G158" s="206">
        <v>144360</v>
      </c>
      <c r="H158" s="205"/>
      <c r="I158" s="205"/>
      <c r="J158" s="205"/>
      <c r="K158" s="205"/>
      <c r="L158" s="205"/>
      <c r="M158" s="205"/>
      <c r="N158" s="206">
        <v>144360</v>
      </c>
      <c r="O158" s="206">
        <v>144360</v>
      </c>
    </row>
    <row r="159" spans="1:15" s="3" customFormat="1" x14ac:dyDescent="0.2">
      <c r="A159" s="204" t="s">
        <v>984</v>
      </c>
      <c r="B159" s="205" t="s">
        <v>185</v>
      </c>
      <c r="C159" s="204" t="s">
        <v>985</v>
      </c>
      <c r="D159" s="205" t="s">
        <v>102</v>
      </c>
      <c r="E159" s="205" t="s">
        <v>28</v>
      </c>
      <c r="F159" s="205" t="s">
        <v>186</v>
      </c>
      <c r="G159" s="206">
        <v>221160</v>
      </c>
      <c r="H159" s="205"/>
      <c r="I159" s="205"/>
      <c r="J159" s="205"/>
      <c r="K159" s="205"/>
      <c r="L159" s="205"/>
      <c r="M159" s="205"/>
      <c r="N159" s="206">
        <v>221160</v>
      </c>
      <c r="O159" s="206">
        <v>221160</v>
      </c>
    </row>
    <row r="160" spans="1:15" s="3" customFormat="1" x14ac:dyDescent="0.2">
      <c r="A160" s="204" t="s">
        <v>986</v>
      </c>
      <c r="B160" s="205" t="s">
        <v>185</v>
      </c>
      <c r="C160" s="204" t="s">
        <v>987</v>
      </c>
      <c r="D160" s="205" t="s">
        <v>102</v>
      </c>
      <c r="E160" s="205" t="s">
        <v>28</v>
      </c>
      <c r="F160" s="205" t="s">
        <v>186</v>
      </c>
      <c r="G160" s="206">
        <v>238280</v>
      </c>
      <c r="H160" s="205"/>
      <c r="I160" s="205"/>
      <c r="J160" s="205"/>
      <c r="K160" s="205"/>
      <c r="L160" s="205"/>
      <c r="M160" s="205"/>
      <c r="N160" s="206">
        <v>238280</v>
      </c>
      <c r="O160" s="206">
        <v>238280</v>
      </c>
    </row>
    <row r="161" spans="1:15" s="3" customFormat="1" x14ac:dyDescent="0.2">
      <c r="A161" s="204" t="s">
        <v>988</v>
      </c>
      <c r="B161" s="205" t="s">
        <v>185</v>
      </c>
      <c r="C161" s="204" t="s">
        <v>989</v>
      </c>
      <c r="D161" s="205" t="s">
        <v>52</v>
      </c>
      <c r="E161" s="205" t="s">
        <v>28</v>
      </c>
      <c r="F161" s="205" t="s">
        <v>186</v>
      </c>
      <c r="G161" s="206">
        <v>111870</v>
      </c>
      <c r="H161" s="205"/>
      <c r="I161" s="205"/>
      <c r="J161" s="205"/>
      <c r="K161" s="205"/>
      <c r="L161" s="205"/>
      <c r="M161" s="205"/>
      <c r="N161" s="206">
        <v>111870</v>
      </c>
      <c r="O161" s="206">
        <v>111870</v>
      </c>
    </row>
    <row r="162" spans="1:15" s="3" customFormat="1" x14ac:dyDescent="0.2">
      <c r="A162" s="204" t="s">
        <v>990</v>
      </c>
      <c r="B162" s="205" t="s">
        <v>185</v>
      </c>
      <c r="C162" s="204" t="s">
        <v>991</v>
      </c>
      <c r="D162" s="205" t="s">
        <v>52</v>
      </c>
      <c r="E162" s="205" t="s">
        <v>28</v>
      </c>
      <c r="F162" s="205" t="s">
        <v>186</v>
      </c>
      <c r="G162" s="206">
        <v>23800</v>
      </c>
      <c r="H162" s="205"/>
      <c r="I162" s="205"/>
      <c r="J162" s="205"/>
      <c r="K162" s="205"/>
      <c r="L162" s="205"/>
      <c r="M162" s="205"/>
      <c r="N162" s="206">
        <v>23800</v>
      </c>
      <c r="O162" s="206">
        <v>23800</v>
      </c>
    </row>
    <row r="163" spans="1:15" s="3" customFormat="1" x14ac:dyDescent="0.2">
      <c r="A163" s="204" t="s">
        <v>992</v>
      </c>
      <c r="B163" s="205" t="s">
        <v>185</v>
      </c>
      <c r="C163" s="204" t="s">
        <v>993</v>
      </c>
      <c r="D163" s="205" t="s">
        <v>52</v>
      </c>
      <c r="E163" s="205" t="s">
        <v>28</v>
      </c>
      <c r="F163" s="205" t="s">
        <v>186</v>
      </c>
      <c r="G163" s="206">
        <v>255870</v>
      </c>
      <c r="H163" s="205"/>
      <c r="I163" s="205"/>
      <c r="J163" s="205"/>
      <c r="K163" s="205"/>
      <c r="L163" s="205"/>
      <c r="M163" s="205"/>
      <c r="N163" s="206">
        <v>255870</v>
      </c>
      <c r="O163" s="206">
        <v>255870</v>
      </c>
    </row>
    <row r="164" spans="1:15" s="3" customFormat="1" x14ac:dyDescent="0.2">
      <c r="A164" s="204" t="s">
        <v>994</v>
      </c>
      <c r="B164" s="205" t="s">
        <v>69</v>
      </c>
      <c r="C164" s="204" t="s">
        <v>995</v>
      </c>
      <c r="D164" s="205" t="s">
        <v>20</v>
      </c>
      <c r="E164" s="205" t="s">
        <v>28</v>
      </c>
      <c r="F164" s="205" t="s">
        <v>74</v>
      </c>
      <c r="G164" s="206">
        <v>3292773.75</v>
      </c>
      <c r="H164" s="205"/>
      <c r="I164" s="205"/>
      <c r="J164" s="205"/>
      <c r="K164" s="205"/>
      <c r="L164" s="205"/>
      <c r="M164" s="205"/>
      <c r="N164" s="206">
        <v>3292773.75</v>
      </c>
      <c r="O164" s="206">
        <v>3292773.75</v>
      </c>
    </row>
    <row r="165" spans="1:15" s="3" customFormat="1" x14ac:dyDescent="0.2">
      <c r="A165" s="204" t="s">
        <v>996</v>
      </c>
      <c r="B165" s="205" t="s">
        <v>69</v>
      </c>
      <c r="C165" s="204" t="s">
        <v>997</v>
      </c>
      <c r="D165" s="205" t="s">
        <v>20</v>
      </c>
      <c r="E165" s="205" t="s">
        <v>28</v>
      </c>
      <c r="F165" s="205" t="s">
        <v>74</v>
      </c>
      <c r="G165" s="206">
        <v>1203598.25</v>
      </c>
      <c r="H165" s="205"/>
      <c r="I165" s="205"/>
      <c r="J165" s="205"/>
      <c r="K165" s="205"/>
      <c r="L165" s="205"/>
      <c r="M165" s="205"/>
      <c r="N165" s="206">
        <v>1203598.25</v>
      </c>
      <c r="O165" s="206">
        <v>1203598.25</v>
      </c>
    </row>
    <row r="166" spans="1:15" s="3" customFormat="1" x14ac:dyDescent="0.2">
      <c r="A166" s="204" t="s">
        <v>998</v>
      </c>
      <c r="B166" s="205" t="s">
        <v>285</v>
      </c>
      <c r="C166" s="204" t="s">
        <v>999</v>
      </c>
      <c r="D166" s="205" t="s">
        <v>20</v>
      </c>
      <c r="E166" s="205" t="s">
        <v>28</v>
      </c>
      <c r="F166" s="205" t="s">
        <v>288</v>
      </c>
      <c r="G166" s="206">
        <v>1101645</v>
      </c>
      <c r="H166" s="205"/>
      <c r="I166" s="205"/>
      <c r="J166" s="205"/>
      <c r="K166" s="205"/>
      <c r="L166" s="205"/>
      <c r="M166" s="205"/>
      <c r="N166" s="206">
        <v>1101645</v>
      </c>
      <c r="O166" s="206">
        <v>1101645</v>
      </c>
    </row>
    <row r="167" spans="1:15" s="3" customFormat="1" x14ac:dyDescent="0.2">
      <c r="A167" s="204" t="s">
        <v>1000</v>
      </c>
      <c r="B167" s="205" t="s">
        <v>285</v>
      </c>
      <c r="C167" s="204" t="s">
        <v>1001</v>
      </c>
      <c r="D167" s="205" t="s">
        <v>20</v>
      </c>
      <c r="E167" s="205" t="s">
        <v>28</v>
      </c>
      <c r="F167" s="205" t="s">
        <v>288</v>
      </c>
      <c r="G167" s="206">
        <v>5991840</v>
      </c>
      <c r="H167" s="205"/>
      <c r="I167" s="205"/>
      <c r="J167" s="205"/>
      <c r="K167" s="205"/>
      <c r="L167" s="205"/>
      <c r="M167" s="205"/>
      <c r="N167" s="206">
        <v>5991840</v>
      </c>
      <c r="O167" s="206">
        <v>5991840</v>
      </c>
    </row>
    <row r="168" spans="1:15" s="3" customFormat="1" x14ac:dyDescent="0.2">
      <c r="A168" s="204" t="s">
        <v>1002</v>
      </c>
      <c r="B168" s="205" t="s">
        <v>277</v>
      </c>
      <c r="C168" s="204" t="s">
        <v>1003</v>
      </c>
      <c r="D168" s="205" t="s">
        <v>52</v>
      </c>
      <c r="E168" s="205"/>
      <c r="F168" s="205" t="s">
        <v>278</v>
      </c>
      <c r="G168" s="206">
        <v>48324.1</v>
      </c>
      <c r="H168" s="205"/>
      <c r="I168" s="205"/>
      <c r="J168" s="205"/>
      <c r="K168" s="205"/>
      <c r="L168" s="205"/>
      <c r="M168" s="205"/>
      <c r="N168" s="206">
        <v>48324.1</v>
      </c>
      <c r="O168" s="206">
        <v>48324.1</v>
      </c>
    </row>
    <row r="169" spans="1:15" s="3" customFormat="1" x14ac:dyDescent="0.2">
      <c r="A169" s="204" t="s">
        <v>1004</v>
      </c>
      <c r="B169" s="205" t="s">
        <v>277</v>
      </c>
      <c r="C169" s="204" t="s">
        <v>1005</v>
      </c>
      <c r="D169" s="205" t="s">
        <v>107</v>
      </c>
      <c r="E169" s="205"/>
      <c r="F169" s="205" t="s">
        <v>278</v>
      </c>
      <c r="G169" s="206">
        <v>45370.91</v>
      </c>
      <c r="H169" s="205"/>
      <c r="I169" s="205"/>
      <c r="J169" s="205"/>
      <c r="K169" s="205"/>
      <c r="L169" s="205"/>
      <c r="M169" s="205"/>
      <c r="N169" s="206">
        <v>45370.91</v>
      </c>
      <c r="O169" s="206">
        <v>45370.91</v>
      </c>
    </row>
    <row r="170" spans="1:15" s="3" customFormat="1" x14ac:dyDescent="0.2">
      <c r="A170" s="204" t="s">
        <v>1006</v>
      </c>
      <c r="B170" s="205" t="s">
        <v>277</v>
      </c>
      <c r="C170" s="204" t="s">
        <v>1007</v>
      </c>
      <c r="D170" s="205" t="s">
        <v>35</v>
      </c>
      <c r="E170" s="205"/>
      <c r="F170" s="205" t="s">
        <v>278</v>
      </c>
      <c r="G170" s="206">
        <v>179981.39</v>
      </c>
      <c r="H170" s="205"/>
      <c r="I170" s="205"/>
      <c r="J170" s="205"/>
      <c r="K170" s="205"/>
      <c r="L170" s="205"/>
      <c r="M170" s="205"/>
      <c r="N170" s="206">
        <v>179981.39</v>
      </c>
      <c r="O170" s="206">
        <v>179981.39</v>
      </c>
    </row>
    <row r="171" spans="1:15" s="3" customFormat="1" x14ac:dyDescent="0.2">
      <c r="A171" s="204" t="s">
        <v>1008</v>
      </c>
      <c r="B171" s="205" t="s">
        <v>277</v>
      </c>
      <c r="C171" s="204" t="s">
        <v>1009</v>
      </c>
      <c r="D171" s="205" t="s">
        <v>88</v>
      </c>
      <c r="E171" s="205"/>
      <c r="F171" s="205" t="s">
        <v>278</v>
      </c>
      <c r="G171" s="206">
        <v>97004.25</v>
      </c>
      <c r="H171" s="205"/>
      <c r="I171" s="205"/>
      <c r="J171" s="205"/>
      <c r="K171" s="205"/>
      <c r="L171" s="205"/>
      <c r="M171" s="205"/>
      <c r="N171" s="206">
        <v>97004.25</v>
      </c>
      <c r="O171" s="206">
        <v>97004.25</v>
      </c>
    </row>
    <row r="172" spans="1:15" s="3" customFormat="1" x14ac:dyDescent="0.2">
      <c r="A172" s="204" t="s">
        <v>1010</v>
      </c>
      <c r="B172" s="205" t="s">
        <v>69</v>
      </c>
      <c r="C172" s="204" t="s">
        <v>1011</v>
      </c>
      <c r="D172" s="205" t="s">
        <v>85</v>
      </c>
      <c r="E172" s="205"/>
      <c r="F172" s="205" t="s">
        <v>75</v>
      </c>
      <c r="G172" s="206">
        <v>211656.49</v>
      </c>
      <c r="H172" s="205"/>
      <c r="I172" s="205"/>
      <c r="J172" s="205"/>
      <c r="K172" s="205"/>
      <c r="L172" s="205"/>
      <c r="M172" s="205"/>
      <c r="N172" s="206">
        <v>211656.49</v>
      </c>
      <c r="O172" s="206">
        <v>211656.49</v>
      </c>
    </row>
    <row r="173" spans="1:15" s="3" customFormat="1" x14ac:dyDescent="0.2">
      <c r="A173" s="204" t="s">
        <v>1012</v>
      </c>
      <c r="B173" s="205" t="s">
        <v>69</v>
      </c>
      <c r="C173" s="204" t="s">
        <v>1013</v>
      </c>
      <c r="D173" s="205" t="s">
        <v>85</v>
      </c>
      <c r="E173" s="205"/>
      <c r="F173" s="205" t="s">
        <v>75</v>
      </c>
      <c r="G173" s="206">
        <v>11113.12</v>
      </c>
      <c r="H173" s="205"/>
      <c r="I173" s="205"/>
      <c r="J173" s="205"/>
      <c r="K173" s="205"/>
      <c r="L173" s="205"/>
      <c r="M173" s="205"/>
      <c r="N173" s="206">
        <v>11113.12</v>
      </c>
      <c r="O173" s="206">
        <v>11113.12</v>
      </c>
    </row>
    <row r="174" spans="1:15" s="3" customFormat="1" x14ac:dyDescent="0.2">
      <c r="A174" s="204" t="s">
        <v>1014</v>
      </c>
      <c r="B174" s="205" t="s">
        <v>69</v>
      </c>
      <c r="C174" s="204" t="s">
        <v>1015</v>
      </c>
      <c r="D174" s="205" t="s">
        <v>85</v>
      </c>
      <c r="E174" s="205"/>
      <c r="F174" s="205" t="s">
        <v>75</v>
      </c>
      <c r="G174" s="206">
        <v>9330.83</v>
      </c>
      <c r="H174" s="205"/>
      <c r="I174" s="205"/>
      <c r="J174" s="205"/>
      <c r="K174" s="205"/>
      <c r="L174" s="205"/>
      <c r="M174" s="205"/>
      <c r="N174" s="206">
        <v>9330.83</v>
      </c>
      <c r="O174" s="206">
        <v>9330.83</v>
      </c>
    </row>
    <row r="175" spans="1:15" s="3" customFormat="1" x14ac:dyDescent="0.2">
      <c r="A175" s="204" t="s">
        <v>1043</v>
      </c>
      <c r="B175" s="205" t="s">
        <v>240</v>
      </c>
      <c r="C175" s="204" t="s">
        <v>1044</v>
      </c>
      <c r="D175" s="205" t="s">
        <v>52</v>
      </c>
      <c r="E175" s="205" t="s">
        <v>28</v>
      </c>
      <c r="F175" s="205" t="s">
        <v>243</v>
      </c>
      <c r="G175" s="206">
        <v>392985</v>
      </c>
      <c r="H175" s="205"/>
      <c r="I175" s="205"/>
      <c r="J175" s="205"/>
      <c r="K175" s="205"/>
      <c r="L175" s="205"/>
      <c r="M175" s="205"/>
      <c r="N175" s="206">
        <v>392985</v>
      </c>
      <c r="O175" s="206">
        <v>392985</v>
      </c>
    </row>
    <row r="176" spans="1:15" s="3" customFormat="1" x14ac:dyDescent="0.2">
      <c r="A176" s="204" t="s">
        <v>1045</v>
      </c>
      <c r="B176" s="205" t="s">
        <v>240</v>
      </c>
      <c r="C176" s="204" t="s">
        <v>1046</v>
      </c>
      <c r="D176" s="205" t="s">
        <v>20</v>
      </c>
      <c r="E176" s="205" t="s">
        <v>28</v>
      </c>
      <c r="F176" s="205" t="s">
        <v>243</v>
      </c>
      <c r="G176" s="206">
        <v>844515</v>
      </c>
      <c r="H176" s="205"/>
      <c r="I176" s="205"/>
      <c r="J176" s="205"/>
      <c r="K176" s="205"/>
      <c r="L176" s="205"/>
      <c r="M176" s="205"/>
      <c r="N176" s="206">
        <v>844515</v>
      </c>
      <c r="O176" s="206">
        <v>844515</v>
      </c>
    </row>
    <row r="177" spans="1:15" s="3" customFormat="1" x14ac:dyDescent="0.2">
      <c r="A177" s="204" t="s">
        <v>1047</v>
      </c>
      <c r="B177" s="205" t="s">
        <v>240</v>
      </c>
      <c r="C177" s="204" t="s">
        <v>1048</v>
      </c>
      <c r="D177" s="205" t="s">
        <v>52</v>
      </c>
      <c r="E177" s="205" t="s">
        <v>28</v>
      </c>
      <c r="F177" s="205" t="s">
        <v>243</v>
      </c>
      <c r="G177" s="206">
        <v>3060</v>
      </c>
      <c r="H177" s="205"/>
      <c r="I177" s="205"/>
      <c r="J177" s="205"/>
      <c r="K177" s="205"/>
      <c r="L177" s="205"/>
      <c r="M177" s="205"/>
      <c r="N177" s="206">
        <v>3060</v>
      </c>
      <c r="O177" s="206">
        <v>3060</v>
      </c>
    </row>
    <row r="178" spans="1:15" s="3" customFormat="1" x14ac:dyDescent="0.2">
      <c r="A178" s="204" t="s">
        <v>1049</v>
      </c>
      <c r="B178" s="205" t="s">
        <v>292</v>
      </c>
      <c r="C178" s="204" t="s">
        <v>1050</v>
      </c>
      <c r="D178" s="205" t="s">
        <v>20</v>
      </c>
      <c r="E178" s="205" t="s">
        <v>28</v>
      </c>
      <c r="F178" s="205" t="s">
        <v>293</v>
      </c>
      <c r="G178" s="206">
        <v>170550</v>
      </c>
      <c r="H178" s="205"/>
      <c r="I178" s="205"/>
      <c r="J178" s="205"/>
      <c r="K178" s="205"/>
      <c r="L178" s="205"/>
      <c r="M178" s="205"/>
      <c r="N178" s="206">
        <v>170550</v>
      </c>
      <c r="O178" s="206">
        <v>170550</v>
      </c>
    </row>
    <row r="179" spans="1:15" s="3" customFormat="1" x14ac:dyDescent="0.2">
      <c r="A179" s="204" t="s">
        <v>1051</v>
      </c>
      <c r="B179" s="205" t="s">
        <v>292</v>
      </c>
      <c r="C179" s="204" t="s">
        <v>1052</v>
      </c>
      <c r="D179" s="205" t="s">
        <v>52</v>
      </c>
      <c r="E179" s="205" t="s">
        <v>28</v>
      </c>
      <c r="F179" s="205" t="s">
        <v>293</v>
      </c>
      <c r="G179" s="206">
        <v>805.95</v>
      </c>
      <c r="H179" s="205"/>
      <c r="I179" s="205"/>
      <c r="J179" s="205"/>
      <c r="K179" s="205"/>
      <c r="L179" s="205"/>
      <c r="M179" s="205"/>
      <c r="N179" s="206">
        <v>805.95</v>
      </c>
      <c r="O179" s="206">
        <v>805.95</v>
      </c>
    </row>
    <row r="180" spans="1:15" s="3" customFormat="1" x14ac:dyDescent="0.2">
      <c r="A180" s="204" t="s">
        <v>1053</v>
      </c>
      <c r="B180" s="205" t="s">
        <v>292</v>
      </c>
      <c r="C180" s="204" t="s">
        <v>1054</v>
      </c>
      <c r="D180" s="205" t="s">
        <v>102</v>
      </c>
      <c r="E180" s="205" t="s">
        <v>28</v>
      </c>
      <c r="F180" s="205" t="s">
        <v>293</v>
      </c>
      <c r="G180" s="206">
        <v>248400</v>
      </c>
      <c r="H180" s="205"/>
      <c r="I180" s="205"/>
      <c r="J180" s="205"/>
      <c r="K180" s="205"/>
      <c r="L180" s="205"/>
      <c r="M180" s="205"/>
      <c r="N180" s="206">
        <v>248400</v>
      </c>
      <c r="O180" s="206">
        <v>248400</v>
      </c>
    </row>
    <row r="181" spans="1:15" s="3" customFormat="1" x14ac:dyDescent="0.2">
      <c r="A181" s="204" t="s">
        <v>1086</v>
      </c>
      <c r="B181" s="205" t="s">
        <v>240</v>
      </c>
      <c r="C181" s="204" t="s">
        <v>1087</v>
      </c>
      <c r="D181" s="205" t="s">
        <v>107</v>
      </c>
      <c r="E181" s="205" t="s">
        <v>28</v>
      </c>
      <c r="F181" s="205" t="s">
        <v>243</v>
      </c>
      <c r="G181" s="207">
        <v>1432543.05</v>
      </c>
      <c r="H181" s="205"/>
      <c r="I181" s="205"/>
      <c r="J181" s="205"/>
      <c r="K181" s="205"/>
      <c r="L181" s="205"/>
      <c r="M181" s="205"/>
      <c r="N181" s="207">
        <v>1432543.05</v>
      </c>
      <c r="O181" s="207">
        <v>1432543.05</v>
      </c>
    </row>
    <row r="182" spans="1:15" s="3" customFormat="1" x14ac:dyDescent="0.2">
      <c r="A182" s="204" t="s">
        <v>1055</v>
      </c>
      <c r="B182" s="205" t="s">
        <v>240</v>
      </c>
      <c r="C182" s="204" t="s">
        <v>1056</v>
      </c>
      <c r="D182" s="205" t="s">
        <v>35</v>
      </c>
      <c r="E182" s="205" t="s">
        <v>28</v>
      </c>
      <c r="F182" s="205" t="s">
        <v>243</v>
      </c>
      <c r="G182" s="206">
        <v>16632</v>
      </c>
      <c r="H182" s="205"/>
      <c r="I182" s="205"/>
      <c r="J182" s="205"/>
      <c r="K182" s="205"/>
      <c r="L182" s="205"/>
      <c r="M182" s="205"/>
      <c r="N182" s="206">
        <v>16632</v>
      </c>
      <c r="O182" s="206">
        <v>16632</v>
      </c>
    </row>
    <row r="183" spans="1:15" s="3" customFormat="1" x14ac:dyDescent="0.2">
      <c r="A183" s="204" t="s">
        <v>1088</v>
      </c>
      <c r="B183" s="205" t="s">
        <v>240</v>
      </c>
      <c r="C183" s="204" t="s">
        <v>1089</v>
      </c>
      <c r="D183" s="205" t="s">
        <v>88</v>
      </c>
      <c r="E183" s="205" t="s">
        <v>28</v>
      </c>
      <c r="F183" s="205" t="s">
        <v>243</v>
      </c>
      <c r="G183" s="206">
        <v>88224.4</v>
      </c>
      <c r="H183" s="205"/>
      <c r="I183" s="205"/>
      <c r="J183" s="205"/>
      <c r="K183" s="205"/>
      <c r="L183" s="205"/>
      <c r="M183" s="205"/>
      <c r="N183" s="206">
        <v>88224.4</v>
      </c>
      <c r="O183" s="206">
        <v>88224.4</v>
      </c>
    </row>
    <row r="184" spans="1:15" s="3" customFormat="1" x14ac:dyDescent="0.2">
      <c r="A184" s="204" t="s">
        <v>1057</v>
      </c>
      <c r="B184" s="205" t="s">
        <v>148</v>
      </c>
      <c r="C184" s="204" t="s">
        <v>1058</v>
      </c>
      <c r="D184" s="205" t="s">
        <v>20</v>
      </c>
      <c r="E184" s="205" t="s">
        <v>28</v>
      </c>
      <c r="F184" s="205" t="s">
        <v>17</v>
      </c>
      <c r="G184" s="206">
        <v>915900</v>
      </c>
      <c r="H184" s="205"/>
      <c r="I184" s="205"/>
      <c r="J184" s="205"/>
      <c r="K184" s="205"/>
      <c r="L184" s="205"/>
      <c r="M184" s="205"/>
      <c r="N184" s="206">
        <v>915900</v>
      </c>
      <c r="O184" s="206">
        <v>915900</v>
      </c>
    </row>
    <row r="185" spans="1:15" s="3" customFormat="1" x14ac:dyDescent="0.2">
      <c r="A185" s="204" t="s">
        <v>1059</v>
      </c>
      <c r="B185" s="205" t="s">
        <v>280</v>
      </c>
      <c r="C185" s="204" t="s">
        <v>1060</v>
      </c>
      <c r="D185" s="205" t="s">
        <v>20</v>
      </c>
      <c r="E185" s="205" t="s">
        <v>28</v>
      </c>
      <c r="F185" s="205" t="s">
        <v>284</v>
      </c>
      <c r="G185" s="206">
        <v>1580880</v>
      </c>
      <c r="H185" s="205"/>
      <c r="I185" s="205"/>
      <c r="J185" s="205"/>
      <c r="K185" s="205"/>
      <c r="L185" s="205"/>
      <c r="M185" s="205"/>
      <c r="N185" s="206">
        <v>1580880</v>
      </c>
      <c r="O185" s="206">
        <v>1580880</v>
      </c>
    </row>
    <row r="186" spans="1:15" s="3" customFormat="1" x14ac:dyDescent="0.2">
      <c r="A186" s="204" t="s">
        <v>1061</v>
      </c>
      <c r="B186" s="205" t="s">
        <v>280</v>
      </c>
      <c r="C186" s="204" t="s">
        <v>1062</v>
      </c>
      <c r="D186" s="205" t="s">
        <v>20</v>
      </c>
      <c r="E186" s="205" t="s">
        <v>28</v>
      </c>
      <c r="F186" s="205" t="s">
        <v>284</v>
      </c>
      <c r="G186" s="206">
        <v>967707</v>
      </c>
      <c r="H186" s="205"/>
      <c r="I186" s="205"/>
      <c r="J186" s="205"/>
      <c r="K186" s="205"/>
      <c r="L186" s="205"/>
      <c r="M186" s="205"/>
      <c r="N186" s="206">
        <v>967707</v>
      </c>
      <c r="O186" s="206">
        <v>967707</v>
      </c>
    </row>
    <row r="187" spans="1:15" s="3" customFormat="1" x14ac:dyDescent="0.2">
      <c r="A187" s="204" t="s">
        <v>1063</v>
      </c>
      <c r="B187" s="205" t="s">
        <v>285</v>
      </c>
      <c r="C187" s="204" t="s">
        <v>1064</v>
      </c>
      <c r="D187" s="205" t="s">
        <v>20</v>
      </c>
      <c r="E187" s="205" t="s">
        <v>28</v>
      </c>
      <c r="F187" s="205" t="s">
        <v>288</v>
      </c>
      <c r="G187" s="206">
        <v>4204980</v>
      </c>
      <c r="H187" s="205"/>
      <c r="I187" s="205"/>
      <c r="J187" s="205"/>
      <c r="K187" s="205"/>
      <c r="L187" s="205"/>
      <c r="M187" s="205"/>
      <c r="N187" s="206">
        <v>4204980</v>
      </c>
      <c r="O187" s="206">
        <v>4204980</v>
      </c>
    </row>
    <row r="188" spans="1:15" s="3" customFormat="1" x14ac:dyDescent="0.2">
      <c r="A188" s="204" t="s">
        <v>1065</v>
      </c>
      <c r="B188" s="205" t="s">
        <v>285</v>
      </c>
      <c r="C188" s="204" t="s">
        <v>1066</v>
      </c>
      <c r="D188" s="205" t="s">
        <v>20</v>
      </c>
      <c r="E188" s="205" t="s">
        <v>28</v>
      </c>
      <c r="F188" s="205" t="s">
        <v>288</v>
      </c>
      <c r="G188" s="206">
        <v>3196845</v>
      </c>
      <c r="H188" s="205"/>
      <c r="I188" s="205"/>
      <c r="J188" s="205"/>
      <c r="K188" s="205"/>
      <c r="L188" s="205"/>
      <c r="M188" s="205"/>
      <c r="N188" s="206">
        <v>3196845</v>
      </c>
      <c r="O188" s="206">
        <v>3196845</v>
      </c>
    </row>
    <row r="189" spans="1:15" s="3" customFormat="1" x14ac:dyDescent="0.2">
      <c r="A189" s="204" t="s">
        <v>1090</v>
      </c>
      <c r="B189" s="205" t="s">
        <v>280</v>
      </c>
      <c r="C189" s="204" t="s">
        <v>1091</v>
      </c>
      <c r="D189" s="205" t="s">
        <v>102</v>
      </c>
      <c r="E189" s="205" t="s">
        <v>36</v>
      </c>
      <c r="F189" s="205" t="s">
        <v>284</v>
      </c>
      <c r="G189" s="206"/>
      <c r="H189" s="205"/>
      <c r="I189" s="205"/>
      <c r="J189" s="205"/>
      <c r="K189" s="205"/>
      <c r="L189" s="205">
        <v>-169158</v>
      </c>
      <c r="M189" s="205"/>
      <c r="N189" s="206">
        <v>-169158</v>
      </c>
      <c r="O189" s="206">
        <v>-169158</v>
      </c>
    </row>
    <row r="190" spans="1:15" s="3" customFormat="1" x14ac:dyDescent="0.2">
      <c r="A190" s="204" t="s">
        <v>1067</v>
      </c>
      <c r="B190" s="205" t="s">
        <v>69</v>
      </c>
      <c r="C190" s="204" t="s">
        <v>1068</v>
      </c>
      <c r="D190" s="205" t="s">
        <v>20</v>
      </c>
      <c r="E190" s="205" t="s">
        <v>28</v>
      </c>
      <c r="F190" s="205" t="s">
        <v>74</v>
      </c>
      <c r="G190" s="206">
        <v>900609</v>
      </c>
      <c r="H190" s="205"/>
      <c r="I190" s="205"/>
      <c r="J190" s="205"/>
      <c r="K190" s="205"/>
      <c r="L190" s="205"/>
      <c r="M190" s="205"/>
      <c r="N190" s="206">
        <v>900609</v>
      </c>
      <c r="O190" s="206">
        <v>900609</v>
      </c>
    </row>
    <row r="191" spans="1:15" s="3" customFormat="1" x14ac:dyDescent="0.2">
      <c r="A191" s="204" t="s">
        <v>1069</v>
      </c>
      <c r="B191" s="205" t="s">
        <v>324</v>
      </c>
      <c r="C191" s="204" t="s">
        <v>1070</v>
      </c>
      <c r="D191" s="205" t="s">
        <v>35</v>
      </c>
      <c r="E191" s="205" t="s">
        <v>28</v>
      </c>
      <c r="F191" s="205" t="s">
        <v>492</v>
      </c>
      <c r="G191" s="205">
        <v>216349.7</v>
      </c>
      <c r="H191" s="205"/>
      <c r="I191" s="205"/>
      <c r="J191" s="205"/>
      <c r="K191" s="205"/>
      <c r="L191" s="206"/>
      <c r="M191" s="205"/>
      <c r="N191" s="206">
        <v>216349.7</v>
      </c>
      <c r="O191" s="206">
        <v>216349.7</v>
      </c>
    </row>
    <row r="192" spans="1:15" s="3" customFormat="1" x14ac:dyDescent="0.2">
      <c r="A192" s="204" t="s">
        <v>1071</v>
      </c>
      <c r="B192" s="205" t="s">
        <v>280</v>
      </c>
      <c r="C192" s="204" t="s">
        <v>1072</v>
      </c>
      <c r="D192" s="205" t="s">
        <v>20</v>
      </c>
      <c r="E192" s="205" t="s">
        <v>28</v>
      </c>
      <c r="F192" s="205" t="s">
        <v>284</v>
      </c>
      <c r="G192" s="206">
        <v>7762248</v>
      </c>
      <c r="H192" s="205"/>
      <c r="I192" s="205"/>
      <c r="J192" s="205"/>
      <c r="K192" s="205"/>
      <c r="L192" s="205"/>
      <c r="M192" s="205"/>
      <c r="N192" s="206">
        <v>7762248</v>
      </c>
      <c r="O192" s="206">
        <v>7762248</v>
      </c>
    </row>
    <row r="193" spans="1:15" s="3" customFormat="1" x14ac:dyDescent="0.2">
      <c r="A193" s="204" t="s">
        <v>1073</v>
      </c>
      <c r="B193" s="205" t="s">
        <v>280</v>
      </c>
      <c r="C193" s="204" t="s">
        <v>1074</v>
      </c>
      <c r="D193" s="205" t="s">
        <v>20</v>
      </c>
      <c r="E193" s="205" t="s">
        <v>28</v>
      </c>
      <c r="F193" s="205" t="s">
        <v>284</v>
      </c>
      <c r="G193" s="206">
        <v>761085</v>
      </c>
      <c r="H193" s="205"/>
      <c r="I193" s="205"/>
      <c r="J193" s="205"/>
      <c r="K193" s="205"/>
      <c r="L193" s="205"/>
      <c r="M193" s="205"/>
      <c r="N193" s="206">
        <v>761085</v>
      </c>
      <c r="O193" s="206">
        <v>761085</v>
      </c>
    </row>
    <row r="194" spans="1:15" s="3" customFormat="1" x14ac:dyDescent="0.2">
      <c r="A194" s="204" t="s">
        <v>1092</v>
      </c>
      <c r="B194" s="205" t="s">
        <v>292</v>
      </c>
      <c r="C194" s="204" t="s">
        <v>1093</v>
      </c>
      <c r="D194" s="205" t="s">
        <v>52</v>
      </c>
      <c r="E194" s="205" t="s">
        <v>28</v>
      </c>
      <c r="F194" s="205" t="s">
        <v>293</v>
      </c>
      <c r="G194" s="206">
        <v>260505</v>
      </c>
      <c r="H194" s="205"/>
      <c r="I194" s="205"/>
      <c r="J194" s="205"/>
      <c r="K194" s="205"/>
      <c r="L194" s="205"/>
      <c r="M194" s="205"/>
      <c r="N194" s="206">
        <v>260505</v>
      </c>
      <c r="O194" s="206">
        <v>260505</v>
      </c>
    </row>
    <row r="195" spans="1:15" s="3" customFormat="1" x14ac:dyDescent="0.2">
      <c r="A195" s="204" t="s">
        <v>1094</v>
      </c>
      <c r="B195" s="205" t="s">
        <v>292</v>
      </c>
      <c r="C195" s="204" t="s">
        <v>1095</v>
      </c>
      <c r="D195" s="205" t="s">
        <v>20</v>
      </c>
      <c r="E195" s="205" t="s">
        <v>28</v>
      </c>
      <c r="F195" s="205" t="s">
        <v>293</v>
      </c>
      <c r="G195" s="206">
        <v>224235</v>
      </c>
      <c r="H195" s="205"/>
      <c r="I195" s="205"/>
      <c r="J195" s="205"/>
      <c r="K195" s="205"/>
      <c r="L195" s="205"/>
      <c r="M195" s="205"/>
      <c r="N195" s="206">
        <v>224235</v>
      </c>
      <c r="O195" s="206">
        <v>224235</v>
      </c>
    </row>
    <row r="196" spans="1:15" s="3" customFormat="1" x14ac:dyDescent="0.2">
      <c r="A196" s="204" t="s">
        <v>1096</v>
      </c>
      <c r="B196" s="205" t="s">
        <v>240</v>
      </c>
      <c r="C196" s="204" t="s">
        <v>1097</v>
      </c>
      <c r="D196" s="205" t="s">
        <v>20</v>
      </c>
      <c r="E196" s="205" t="s">
        <v>28</v>
      </c>
      <c r="F196" s="205" t="s">
        <v>243</v>
      </c>
      <c r="G196" s="206">
        <v>1402920</v>
      </c>
      <c r="H196" s="205"/>
      <c r="I196" s="205"/>
      <c r="J196" s="205"/>
      <c r="K196" s="205"/>
      <c r="L196" s="205"/>
      <c r="M196" s="205"/>
      <c r="N196" s="206">
        <v>1402920</v>
      </c>
      <c r="O196" s="206">
        <v>1402920</v>
      </c>
    </row>
    <row r="197" spans="1:15" s="3" customFormat="1" x14ac:dyDescent="0.2">
      <c r="A197" s="204" t="s">
        <v>1098</v>
      </c>
      <c r="B197" s="205" t="s">
        <v>240</v>
      </c>
      <c r="C197" s="204" t="s">
        <v>1099</v>
      </c>
      <c r="D197" s="205" t="s">
        <v>20</v>
      </c>
      <c r="E197" s="205" t="s">
        <v>28</v>
      </c>
      <c r="F197" s="205" t="s">
        <v>243</v>
      </c>
      <c r="G197" s="206">
        <v>196856</v>
      </c>
      <c r="H197" s="205"/>
      <c r="I197" s="205"/>
      <c r="J197" s="205"/>
      <c r="K197" s="205"/>
      <c r="L197" s="205"/>
      <c r="M197" s="205"/>
      <c r="N197" s="206">
        <v>196856</v>
      </c>
      <c r="O197" s="206">
        <v>196856</v>
      </c>
    </row>
    <row r="198" spans="1:15" s="3" customFormat="1" x14ac:dyDescent="0.2">
      <c r="A198" s="204" t="s">
        <v>1100</v>
      </c>
      <c r="B198" s="205" t="s">
        <v>324</v>
      </c>
      <c r="C198" s="204" t="s">
        <v>1101</v>
      </c>
      <c r="D198" s="205" t="s">
        <v>52</v>
      </c>
      <c r="E198" s="205" t="s">
        <v>28</v>
      </c>
      <c r="F198" s="205" t="s">
        <v>492</v>
      </c>
      <c r="G198" s="206">
        <v>287434</v>
      </c>
      <c r="H198" s="205"/>
      <c r="I198" s="205"/>
      <c r="J198" s="205"/>
      <c r="K198" s="205"/>
      <c r="L198" s="205"/>
      <c r="M198" s="205"/>
      <c r="N198" s="206">
        <v>287434</v>
      </c>
      <c r="O198" s="206">
        <v>287434</v>
      </c>
    </row>
    <row r="199" spans="1:15" s="3" customFormat="1" x14ac:dyDescent="0.2">
      <c r="A199" s="204" t="s">
        <v>1102</v>
      </c>
      <c r="B199" s="205" t="s">
        <v>292</v>
      </c>
      <c r="C199" s="204" t="s">
        <v>1103</v>
      </c>
      <c r="D199" s="205" t="s">
        <v>102</v>
      </c>
      <c r="E199" s="205" t="s">
        <v>28</v>
      </c>
      <c r="F199" s="205" t="s">
        <v>293</v>
      </c>
      <c r="G199" s="206">
        <v>204975</v>
      </c>
      <c r="H199" s="205"/>
      <c r="I199" s="205"/>
      <c r="J199" s="205"/>
      <c r="K199" s="205"/>
      <c r="L199" s="205"/>
      <c r="M199" s="205"/>
      <c r="N199" s="206">
        <v>204975</v>
      </c>
      <c r="O199" s="206">
        <v>204975</v>
      </c>
    </row>
    <row r="200" spans="1:15" s="3" customFormat="1" x14ac:dyDescent="0.2">
      <c r="A200" s="204" t="s">
        <v>1104</v>
      </c>
      <c r="B200" s="205" t="s">
        <v>285</v>
      </c>
      <c r="C200" s="204" t="s">
        <v>1105</v>
      </c>
      <c r="D200" s="205" t="s">
        <v>52</v>
      </c>
      <c r="E200" s="205" t="s">
        <v>28</v>
      </c>
      <c r="F200" s="205" t="s">
        <v>288</v>
      </c>
      <c r="G200" s="206">
        <v>201960</v>
      </c>
      <c r="H200" s="205"/>
      <c r="I200" s="205"/>
      <c r="J200" s="205"/>
      <c r="K200" s="205"/>
      <c r="L200" s="205"/>
      <c r="M200" s="205"/>
      <c r="N200" s="206">
        <v>201960</v>
      </c>
      <c r="O200" s="206">
        <v>201960</v>
      </c>
    </row>
    <row r="201" spans="1:15" s="3" customFormat="1" x14ac:dyDescent="0.2">
      <c r="A201" s="204" t="s">
        <v>1106</v>
      </c>
      <c r="B201" s="205" t="s">
        <v>285</v>
      </c>
      <c r="C201" s="204" t="s">
        <v>1107</v>
      </c>
      <c r="D201" s="205" t="s">
        <v>20</v>
      </c>
      <c r="E201" s="205" t="s">
        <v>28</v>
      </c>
      <c r="F201" s="205" t="s">
        <v>288</v>
      </c>
      <c r="G201" s="206">
        <v>1941750</v>
      </c>
      <c r="H201" s="205"/>
      <c r="I201" s="205"/>
      <c r="J201" s="205"/>
      <c r="K201" s="205"/>
      <c r="L201" s="205"/>
      <c r="M201" s="205"/>
      <c r="N201" s="206">
        <v>1941750</v>
      </c>
      <c r="O201" s="206">
        <v>1941750</v>
      </c>
    </row>
    <row r="202" spans="1:15" s="3" customFormat="1" x14ac:dyDescent="0.2">
      <c r="A202" s="204" t="s">
        <v>1108</v>
      </c>
      <c r="B202" s="205" t="s">
        <v>285</v>
      </c>
      <c r="C202" s="204" t="s">
        <v>1109</v>
      </c>
      <c r="D202" s="205" t="s">
        <v>52</v>
      </c>
      <c r="E202" s="205" t="s">
        <v>28</v>
      </c>
      <c r="F202" s="205" t="s">
        <v>288</v>
      </c>
      <c r="G202" s="206">
        <v>8493001</v>
      </c>
      <c r="H202" s="205"/>
      <c r="I202" s="205"/>
      <c r="J202" s="205"/>
      <c r="K202" s="205"/>
      <c r="L202" s="205"/>
      <c r="M202" s="205"/>
      <c r="N202" s="206">
        <v>8493001</v>
      </c>
      <c r="O202" s="206">
        <v>8493001</v>
      </c>
    </row>
    <row r="203" spans="1:15" s="3" customFormat="1" x14ac:dyDescent="0.2">
      <c r="A203" s="204" t="s">
        <v>1110</v>
      </c>
      <c r="B203" s="205" t="s">
        <v>324</v>
      </c>
      <c r="C203" s="204" t="s">
        <v>1111</v>
      </c>
      <c r="D203" s="205" t="s">
        <v>20</v>
      </c>
      <c r="E203" s="205" t="s">
        <v>28</v>
      </c>
      <c r="F203" s="205" t="s">
        <v>492</v>
      </c>
      <c r="G203" s="206">
        <v>119560</v>
      </c>
      <c r="H203" s="205"/>
      <c r="I203" s="205"/>
      <c r="J203" s="205"/>
      <c r="K203" s="205"/>
      <c r="L203" s="205"/>
      <c r="M203" s="205"/>
      <c r="N203" s="206">
        <v>119560</v>
      </c>
      <c r="O203" s="206">
        <v>119560</v>
      </c>
    </row>
    <row r="204" spans="1:15" s="3" customFormat="1" x14ac:dyDescent="0.2">
      <c r="A204" s="204" t="s">
        <v>1112</v>
      </c>
      <c r="B204" s="205" t="s">
        <v>324</v>
      </c>
      <c r="C204" s="204" t="s">
        <v>1113</v>
      </c>
      <c r="D204" s="205" t="s">
        <v>52</v>
      </c>
      <c r="E204" s="205" t="s">
        <v>28</v>
      </c>
      <c r="F204" s="205" t="s">
        <v>492</v>
      </c>
      <c r="G204" s="206">
        <v>394646</v>
      </c>
      <c r="H204" s="205"/>
      <c r="I204" s="205"/>
      <c r="J204" s="205"/>
      <c r="K204" s="205"/>
      <c r="L204" s="205"/>
      <c r="M204" s="205"/>
      <c r="N204" s="206">
        <v>394646</v>
      </c>
      <c r="O204" s="206">
        <v>394646</v>
      </c>
    </row>
    <row r="205" spans="1:15" s="3" customFormat="1" x14ac:dyDescent="0.2">
      <c r="A205" s="204" t="s">
        <v>1114</v>
      </c>
      <c r="B205" s="205" t="s">
        <v>48</v>
      </c>
      <c r="C205" s="204" t="s">
        <v>1115</v>
      </c>
      <c r="D205" s="205" t="s">
        <v>20</v>
      </c>
      <c r="E205" s="205" t="s">
        <v>28</v>
      </c>
      <c r="F205" s="205" t="s">
        <v>49</v>
      </c>
      <c r="G205" s="206">
        <v>560150</v>
      </c>
      <c r="H205" s="205"/>
      <c r="I205" s="205"/>
      <c r="J205" s="205"/>
      <c r="K205" s="205"/>
      <c r="L205" s="205"/>
      <c r="M205" s="205"/>
      <c r="N205" s="206">
        <v>560150</v>
      </c>
      <c r="O205" s="206">
        <v>560150</v>
      </c>
    </row>
    <row r="206" spans="1:15" s="3" customFormat="1" x14ac:dyDescent="0.2">
      <c r="A206" s="204" t="s">
        <v>1116</v>
      </c>
      <c r="B206" s="205" t="s">
        <v>69</v>
      </c>
      <c r="C206" s="204" t="s">
        <v>1117</v>
      </c>
      <c r="D206" s="205" t="s">
        <v>20</v>
      </c>
      <c r="E206" s="205" t="s">
        <v>28</v>
      </c>
      <c r="F206" s="205" t="s">
        <v>74</v>
      </c>
      <c r="G206" s="206">
        <v>2633224.35</v>
      </c>
      <c r="H206" s="205"/>
      <c r="I206" s="205"/>
      <c r="J206" s="205"/>
      <c r="K206" s="205"/>
      <c r="L206" s="205"/>
      <c r="M206" s="205"/>
      <c r="N206" s="206">
        <v>2633224.35</v>
      </c>
      <c r="O206" s="206">
        <v>2633224.35</v>
      </c>
    </row>
    <row r="207" spans="1:15" s="3" customFormat="1" x14ac:dyDescent="0.2">
      <c r="A207" s="204" t="s">
        <v>1118</v>
      </c>
      <c r="B207" s="205" t="s">
        <v>99</v>
      </c>
      <c r="C207" s="204" t="s">
        <v>1119</v>
      </c>
      <c r="D207" s="205" t="s">
        <v>20</v>
      </c>
      <c r="E207" s="205" t="s">
        <v>28</v>
      </c>
      <c r="F207" s="205" t="s">
        <v>101</v>
      </c>
      <c r="G207" s="206">
        <v>937618</v>
      </c>
      <c r="H207" s="205"/>
      <c r="I207" s="205"/>
      <c r="J207" s="205"/>
      <c r="K207" s="205"/>
      <c r="L207" s="205"/>
      <c r="M207" s="205"/>
      <c r="N207" s="206">
        <v>937618</v>
      </c>
      <c r="O207" s="206">
        <v>937618</v>
      </c>
    </row>
    <row r="208" spans="1:15" s="3" customFormat="1" x14ac:dyDescent="0.2">
      <c r="A208" s="204" t="s">
        <v>1120</v>
      </c>
      <c r="B208" s="205" t="s">
        <v>99</v>
      </c>
      <c r="C208" s="204" t="s">
        <v>1121</v>
      </c>
      <c r="D208" s="205" t="s">
        <v>20</v>
      </c>
      <c r="E208" s="205" t="s">
        <v>28</v>
      </c>
      <c r="F208" s="205" t="s">
        <v>101</v>
      </c>
      <c r="G208" s="206">
        <v>140392</v>
      </c>
      <c r="H208" s="205"/>
      <c r="I208" s="205"/>
      <c r="J208" s="205"/>
      <c r="K208" s="205"/>
      <c r="L208" s="205"/>
      <c r="M208" s="205"/>
      <c r="N208" s="206">
        <v>140392</v>
      </c>
      <c r="O208" s="206">
        <v>140392</v>
      </c>
    </row>
    <row r="209" spans="1:15" s="3" customFormat="1" x14ac:dyDescent="0.2">
      <c r="A209" s="204" t="s">
        <v>1122</v>
      </c>
      <c r="B209" s="205" t="s">
        <v>240</v>
      </c>
      <c r="C209" s="204" t="s">
        <v>1123</v>
      </c>
      <c r="D209" s="205" t="s">
        <v>20</v>
      </c>
      <c r="E209" s="205" t="s">
        <v>28</v>
      </c>
      <c r="F209" s="205" t="s">
        <v>243</v>
      </c>
      <c r="G209" s="206">
        <v>578325</v>
      </c>
      <c r="H209" s="205"/>
      <c r="I209" s="205"/>
      <c r="J209" s="205"/>
      <c r="K209" s="205"/>
      <c r="L209" s="205"/>
      <c r="M209" s="205"/>
      <c r="N209" s="206">
        <v>578325</v>
      </c>
      <c r="O209" s="206">
        <v>578325</v>
      </c>
    </row>
    <row r="210" spans="1:15" s="3" customFormat="1" x14ac:dyDescent="0.2">
      <c r="A210" s="204" t="s">
        <v>1124</v>
      </c>
      <c r="B210" s="205" t="s">
        <v>240</v>
      </c>
      <c r="C210" s="204" t="s">
        <v>1125</v>
      </c>
      <c r="D210" s="205" t="s">
        <v>52</v>
      </c>
      <c r="E210" s="205" t="s">
        <v>28</v>
      </c>
      <c r="F210" s="205" t="s">
        <v>243</v>
      </c>
      <c r="G210" s="206">
        <v>654570</v>
      </c>
      <c r="H210" s="205"/>
      <c r="I210" s="205"/>
      <c r="J210" s="205"/>
      <c r="K210" s="205"/>
      <c r="L210" s="205"/>
      <c r="M210" s="205"/>
      <c r="N210" s="206">
        <v>654570</v>
      </c>
      <c r="O210" s="206">
        <v>654570</v>
      </c>
    </row>
    <row r="211" spans="1:15" s="3" customFormat="1" x14ac:dyDescent="0.2">
      <c r="A211" s="204" t="s">
        <v>1126</v>
      </c>
      <c r="B211" s="205" t="s">
        <v>1127</v>
      </c>
      <c r="C211" s="204" t="s">
        <v>1128</v>
      </c>
      <c r="D211" s="205" t="s">
        <v>52</v>
      </c>
      <c r="E211" s="205" t="s">
        <v>36</v>
      </c>
      <c r="F211" s="205" t="s">
        <v>1129</v>
      </c>
      <c r="G211" s="206"/>
      <c r="H211" s="205"/>
      <c r="I211" s="205"/>
      <c r="J211" s="205"/>
      <c r="K211" s="205"/>
      <c r="L211" s="205">
        <v>-265104</v>
      </c>
      <c r="M211" s="205"/>
      <c r="N211" s="206">
        <v>-265104</v>
      </c>
      <c r="O211" s="206">
        <v>-265104</v>
      </c>
    </row>
    <row r="212" spans="1:15" s="3" customFormat="1" x14ac:dyDescent="0.2">
      <c r="A212" s="204" t="s">
        <v>1130</v>
      </c>
      <c r="B212" s="205" t="s">
        <v>1030</v>
      </c>
      <c r="C212" s="204" t="s">
        <v>1128</v>
      </c>
      <c r="D212" s="205" t="s">
        <v>20</v>
      </c>
      <c r="E212" s="205" t="s">
        <v>36</v>
      </c>
      <c r="F212" s="205" t="s">
        <v>1131</v>
      </c>
      <c r="G212" s="206"/>
      <c r="H212" s="205"/>
      <c r="I212" s="205"/>
      <c r="J212" s="205"/>
      <c r="K212" s="205"/>
      <c r="L212" s="205">
        <v>-163750</v>
      </c>
      <c r="M212" s="205"/>
      <c r="N212" s="206">
        <v>-163750</v>
      </c>
      <c r="O212" s="206">
        <v>-163750</v>
      </c>
    </row>
    <row r="213" spans="1:15" s="3" customFormat="1" x14ac:dyDescent="0.2">
      <c r="A213" s="204" t="s">
        <v>1132</v>
      </c>
      <c r="B213" s="205" t="s">
        <v>280</v>
      </c>
      <c r="C213" s="204" t="s">
        <v>1133</v>
      </c>
      <c r="D213" s="205" t="s">
        <v>20</v>
      </c>
      <c r="E213" s="205" t="s">
        <v>28</v>
      </c>
      <c r="F213" s="205" t="s">
        <v>284</v>
      </c>
      <c r="G213" s="205">
        <v>2698956</v>
      </c>
      <c r="H213" s="205"/>
      <c r="I213" s="205"/>
      <c r="J213" s="205"/>
      <c r="K213" s="205"/>
      <c r="L213" s="206"/>
      <c r="M213" s="205"/>
      <c r="N213" s="206">
        <v>2698956</v>
      </c>
      <c r="O213" s="206">
        <v>2698956</v>
      </c>
    </row>
    <row r="214" spans="1:15" s="3" customFormat="1" x14ac:dyDescent="0.2">
      <c r="A214" s="204" t="s">
        <v>1135</v>
      </c>
      <c r="B214" s="205" t="s">
        <v>106</v>
      </c>
      <c r="C214" s="204" t="s">
        <v>1134</v>
      </c>
      <c r="D214" s="205" t="s">
        <v>52</v>
      </c>
      <c r="E214" s="205" t="s">
        <v>36</v>
      </c>
      <c r="F214" s="205" t="s">
        <v>108</v>
      </c>
      <c r="G214" s="205"/>
      <c r="H214" s="205"/>
      <c r="I214" s="205"/>
      <c r="J214" s="205"/>
      <c r="K214" s="205"/>
      <c r="L214" s="206">
        <v>-67520</v>
      </c>
      <c r="M214" s="205"/>
      <c r="N214" s="206">
        <v>-67520</v>
      </c>
      <c r="O214" s="206">
        <v>-67520</v>
      </c>
    </row>
    <row r="215" spans="1:15" s="3" customFormat="1" x14ac:dyDescent="0.2">
      <c r="A215" s="204" t="s">
        <v>1139</v>
      </c>
      <c r="B215" s="205" t="s">
        <v>285</v>
      </c>
      <c r="C215" s="204" t="s">
        <v>1140</v>
      </c>
      <c r="D215" s="205" t="s">
        <v>20</v>
      </c>
      <c r="E215" s="205" t="s">
        <v>28</v>
      </c>
      <c r="F215" s="205" t="s">
        <v>288</v>
      </c>
      <c r="G215" s="206">
        <v>396157.5</v>
      </c>
      <c r="H215" s="205"/>
      <c r="I215" s="205"/>
      <c r="J215" s="205"/>
      <c r="K215" s="205"/>
      <c r="L215" s="205"/>
      <c r="M215" s="205"/>
      <c r="N215" s="206">
        <v>396157.5</v>
      </c>
      <c r="O215" s="206">
        <v>396157.5</v>
      </c>
    </row>
    <row r="216" spans="1:15" s="3" customFormat="1" x14ac:dyDescent="0.2">
      <c r="A216" s="204" t="s">
        <v>1141</v>
      </c>
      <c r="B216" s="205" t="s">
        <v>285</v>
      </c>
      <c r="C216" s="204" t="s">
        <v>1142</v>
      </c>
      <c r="D216" s="205" t="s">
        <v>52</v>
      </c>
      <c r="E216" s="205" t="s">
        <v>28</v>
      </c>
      <c r="F216" s="205" t="s">
        <v>288</v>
      </c>
      <c r="G216" s="205">
        <v>1780335</v>
      </c>
      <c r="H216" s="205"/>
      <c r="I216" s="205"/>
      <c r="J216" s="205"/>
      <c r="K216" s="205"/>
      <c r="L216" s="206"/>
      <c r="M216" s="205"/>
      <c r="N216" s="206">
        <v>1780335</v>
      </c>
      <c r="O216" s="206">
        <v>1780335</v>
      </c>
    </row>
    <row r="217" spans="1:15" s="3" customFormat="1" x14ac:dyDescent="0.2">
      <c r="A217" s="204" t="s">
        <v>1143</v>
      </c>
      <c r="B217" s="205" t="s">
        <v>285</v>
      </c>
      <c r="C217" s="204" t="s">
        <v>1144</v>
      </c>
      <c r="D217" s="205" t="s">
        <v>20</v>
      </c>
      <c r="E217" s="205" t="s">
        <v>28</v>
      </c>
      <c r="F217" s="205" t="s">
        <v>288</v>
      </c>
      <c r="G217" s="206">
        <v>2787705</v>
      </c>
      <c r="H217" s="205"/>
      <c r="I217" s="205"/>
      <c r="J217" s="205"/>
      <c r="K217" s="205"/>
      <c r="L217" s="205"/>
      <c r="M217" s="205"/>
      <c r="N217" s="206">
        <v>2787705</v>
      </c>
      <c r="O217" s="206">
        <v>2787705</v>
      </c>
    </row>
    <row r="218" spans="1:15" s="3" customFormat="1" x14ac:dyDescent="0.2">
      <c r="A218" s="204" t="s">
        <v>1145</v>
      </c>
      <c r="B218" s="205" t="s">
        <v>185</v>
      </c>
      <c r="C218" s="204" t="s">
        <v>1146</v>
      </c>
      <c r="D218" s="205" t="s">
        <v>56</v>
      </c>
      <c r="E218" s="205" t="s">
        <v>28</v>
      </c>
      <c r="F218" s="205" t="s">
        <v>186</v>
      </c>
      <c r="G218" s="206">
        <v>21525</v>
      </c>
      <c r="H218" s="205"/>
      <c r="I218" s="205"/>
      <c r="J218" s="205"/>
      <c r="K218" s="205"/>
      <c r="L218" s="205"/>
      <c r="M218" s="205"/>
      <c r="N218" s="206">
        <v>21525</v>
      </c>
      <c r="O218" s="206">
        <v>21525</v>
      </c>
    </row>
    <row r="219" spans="1:15" s="3" customFormat="1" x14ac:dyDescent="0.2">
      <c r="A219" s="204" t="s">
        <v>1147</v>
      </c>
      <c r="B219" s="205" t="s">
        <v>185</v>
      </c>
      <c r="C219" s="204" t="s">
        <v>1148</v>
      </c>
      <c r="D219" s="205" t="s">
        <v>56</v>
      </c>
      <c r="E219" s="205" t="s">
        <v>28</v>
      </c>
      <c r="F219" s="205" t="s">
        <v>186</v>
      </c>
      <c r="G219" s="206">
        <v>35850</v>
      </c>
      <c r="H219" s="205"/>
      <c r="I219" s="205"/>
      <c r="J219" s="205"/>
      <c r="K219" s="205"/>
      <c r="L219" s="205"/>
      <c r="M219" s="205"/>
      <c r="N219" s="206">
        <v>35850</v>
      </c>
      <c r="O219" s="206">
        <v>35850</v>
      </c>
    </row>
    <row r="220" spans="1:15" s="3" customFormat="1" x14ac:dyDescent="0.2">
      <c r="A220" s="204" t="s">
        <v>1149</v>
      </c>
      <c r="B220" s="205" t="s">
        <v>185</v>
      </c>
      <c r="C220" s="204" t="s">
        <v>1150</v>
      </c>
      <c r="D220" s="205" t="s">
        <v>76</v>
      </c>
      <c r="E220" s="205" t="s">
        <v>28</v>
      </c>
      <c r="F220" s="205" t="s">
        <v>186</v>
      </c>
      <c r="G220" s="206">
        <v>66120</v>
      </c>
      <c r="H220" s="205"/>
      <c r="I220" s="205"/>
      <c r="J220" s="205"/>
      <c r="K220" s="205"/>
      <c r="L220" s="205"/>
      <c r="M220" s="205"/>
      <c r="N220" s="206">
        <v>66120</v>
      </c>
      <c r="O220" s="206">
        <v>66120</v>
      </c>
    </row>
    <row r="221" spans="1:15" s="3" customFormat="1" x14ac:dyDescent="0.2">
      <c r="A221" s="204" t="s">
        <v>1151</v>
      </c>
      <c r="B221" s="205" t="s">
        <v>185</v>
      </c>
      <c r="C221" s="204" t="s">
        <v>1152</v>
      </c>
      <c r="D221" s="205" t="s">
        <v>76</v>
      </c>
      <c r="E221" s="205" t="s">
        <v>28</v>
      </c>
      <c r="F221" s="205" t="s">
        <v>186</v>
      </c>
      <c r="G221" s="206">
        <v>61800</v>
      </c>
      <c r="H221" s="205"/>
      <c r="I221" s="205"/>
      <c r="J221" s="205"/>
      <c r="K221" s="205"/>
      <c r="L221" s="205"/>
      <c r="M221" s="205"/>
      <c r="N221" s="206">
        <v>61800</v>
      </c>
      <c r="O221" s="206">
        <v>61800</v>
      </c>
    </row>
    <row r="222" spans="1:15" s="3" customFormat="1" x14ac:dyDescent="0.2">
      <c r="A222" s="204" t="s">
        <v>1153</v>
      </c>
      <c r="B222" s="205" t="s">
        <v>185</v>
      </c>
      <c r="C222" s="204" t="s">
        <v>1154</v>
      </c>
      <c r="D222" s="205" t="s">
        <v>102</v>
      </c>
      <c r="E222" s="205" t="s">
        <v>28</v>
      </c>
      <c r="F222" s="205" t="s">
        <v>186</v>
      </c>
      <c r="G222" s="206">
        <v>30960</v>
      </c>
      <c r="H222" s="205"/>
      <c r="I222" s="205"/>
      <c r="J222" s="205"/>
      <c r="K222" s="205"/>
      <c r="L222" s="205"/>
      <c r="M222" s="205"/>
      <c r="N222" s="206">
        <v>30960</v>
      </c>
      <c r="O222" s="206">
        <v>30960</v>
      </c>
    </row>
    <row r="223" spans="1:15" s="3" customFormat="1" x14ac:dyDescent="0.2">
      <c r="A223" s="204" t="s">
        <v>1155</v>
      </c>
      <c r="B223" s="205" t="s">
        <v>185</v>
      </c>
      <c r="C223" s="204" t="s">
        <v>1156</v>
      </c>
      <c r="D223" s="205" t="s">
        <v>52</v>
      </c>
      <c r="E223" s="205" t="s">
        <v>28</v>
      </c>
      <c r="F223" s="205" t="s">
        <v>186</v>
      </c>
      <c r="G223" s="206">
        <v>203895</v>
      </c>
      <c r="H223" s="205"/>
      <c r="I223" s="205"/>
      <c r="J223" s="205"/>
      <c r="K223" s="205"/>
      <c r="L223" s="205"/>
      <c r="M223" s="205"/>
      <c r="N223" s="206">
        <v>203895</v>
      </c>
      <c r="O223" s="206">
        <v>203895</v>
      </c>
    </row>
    <row r="224" spans="1:15" s="3" customFormat="1" x14ac:dyDescent="0.2">
      <c r="A224" s="204" t="s">
        <v>1157</v>
      </c>
      <c r="B224" s="205" t="s">
        <v>185</v>
      </c>
      <c r="C224" s="204" t="s">
        <v>1158</v>
      </c>
      <c r="D224" s="205" t="s">
        <v>52</v>
      </c>
      <c r="E224" s="205" t="s">
        <v>28</v>
      </c>
      <c r="F224" s="205" t="s">
        <v>186</v>
      </c>
      <c r="G224" s="206">
        <v>394875</v>
      </c>
      <c r="H224" s="205"/>
      <c r="I224" s="205"/>
      <c r="J224" s="205"/>
      <c r="K224" s="205"/>
      <c r="L224" s="205"/>
      <c r="M224" s="205"/>
      <c r="N224" s="206">
        <v>394875</v>
      </c>
      <c r="O224" s="206">
        <v>394875</v>
      </c>
    </row>
    <row r="225" spans="1:15" s="3" customFormat="1" x14ac:dyDescent="0.2">
      <c r="A225" s="204" t="s">
        <v>1159</v>
      </c>
      <c r="B225" s="205" t="s">
        <v>99</v>
      </c>
      <c r="C225" s="204" t="s">
        <v>1160</v>
      </c>
      <c r="D225" s="205" t="s">
        <v>52</v>
      </c>
      <c r="E225" s="205" t="s">
        <v>28</v>
      </c>
      <c r="F225" s="205" t="s">
        <v>101</v>
      </c>
      <c r="G225" s="206">
        <v>1606320</v>
      </c>
      <c r="H225" s="205"/>
      <c r="I225" s="205"/>
      <c r="J225" s="205"/>
      <c r="K225" s="205"/>
      <c r="L225" s="205"/>
      <c r="M225" s="205"/>
      <c r="N225" s="206">
        <v>1606320</v>
      </c>
      <c r="O225" s="206">
        <v>1606320</v>
      </c>
    </row>
    <row r="226" spans="1:15" s="3" customFormat="1" x14ac:dyDescent="0.2">
      <c r="A226" s="204" t="s">
        <v>1161</v>
      </c>
      <c r="B226" s="205" t="s">
        <v>99</v>
      </c>
      <c r="C226" s="204" t="s">
        <v>1162</v>
      </c>
      <c r="D226" s="205" t="s">
        <v>20</v>
      </c>
      <c r="E226" s="205" t="s">
        <v>28</v>
      </c>
      <c r="F226" s="205" t="s">
        <v>101</v>
      </c>
      <c r="G226" s="206">
        <v>273700</v>
      </c>
      <c r="H226" s="205"/>
      <c r="I226" s="205"/>
      <c r="J226" s="205"/>
      <c r="K226" s="205"/>
      <c r="L226" s="205"/>
      <c r="M226" s="205"/>
      <c r="N226" s="206">
        <v>273700</v>
      </c>
      <c r="O226" s="206">
        <v>273700</v>
      </c>
    </row>
    <row r="227" spans="1:15" s="3" customFormat="1" x14ac:dyDescent="0.2">
      <c r="A227" s="204" t="s">
        <v>1163</v>
      </c>
      <c r="B227" s="205" t="s">
        <v>292</v>
      </c>
      <c r="C227" s="204" t="s">
        <v>1164</v>
      </c>
      <c r="D227" s="205" t="s">
        <v>52</v>
      </c>
      <c r="E227" s="205" t="s">
        <v>28</v>
      </c>
      <c r="F227" s="205" t="s">
        <v>293</v>
      </c>
      <c r="G227" s="206">
        <v>122625</v>
      </c>
      <c r="H227" s="205"/>
      <c r="I227" s="205"/>
      <c r="J227" s="205"/>
      <c r="K227" s="205"/>
      <c r="L227" s="205"/>
      <c r="M227" s="205"/>
      <c r="N227" s="206">
        <v>122625</v>
      </c>
      <c r="O227" s="206">
        <v>122625</v>
      </c>
    </row>
    <row r="228" spans="1:15" s="3" customFormat="1" x14ac:dyDescent="0.2">
      <c r="A228" s="204" t="s">
        <v>1165</v>
      </c>
      <c r="B228" s="205" t="s">
        <v>292</v>
      </c>
      <c r="C228" s="204" t="s">
        <v>1166</v>
      </c>
      <c r="D228" s="205" t="s">
        <v>20</v>
      </c>
      <c r="E228" s="205" t="s">
        <v>28</v>
      </c>
      <c r="F228" s="205" t="s">
        <v>293</v>
      </c>
      <c r="G228" s="206">
        <v>312705</v>
      </c>
      <c r="H228" s="205"/>
      <c r="I228" s="205"/>
      <c r="J228" s="205"/>
      <c r="K228" s="205"/>
      <c r="L228" s="205"/>
      <c r="M228" s="205"/>
      <c r="N228" s="206">
        <v>312705</v>
      </c>
      <c r="O228" s="206">
        <v>312705</v>
      </c>
    </row>
    <row r="229" spans="1:15" s="3" customFormat="1" x14ac:dyDescent="0.2">
      <c r="A229" s="204" t="s">
        <v>1167</v>
      </c>
      <c r="B229" s="205" t="s">
        <v>292</v>
      </c>
      <c r="C229" s="204" t="s">
        <v>1168</v>
      </c>
      <c r="D229" s="205" t="s">
        <v>102</v>
      </c>
      <c r="E229" s="205" t="s">
        <v>28</v>
      </c>
      <c r="F229" s="205" t="s">
        <v>293</v>
      </c>
      <c r="G229" s="206">
        <v>232551</v>
      </c>
      <c r="H229" s="205"/>
      <c r="I229" s="205"/>
      <c r="J229" s="205"/>
      <c r="K229" s="205"/>
      <c r="L229" s="205"/>
      <c r="M229" s="205"/>
      <c r="N229" s="206">
        <v>232551</v>
      </c>
      <c r="O229" s="206">
        <v>232551</v>
      </c>
    </row>
    <row r="230" spans="1:15" s="3" customFormat="1" x14ac:dyDescent="0.2">
      <c r="A230" s="204" t="s">
        <v>1169</v>
      </c>
      <c r="B230" s="205" t="s">
        <v>277</v>
      </c>
      <c r="C230" s="204" t="s">
        <v>1170</v>
      </c>
      <c r="D230" s="205" t="s">
        <v>52</v>
      </c>
      <c r="E230" s="205"/>
      <c r="F230" s="205" t="s">
        <v>278</v>
      </c>
      <c r="G230" s="206">
        <v>84586</v>
      </c>
      <c r="H230" s="205"/>
      <c r="I230" s="205"/>
      <c r="J230" s="205"/>
      <c r="K230" s="205"/>
      <c r="L230" s="205"/>
      <c r="M230" s="205"/>
      <c r="N230" s="206">
        <v>84586</v>
      </c>
      <c r="O230" s="206">
        <v>84586</v>
      </c>
    </row>
    <row r="231" spans="1:15" s="3" customFormat="1" x14ac:dyDescent="0.2">
      <c r="A231" s="204" t="s">
        <v>1171</v>
      </c>
      <c r="B231" s="205" t="s">
        <v>277</v>
      </c>
      <c r="C231" s="204" t="s">
        <v>1172</v>
      </c>
      <c r="D231" s="205" t="s">
        <v>107</v>
      </c>
      <c r="E231" s="205"/>
      <c r="F231" s="205" t="s">
        <v>278</v>
      </c>
      <c r="G231" s="206">
        <v>30948</v>
      </c>
      <c r="H231" s="205"/>
      <c r="I231" s="205"/>
      <c r="J231" s="205"/>
      <c r="K231" s="205"/>
      <c r="L231" s="205"/>
      <c r="M231" s="205"/>
      <c r="N231" s="206">
        <v>30948</v>
      </c>
      <c r="O231" s="206">
        <v>30948</v>
      </c>
    </row>
    <row r="232" spans="1:15" s="3" customFormat="1" x14ac:dyDescent="0.2">
      <c r="A232" s="204" t="s">
        <v>1173</v>
      </c>
      <c r="B232" s="205" t="s">
        <v>277</v>
      </c>
      <c r="C232" s="204" t="s">
        <v>1174</v>
      </c>
      <c r="D232" s="205" t="s">
        <v>88</v>
      </c>
      <c r="E232" s="205"/>
      <c r="F232" s="205" t="s">
        <v>278</v>
      </c>
      <c r="G232" s="206">
        <v>155949.87</v>
      </c>
      <c r="H232" s="205"/>
      <c r="I232" s="205"/>
      <c r="J232" s="205"/>
      <c r="K232" s="205"/>
      <c r="L232" s="205"/>
      <c r="M232" s="205"/>
      <c r="N232" s="206">
        <v>155949.87</v>
      </c>
      <c r="O232" s="206">
        <v>155949.87</v>
      </c>
    </row>
    <row r="233" spans="1:15" s="3" customFormat="1" x14ac:dyDescent="0.2">
      <c r="A233" s="204" t="s">
        <v>1175</v>
      </c>
      <c r="B233" s="205" t="s">
        <v>277</v>
      </c>
      <c r="C233" s="204" t="s">
        <v>1176</v>
      </c>
      <c r="D233" s="205" t="s">
        <v>35</v>
      </c>
      <c r="E233" s="205"/>
      <c r="F233" s="205" t="s">
        <v>278</v>
      </c>
      <c r="G233" s="206">
        <v>472476.36</v>
      </c>
      <c r="H233" s="205"/>
      <c r="I233" s="205"/>
      <c r="J233" s="205"/>
      <c r="K233" s="205"/>
      <c r="L233" s="205"/>
      <c r="M233" s="205"/>
      <c r="N233" s="206">
        <v>472476.36</v>
      </c>
      <c r="O233" s="206">
        <v>472476.36</v>
      </c>
    </row>
    <row r="234" spans="1:15" s="3" customFormat="1" x14ac:dyDescent="0.2">
      <c r="A234" s="204" t="s">
        <v>1177</v>
      </c>
      <c r="B234" s="205" t="s">
        <v>69</v>
      </c>
      <c r="C234" s="204" t="s">
        <v>1178</v>
      </c>
      <c r="D234" s="205" t="s">
        <v>85</v>
      </c>
      <c r="E234" s="205"/>
      <c r="F234" s="205" t="s">
        <v>75</v>
      </c>
      <c r="G234" s="206">
        <v>186154.19</v>
      </c>
      <c r="H234" s="205"/>
      <c r="I234" s="205"/>
      <c r="J234" s="205"/>
      <c r="K234" s="205"/>
      <c r="L234" s="205"/>
      <c r="M234" s="205"/>
      <c r="N234" s="206">
        <v>186154.19</v>
      </c>
      <c r="O234" s="206">
        <v>186154.19</v>
      </c>
    </row>
    <row r="235" spans="1:15" s="3" customFormat="1" x14ac:dyDescent="0.2">
      <c r="A235" s="204" t="s">
        <v>1179</v>
      </c>
      <c r="B235" s="205" t="s">
        <v>69</v>
      </c>
      <c r="C235" s="204" t="s">
        <v>1180</v>
      </c>
      <c r="D235" s="205" t="s">
        <v>35</v>
      </c>
      <c r="E235" s="205"/>
      <c r="F235" s="205" t="s">
        <v>75</v>
      </c>
      <c r="G235" s="206">
        <v>2426490.62</v>
      </c>
      <c r="H235" s="205"/>
      <c r="I235" s="205"/>
      <c r="J235" s="205"/>
      <c r="K235" s="205"/>
      <c r="L235" s="205"/>
      <c r="M235" s="205"/>
      <c r="N235" s="206">
        <v>2426490.62</v>
      </c>
      <c r="O235" s="206">
        <v>2426490.62</v>
      </c>
    </row>
    <row r="236" spans="1:15" s="3" customFormat="1" x14ac:dyDescent="0.2">
      <c r="A236" s="204" t="s">
        <v>1181</v>
      </c>
      <c r="B236" s="205" t="s">
        <v>69</v>
      </c>
      <c r="C236" s="204" t="s">
        <v>1182</v>
      </c>
      <c r="D236" s="205" t="s">
        <v>52</v>
      </c>
      <c r="E236" s="205"/>
      <c r="F236" s="205" t="s">
        <v>75</v>
      </c>
      <c r="G236" s="206">
        <v>10250535.35</v>
      </c>
      <c r="H236" s="205"/>
      <c r="I236" s="205"/>
      <c r="J236" s="205"/>
      <c r="K236" s="205"/>
      <c r="L236" s="205"/>
      <c r="M236" s="205"/>
      <c r="N236" s="206">
        <v>10250535.35</v>
      </c>
      <c r="O236" s="206">
        <v>10250535.35</v>
      </c>
    </row>
    <row r="237" spans="1:15" s="3" customFormat="1" x14ac:dyDescent="0.2">
      <c r="A237" s="204" t="s">
        <v>1183</v>
      </c>
      <c r="B237" s="205" t="s">
        <v>156</v>
      </c>
      <c r="C237" s="204" t="s">
        <v>1184</v>
      </c>
      <c r="D237" s="205" t="s">
        <v>20</v>
      </c>
      <c r="E237" s="205" t="s">
        <v>36</v>
      </c>
      <c r="F237" s="205" t="s">
        <v>17</v>
      </c>
      <c r="G237" s="206"/>
      <c r="H237" s="205"/>
      <c r="I237" s="205"/>
      <c r="J237" s="205"/>
      <c r="K237" s="205"/>
      <c r="L237" s="205">
        <v>-255600</v>
      </c>
      <c r="M237" s="205"/>
      <c r="N237" s="206">
        <v>-255600</v>
      </c>
      <c r="O237" s="206">
        <v>-255600</v>
      </c>
    </row>
    <row r="238" spans="1:15" s="3" customFormat="1" x14ac:dyDescent="0.2">
      <c r="A238" s="204" t="s">
        <v>1185</v>
      </c>
      <c r="B238" s="205" t="s">
        <v>106</v>
      </c>
      <c r="C238" s="204" t="s">
        <v>1184</v>
      </c>
      <c r="D238" s="205" t="s">
        <v>52</v>
      </c>
      <c r="E238" s="205" t="s">
        <v>36</v>
      </c>
      <c r="F238" s="205" t="s">
        <v>108</v>
      </c>
      <c r="G238" s="206"/>
      <c r="H238" s="205"/>
      <c r="I238" s="205"/>
      <c r="J238" s="205"/>
      <c r="K238" s="205"/>
      <c r="L238" s="205">
        <v>-166730</v>
      </c>
      <c r="M238" s="205"/>
      <c r="N238" s="206">
        <v>-166730</v>
      </c>
      <c r="O238" s="206">
        <v>-166730</v>
      </c>
    </row>
    <row r="239" spans="1:15" s="3" customFormat="1" x14ac:dyDescent="0.2">
      <c r="A239" s="204"/>
      <c r="B239" s="205" t="s">
        <v>41</v>
      </c>
      <c r="C239" s="204"/>
      <c r="D239" s="205"/>
      <c r="E239" s="205"/>
      <c r="F239" s="205" t="s">
        <v>42</v>
      </c>
      <c r="G239" s="205"/>
      <c r="H239" s="205"/>
      <c r="I239" s="205"/>
      <c r="J239" s="205"/>
      <c r="K239" s="205"/>
      <c r="L239" s="206"/>
      <c r="M239" s="205">
        <v>-82070</v>
      </c>
      <c r="N239" s="206">
        <v>-82070</v>
      </c>
      <c r="O239" s="206">
        <v>-82070</v>
      </c>
    </row>
    <row r="240" spans="1:15" s="3" customFormat="1" x14ac:dyDescent="0.2">
      <c r="A240" s="204"/>
      <c r="B240" s="205" t="s">
        <v>48</v>
      </c>
      <c r="C240" s="204"/>
      <c r="D240" s="205"/>
      <c r="E240" s="205"/>
      <c r="F240" s="205" t="s">
        <v>722</v>
      </c>
      <c r="G240" s="205"/>
      <c r="H240" s="205"/>
      <c r="I240" s="205"/>
      <c r="J240" s="205"/>
      <c r="K240" s="205"/>
      <c r="L240" s="206"/>
      <c r="M240" s="205">
        <v>-169458.16</v>
      </c>
      <c r="N240" s="206">
        <v>-169458.16</v>
      </c>
      <c r="O240" s="206">
        <v>-169458.16</v>
      </c>
    </row>
    <row r="241" spans="1:15" s="3" customFormat="1" x14ac:dyDescent="0.2">
      <c r="A241" s="208"/>
      <c r="B241" s="205" t="s">
        <v>60</v>
      </c>
      <c r="C241" s="208"/>
      <c r="D241" s="205"/>
      <c r="E241" s="205"/>
      <c r="F241" s="205" t="s">
        <v>61</v>
      </c>
      <c r="G241" s="205"/>
      <c r="H241" s="205"/>
      <c r="I241" s="205"/>
      <c r="J241" s="205"/>
      <c r="K241" s="205"/>
      <c r="L241" s="205"/>
      <c r="M241" s="206">
        <v>-81257.990000000005</v>
      </c>
      <c r="N241" s="206">
        <v>-81257.990000000005</v>
      </c>
      <c r="O241" s="206">
        <v>-81257.990000000005</v>
      </c>
    </row>
    <row r="242" spans="1:15" s="3" customFormat="1" x14ac:dyDescent="0.2">
      <c r="A242" s="208"/>
      <c r="B242" s="205" t="s">
        <v>60</v>
      </c>
      <c r="C242" s="208"/>
      <c r="D242" s="205"/>
      <c r="E242" s="205"/>
      <c r="F242" s="205" t="s">
        <v>62</v>
      </c>
      <c r="G242" s="205"/>
      <c r="H242" s="205"/>
      <c r="I242" s="205"/>
      <c r="J242" s="205"/>
      <c r="K242" s="205"/>
      <c r="L242" s="205"/>
      <c r="M242" s="206">
        <v>-88876.18</v>
      </c>
      <c r="N242" s="206">
        <v>-88876.18</v>
      </c>
      <c r="O242" s="206">
        <v>-88876.18</v>
      </c>
    </row>
    <row r="243" spans="1:15" s="3" customFormat="1" x14ac:dyDescent="0.2">
      <c r="A243" s="208"/>
      <c r="B243" s="205" t="s">
        <v>60</v>
      </c>
      <c r="C243" s="208"/>
      <c r="D243" s="205"/>
      <c r="E243" s="205"/>
      <c r="F243" s="205" t="s">
        <v>38</v>
      </c>
      <c r="G243" s="205"/>
      <c r="H243" s="205"/>
      <c r="I243" s="205"/>
      <c r="J243" s="205"/>
      <c r="K243" s="205"/>
      <c r="L243" s="205"/>
      <c r="M243" s="206">
        <v>-182855.13</v>
      </c>
      <c r="N243" s="206">
        <v>-182855.13</v>
      </c>
      <c r="O243" s="206">
        <v>-182855.13</v>
      </c>
    </row>
    <row r="244" spans="1:15" s="3" customFormat="1" x14ac:dyDescent="0.2">
      <c r="A244" s="208"/>
      <c r="B244" s="205" t="s">
        <v>60</v>
      </c>
      <c r="C244" s="208"/>
      <c r="D244" s="205"/>
      <c r="E244" s="205"/>
      <c r="F244" s="205" t="s">
        <v>39</v>
      </c>
      <c r="G244" s="205"/>
      <c r="H244" s="205"/>
      <c r="I244" s="205"/>
      <c r="J244" s="205"/>
      <c r="K244" s="205"/>
      <c r="L244" s="205"/>
      <c r="M244" s="206">
        <v>-97248.78</v>
      </c>
      <c r="N244" s="206">
        <v>-97248.78</v>
      </c>
      <c r="O244" s="206">
        <v>-97248.78</v>
      </c>
    </row>
    <row r="245" spans="1:15" s="3" customFormat="1" x14ac:dyDescent="0.2">
      <c r="A245" s="208"/>
      <c r="B245" s="205" t="s">
        <v>60</v>
      </c>
      <c r="C245" s="208"/>
      <c r="D245" s="205"/>
      <c r="E245" s="205"/>
      <c r="F245" s="205" t="s">
        <v>723</v>
      </c>
      <c r="G245" s="205"/>
      <c r="H245" s="205"/>
      <c r="I245" s="205"/>
      <c r="J245" s="205"/>
      <c r="K245" s="205"/>
      <c r="L245" s="205"/>
      <c r="M245" s="206">
        <v>-1117985</v>
      </c>
      <c r="N245" s="206">
        <v>-1117985</v>
      </c>
      <c r="O245" s="206">
        <v>-1117985</v>
      </c>
    </row>
    <row r="246" spans="1:15" s="3" customFormat="1" x14ac:dyDescent="0.2">
      <c r="A246" s="208"/>
      <c r="B246" s="205" t="s">
        <v>60</v>
      </c>
      <c r="C246" s="208"/>
      <c r="D246" s="205"/>
      <c r="E246" s="205"/>
      <c r="F246" s="205" t="s">
        <v>64</v>
      </c>
      <c r="G246" s="205"/>
      <c r="H246" s="205"/>
      <c r="I246" s="205"/>
      <c r="J246" s="205"/>
      <c r="K246" s="205"/>
      <c r="L246" s="205"/>
      <c r="M246" s="206">
        <v>-122865.14</v>
      </c>
      <c r="N246" s="206">
        <v>-122865.14</v>
      </c>
      <c r="O246" s="206">
        <v>-122865.14</v>
      </c>
    </row>
    <row r="247" spans="1:15" s="3" customFormat="1" x14ac:dyDescent="0.2">
      <c r="A247" s="208"/>
      <c r="B247" s="205" t="s">
        <v>60</v>
      </c>
      <c r="C247" s="208"/>
      <c r="D247" s="205"/>
      <c r="E247" s="205"/>
      <c r="F247" s="205" t="s">
        <v>65</v>
      </c>
      <c r="G247" s="205"/>
      <c r="H247" s="205"/>
      <c r="I247" s="205"/>
      <c r="J247" s="205"/>
      <c r="K247" s="205"/>
      <c r="L247" s="205"/>
      <c r="M247" s="206">
        <v>-448843.37</v>
      </c>
      <c r="N247" s="206">
        <v>-448843.37</v>
      </c>
      <c r="O247" s="206">
        <v>-448843.37</v>
      </c>
    </row>
    <row r="248" spans="1:15" s="3" customFormat="1" x14ac:dyDescent="0.2">
      <c r="A248" s="208"/>
      <c r="B248" s="205" t="s">
        <v>60</v>
      </c>
      <c r="C248" s="208"/>
      <c r="D248" s="205"/>
      <c r="E248" s="205"/>
      <c r="F248" s="205" t="s">
        <v>66</v>
      </c>
      <c r="G248" s="205"/>
      <c r="H248" s="205"/>
      <c r="I248" s="205"/>
      <c r="J248" s="205"/>
      <c r="K248" s="205"/>
      <c r="L248" s="205"/>
      <c r="M248" s="206">
        <v>-440491.9</v>
      </c>
      <c r="N248" s="206">
        <v>-440491.9</v>
      </c>
      <c r="O248" s="206">
        <v>-440491.9</v>
      </c>
    </row>
    <row r="249" spans="1:15" s="3" customFormat="1" x14ac:dyDescent="0.2">
      <c r="A249" s="208"/>
      <c r="B249" s="205" t="s">
        <v>98</v>
      </c>
      <c r="C249" s="208"/>
      <c r="D249" s="205"/>
      <c r="E249" s="205"/>
      <c r="F249" s="205" t="s">
        <v>42</v>
      </c>
      <c r="G249" s="205"/>
      <c r="H249" s="205"/>
      <c r="I249" s="205"/>
      <c r="J249" s="205"/>
      <c r="K249" s="205"/>
      <c r="L249" s="205"/>
      <c r="M249" s="206">
        <v>-2306405.39</v>
      </c>
      <c r="N249" s="206">
        <v>-2306405.39</v>
      </c>
      <c r="O249" s="206">
        <v>-2306405.39</v>
      </c>
    </row>
    <row r="250" spans="1:15" s="3" customFormat="1" x14ac:dyDescent="0.2">
      <c r="A250" s="208"/>
      <c r="B250" s="205" t="s">
        <v>98</v>
      </c>
      <c r="C250" s="208"/>
      <c r="D250" s="205"/>
      <c r="E250" s="205"/>
      <c r="F250" s="205" t="s">
        <v>724</v>
      </c>
      <c r="G250" s="205"/>
      <c r="H250" s="205"/>
      <c r="I250" s="205"/>
      <c r="J250" s="205"/>
      <c r="K250" s="205"/>
      <c r="L250" s="205"/>
      <c r="M250" s="206">
        <v>-9349156.1199999992</v>
      </c>
      <c r="N250" s="206">
        <v>-9349156.1199999992</v>
      </c>
      <c r="O250" s="206">
        <v>-9349156.1199999992</v>
      </c>
    </row>
    <row r="251" spans="1:15" s="3" customFormat="1" x14ac:dyDescent="0.2">
      <c r="A251" s="208"/>
      <c r="B251" s="205" t="s">
        <v>98</v>
      </c>
      <c r="C251" s="208"/>
      <c r="D251" s="205"/>
      <c r="E251" s="205"/>
      <c r="F251" s="205" t="s">
        <v>64</v>
      </c>
      <c r="G251" s="205"/>
      <c r="H251" s="205"/>
      <c r="I251" s="205"/>
      <c r="J251" s="205"/>
      <c r="K251" s="205"/>
      <c r="L251" s="205"/>
      <c r="M251" s="206">
        <v>-258839.46</v>
      </c>
      <c r="N251" s="206">
        <v>-258839.46</v>
      </c>
      <c r="O251" s="206">
        <v>-258839.46</v>
      </c>
    </row>
    <row r="252" spans="1:15" s="3" customFormat="1" x14ac:dyDescent="0.2">
      <c r="A252" s="208"/>
      <c r="B252" s="205" t="s">
        <v>99</v>
      </c>
      <c r="C252" s="208"/>
      <c r="D252" s="205"/>
      <c r="E252" s="205"/>
      <c r="F252" s="205" t="s">
        <v>42</v>
      </c>
      <c r="G252" s="205"/>
      <c r="H252" s="205"/>
      <c r="I252" s="205"/>
      <c r="J252" s="205"/>
      <c r="K252" s="205"/>
      <c r="L252" s="205"/>
      <c r="M252" s="206">
        <v>-807310.42</v>
      </c>
      <c r="N252" s="206">
        <v>-807310.42</v>
      </c>
      <c r="O252" s="206">
        <v>-807310.42</v>
      </c>
    </row>
    <row r="253" spans="1:15" s="3" customFormat="1" x14ac:dyDescent="0.2">
      <c r="A253" s="208"/>
      <c r="B253" s="205" t="s">
        <v>99</v>
      </c>
      <c r="C253" s="208"/>
      <c r="D253" s="205"/>
      <c r="E253" s="205"/>
      <c r="F253" s="205" t="s">
        <v>38</v>
      </c>
      <c r="G253" s="205"/>
      <c r="H253" s="205"/>
      <c r="I253" s="205"/>
      <c r="J253" s="205"/>
      <c r="K253" s="205"/>
      <c r="L253" s="205"/>
      <c r="M253" s="206">
        <v>-1678357.54</v>
      </c>
      <c r="N253" s="206">
        <v>-1678357.54</v>
      </c>
      <c r="O253" s="206">
        <v>-1678357.54</v>
      </c>
    </row>
    <row r="254" spans="1:15" s="3" customFormat="1" x14ac:dyDescent="0.2">
      <c r="A254" s="208"/>
      <c r="B254" s="205" t="s">
        <v>99</v>
      </c>
      <c r="C254" s="208"/>
      <c r="D254" s="205"/>
      <c r="E254" s="205"/>
      <c r="F254" s="205" t="s">
        <v>724</v>
      </c>
      <c r="G254" s="205"/>
      <c r="H254" s="205"/>
      <c r="I254" s="205"/>
      <c r="J254" s="205"/>
      <c r="K254" s="205"/>
      <c r="L254" s="205"/>
      <c r="M254" s="206">
        <v>-752422.2</v>
      </c>
      <c r="N254" s="206">
        <v>-752422.2</v>
      </c>
      <c r="O254" s="206">
        <v>-752422.2</v>
      </c>
    </row>
    <row r="255" spans="1:15" s="3" customFormat="1" x14ac:dyDescent="0.2">
      <c r="A255" s="208"/>
      <c r="B255" s="205" t="s">
        <v>99</v>
      </c>
      <c r="C255" s="208"/>
      <c r="D255" s="205"/>
      <c r="E255" s="205"/>
      <c r="F255" s="205" t="s">
        <v>64</v>
      </c>
      <c r="G255" s="205"/>
      <c r="H255" s="205"/>
      <c r="I255" s="205"/>
      <c r="J255" s="205"/>
      <c r="K255" s="205"/>
      <c r="L255" s="205"/>
      <c r="M255" s="206">
        <v>-777580.76</v>
      </c>
      <c r="N255" s="206">
        <v>-777580.76</v>
      </c>
      <c r="O255" s="206">
        <v>-777580.76</v>
      </c>
    </row>
    <row r="256" spans="1:15" s="3" customFormat="1" x14ac:dyDescent="0.2">
      <c r="A256" s="208"/>
      <c r="B256" s="205" t="s">
        <v>99</v>
      </c>
      <c r="C256" s="208"/>
      <c r="D256" s="205"/>
      <c r="E256" s="205"/>
      <c r="F256" s="205" t="s">
        <v>100</v>
      </c>
      <c r="G256" s="205"/>
      <c r="H256" s="205"/>
      <c r="I256" s="205"/>
      <c r="J256" s="205"/>
      <c r="K256" s="205"/>
      <c r="L256" s="205"/>
      <c r="M256" s="206">
        <v>-281921</v>
      </c>
      <c r="N256" s="206">
        <v>-281921</v>
      </c>
      <c r="O256" s="206">
        <v>-281921</v>
      </c>
    </row>
    <row r="257" spans="1:15" s="3" customFormat="1" x14ac:dyDescent="0.2">
      <c r="A257" s="208"/>
      <c r="B257" s="205" t="s">
        <v>99</v>
      </c>
      <c r="C257" s="208"/>
      <c r="D257" s="205"/>
      <c r="E257" s="205"/>
      <c r="F257" s="205" t="s">
        <v>65</v>
      </c>
      <c r="G257" s="205"/>
      <c r="H257" s="205"/>
      <c r="I257" s="205"/>
      <c r="J257" s="205"/>
      <c r="K257" s="205"/>
      <c r="L257" s="205"/>
      <c r="M257" s="206">
        <v>-94512</v>
      </c>
      <c r="N257" s="206">
        <v>-94512</v>
      </c>
      <c r="O257" s="206">
        <v>-94512</v>
      </c>
    </row>
    <row r="258" spans="1:15" s="3" customFormat="1" x14ac:dyDescent="0.2">
      <c r="A258" s="208"/>
      <c r="B258" s="205" t="s">
        <v>99</v>
      </c>
      <c r="C258" s="208"/>
      <c r="D258" s="205"/>
      <c r="E258" s="205"/>
      <c r="F258" s="205" t="s">
        <v>66</v>
      </c>
      <c r="G258" s="205"/>
      <c r="H258" s="205"/>
      <c r="I258" s="205"/>
      <c r="J258" s="205"/>
      <c r="K258" s="205"/>
      <c r="L258" s="205"/>
      <c r="M258" s="206">
        <v>-356942.78</v>
      </c>
      <c r="N258" s="206">
        <v>-356942.78</v>
      </c>
      <c r="O258" s="206">
        <v>-356942.78</v>
      </c>
    </row>
    <row r="259" spans="1:15" s="3" customFormat="1" x14ac:dyDescent="0.2">
      <c r="A259" s="208"/>
      <c r="B259" s="205" t="s">
        <v>99</v>
      </c>
      <c r="C259" s="208"/>
      <c r="D259" s="205"/>
      <c r="E259" s="205"/>
      <c r="F259" s="205" t="s">
        <v>735</v>
      </c>
      <c r="G259" s="205"/>
      <c r="H259" s="205"/>
      <c r="I259" s="205"/>
      <c r="J259" s="205"/>
      <c r="K259" s="205"/>
      <c r="L259" s="205"/>
      <c r="M259" s="206">
        <v>-13916</v>
      </c>
      <c r="N259" s="206">
        <v>-13916</v>
      </c>
      <c r="O259" s="206">
        <v>-13916</v>
      </c>
    </row>
    <row r="260" spans="1:15" s="3" customFormat="1" x14ac:dyDescent="0.2">
      <c r="A260" s="208"/>
      <c r="B260" s="205" t="s">
        <v>103</v>
      </c>
      <c r="C260" s="208"/>
      <c r="D260" s="205"/>
      <c r="E260" s="205"/>
      <c r="F260" s="205" t="s">
        <v>104</v>
      </c>
      <c r="G260" s="205"/>
      <c r="H260" s="205"/>
      <c r="I260" s="205"/>
      <c r="J260" s="205"/>
      <c r="K260" s="205"/>
      <c r="L260" s="205"/>
      <c r="M260" s="206">
        <v>-95259.43</v>
      </c>
      <c r="N260" s="206">
        <v>-95259.43</v>
      </c>
      <c r="O260" s="206">
        <v>-95259.43</v>
      </c>
    </row>
    <row r="261" spans="1:15" s="3" customFormat="1" x14ac:dyDescent="0.2">
      <c r="A261" s="208"/>
      <c r="B261" s="205" t="s">
        <v>103</v>
      </c>
      <c r="C261" s="208"/>
      <c r="D261" s="205"/>
      <c r="E261" s="205"/>
      <c r="F261" s="205" t="s">
        <v>724</v>
      </c>
      <c r="G261" s="205"/>
      <c r="H261" s="205"/>
      <c r="I261" s="205"/>
      <c r="J261" s="205"/>
      <c r="K261" s="205"/>
      <c r="L261" s="205"/>
      <c r="M261" s="206">
        <v>-216121.25</v>
      </c>
      <c r="N261" s="206">
        <v>-216121.25</v>
      </c>
      <c r="O261" s="206">
        <v>-216121.25</v>
      </c>
    </row>
    <row r="262" spans="1:15" s="3" customFormat="1" x14ac:dyDescent="0.2">
      <c r="A262" s="208"/>
      <c r="B262" s="205" t="s">
        <v>103</v>
      </c>
      <c r="C262" s="208"/>
      <c r="D262" s="205"/>
      <c r="E262" s="205"/>
      <c r="F262" s="205" t="s">
        <v>63</v>
      </c>
      <c r="G262" s="205"/>
      <c r="H262" s="205"/>
      <c r="I262" s="205"/>
      <c r="J262" s="205"/>
      <c r="K262" s="205"/>
      <c r="L262" s="205"/>
      <c r="M262" s="206">
        <v>-4208.0200000000004</v>
      </c>
      <c r="N262" s="206">
        <v>-4208.0200000000004</v>
      </c>
      <c r="O262" s="206">
        <v>-4208.0200000000004</v>
      </c>
    </row>
    <row r="263" spans="1:15" s="3" customFormat="1" x14ac:dyDescent="0.2">
      <c r="A263" s="208"/>
      <c r="B263" s="205" t="s">
        <v>103</v>
      </c>
      <c r="C263" s="208"/>
      <c r="D263" s="205"/>
      <c r="E263" s="205"/>
      <c r="F263" s="205" t="s">
        <v>725</v>
      </c>
      <c r="G263" s="205"/>
      <c r="H263" s="205"/>
      <c r="I263" s="205"/>
      <c r="J263" s="205"/>
      <c r="K263" s="205"/>
      <c r="L263" s="205"/>
      <c r="M263" s="206">
        <v>-377357.64</v>
      </c>
      <c r="N263" s="206">
        <v>-377357.64</v>
      </c>
      <c r="O263" s="206">
        <v>-377357.64</v>
      </c>
    </row>
    <row r="264" spans="1:15" s="3" customFormat="1" x14ac:dyDescent="0.2">
      <c r="A264" s="208"/>
      <c r="B264" s="205" t="s">
        <v>106</v>
      </c>
      <c r="C264" s="208"/>
      <c r="D264" s="205"/>
      <c r="E264" s="205"/>
      <c r="F264" s="205" t="s">
        <v>42</v>
      </c>
      <c r="G264" s="205"/>
      <c r="H264" s="205"/>
      <c r="I264" s="205"/>
      <c r="J264" s="205"/>
      <c r="K264" s="205"/>
      <c r="L264" s="205"/>
      <c r="M264" s="206">
        <v>-47713</v>
      </c>
      <c r="N264" s="206">
        <v>-47713</v>
      </c>
      <c r="O264" s="206">
        <v>-47713</v>
      </c>
    </row>
    <row r="265" spans="1:15" s="3" customFormat="1" x14ac:dyDescent="0.2">
      <c r="A265" s="208"/>
      <c r="B265" s="205" t="s">
        <v>106</v>
      </c>
      <c r="C265" s="208"/>
      <c r="D265" s="205"/>
      <c r="E265" s="205"/>
      <c r="F265" s="205" t="s">
        <v>39</v>
      </c>
      <c r="G265" s="205"/>
      <c r="H265" s="205"/>
      <c r="I265" s="205"/>
      <c r="J265" s="205"/>
      <c r="K265" s="205"/>
      <c r="L265" s="205"/>
      <c r="M265" s="206">
        <v>-140484</v>
      </c>
      <c r="N265" s="206">
        <v>-140484</v>
      </c>
      <c r="O265" s="206">
        <v>-140484</v>
      </c>
    </row>
    <row r="266" spans="1:15" s="3" customFormat="1" x14ac:dyDescent="0.2">
      <c r="A266" s="208"/>
      <c r="B266" s="205" t="s">
        <v>106</v>
      </c>
      <c r="C266" s="208"/>
      <c r="D266" s="205"/>
      <c r="E266" s="205"/>
      <c r="F266" s="205" t="s">
        <v>724</v>
      </c>
      <c r="G266" s="205"/>
      <c r="H266" s="205"/>
      <c r="I266" s="205"/>
      <c r="J266" s="205"/>
      <c r="K266" s="205"/>
      <c r="L266" s="205"/>
      <c r="M266" s="206">
        <v>-49486</v>
      </c>
      <c r="N266" s="206">
        <v>-49486</v>
      </c>
      <c r="O266" s="206">
        <v>-49486</v>
      </c>
    </row>
    <row r="267" spans="1:15" s="3" customFormat="1" x14ac:dyDescent="0.2">
      <c r="A267" s="208"/>
      <c r="B267" s="205" t="s">
        <v>109</v>
      </c>
      <c r="C267" s="208"/>
      <c r="D267" s="205"/>
      <c r="E267" s="205"/>
      <c r="F267" s="205" t="s">
        <v>110</v>
      </c>
      <c r="G267" s="205"/>
      <c r="H267" s="205"/>
      <c r="I267" s="205"/>
      <c r="J267" s="205"/>
      <c r="K267" s="205"/>
      <c r="L267" s="205"/>
      <c r="M267" s="206">
        <v>-11533.5</v>
      </c>
      <c r="N267" s="206">
        <v>-11533.5</v>
      </c>
      <c r="O267" s="206">
        <v>-11533.5</v>
      </c>
    </row>
    <row r="268" spans="1:15" s="3" customFormat="1" x14ac:dyDescent="0.2">
      <c r="A268" s="208"/>
      <c r="B268" s="205" t="s">
        <v>726</v>
      </c>
      <c r="C268" s="208"/>
      <c r="D268" s="205"/>
      <c r="E268" s="205"/>
      <c r="F268" s="205" t="s">
        <v>724</v>
      </c>
      <c r="G268" s="205"/>
      <c r="H268" s="205"/>
      <c r="I268" s="205"/>
      <c r="J268" s="205"/>
      <c r="K268" s="205"/>
      <c r="L268" s="205"/>
      <c r="M268" s="206">
        <v>-256988</v>
      </c>
      <c r="N268" s="206">
        <v>-256988</v>
      </c>
      <c r="O268" s="206">
        <v>-256988</v>
      </c>
    </row>
    <row r="269" spans="1:15" s="3" customFormat="1" x14ac:dyDescent="0.2">
      <c r="A269" s="208"/>
      <c r="B269" s="205" t="s">
        <v>726</v>
      </c>
      <c r="C269" s="208"/>
      <c r="D269" s="205"/>
      <c r="E269" s="205"/>
      <c r="F269" s="205" t="s">
        <v>725</v>
      </c>
      <c r="G269" s="205"/>
      <c r="H269" s="205"/>
      <c r="I269" s="205"/>
      <c r="J269" s="205"/>
      <c r="K269" s="205"/>
      <c r="L269" s="205"/>
      <c r="M269" s="206">
        <v>-437968</v>
      </c>
      <c r="N269" s="206">
        <v>-437968</v>
      </c>
      <c r="O269" s="206">
        <v>-437968</v>
      </c>
    </row>
    <row r="270" spans="1:15" s="3" customFormat="1" x14ac:dyDescent="0.2">
      <c r="A270" s="208"/>
      <c r="B270" s="205" t="s">
        <v>111</v>
      </c>
      <c r="C270" s="208"/>
      <c r="D270" s="205"/>
      <c r="E270" s="205"/>
      <c r="F270" s="205" t="s">
        <v>112</v>
      </c>
      <c r="G270" s="205"/>
      <c r="H270" s="205"/>
      <c r="I270" s="205"/>
      <c r="J270" s="205"/>
      <c r="K270" s="205"/>
      <c r="L270" s="205"/>
      <c r="M270" s="206">
        <v>-120577.83</v>
      </c>
      <c r="N270" s="206">
        <v>-120577.83</v>
      </c>
      <c r="O270" s="206">
        <v>-120577.83</v>
      </c>
    </row>
    <row r="271" spans="1:15" s="3" customFormat="1" x14ac:dyDescent="0.2">
      <c r="A271" s="208"/>
      <c r="B271" s="205" t="s">
        <v>111</v>
      </c>
      <c r="C271" s="208"/>
      <c r="D271" s="205"/>
      <c r="E271" s="205"/>
      <c r="F271" s="205" t="s">
        <v>113</v>
      </c>
      <c r="G271" s="205"/>
      <c r="H271" s="205"/>
      <c r="I271" s="205"/>
      <c r="J271" s="205"/>
      <c r="K271" s="205"/>
      <c r="L271" s="205"/>
      <c r="M271" s="206">
        <v>-46177.23</v>
      </c>
      <c r="N271" s="206">
        <v>-46177.23</v>
      </c>
      <c r="O271" s="206">
        <v>-46177.23</v>
      </c>
    </row>
    <row r="272" spans="1:15" s="3" customFormat="1" x14ac:dyDescent="0.2">
      <c r="A272" s="208"/>
      <c r="B272" s="205" t="s">
        <v>114</v>
      </c>
      <c r="C272" s="208"/>
      <c r="D272" s="205"/>
      <c r="E272" s="205"/>
      <c r="F272" s="205" t="s">
        <v>38</v>
      </c>
      <c r="G272" s="205"/>
      <c r="H272" s="205"/>
      <c r="I272" s="205"/>
      <c r="J272" s="205"/>
      <c r="K272" s="205"/>
      <c r="L272" s="205"/>
      <c r="M272" s="206">
        <v>-11259.9</v>
      </c>
      <c r="N272" s="206">
        <v>-11259.9</v>
      </c>
      <c r="O272" s="206">
        <v>-11259.9</v>
      </c>
    </row>
    <row r="273" spans="1:15" s="3" customFormat="1" x14ac:dyDescent="0.2">
      <c r="A273" s="208"/>
      <c r="B273" s="205" t="s">
        <v>116</v>
      </c>
      <c r="C273" s="208"/>
      <c r="D273" s="205"/>
      <c r="E273" s="205"/>
      <c r="F273" s="205" t="s">
        <v>723</v>
      </c>
      <c r="G273" s="205"/>
      <c r="H273" s="205"/>
      <c r="I273" s="205"/>
      <c r="J273" s="205"/>
      <c r="K273" s="205"/>
      <c r="L273" s="205"/>
      <c r="M273" s="206">
        <v>-100506.83</v>
      </c>
      <c r="N273" s="206">
        <v>-100506.83</v>
      </c>
      <c r="O273" s="206">
        <v>-100506.83</v>
      </c>
    </row>
    <row r="274" spans="1:15" s="3" customFormat="1" x14ac:dyDescent="0.2">
      <c r="A274" s="208"/>
      <c r="B274" s="205" t="s">
        <v>117</v>
      </c>
      <c r="C274" s="208"/>
      <c r="D274" s="205"/>
      <c r="E274" s="205"/>
      <c r="F274" s="205" t="s">
        <v>118</v>
      </c>
      <c r="G274" s="205"/>
      <c r="H274" s="205"/>
      <c r="I274" s="205"/>
      <c r="J274" s="205"/>
      <c r="K274" s="205"/>
      <c r="L274" s="205"/>
      <c r="M274" s="206">
        <v>-1759.12</v>
      </c>
      <c r="N274" s="206">
        <v>-1759.12</v>
      </c>
      <c r="O274" s="206">
        <v>-1759.12</v>
      </c>
    </row>
    <row r="275" spans="1:15" s="3" customFormat="1" x14ac:dyDescent="0.2">
      <c r="A275" s="208"/>
      <c r="B275" s="205" t="s">
        <v>730</v>
      </c>
      <c r="C275" s="208"/>
      <c r="D275" s="205"/>
      <c r="E275" s="205"/>
      <c r="F275" s="205" t="s">
        <v>725</v>
      </c>
      <c r="G275" s="205"/>
      <c r="H275" s="205"/>
      <c r="I275" s="205"/>
      <c r="J275" s="205"/>
      <c r="K275" s="205"/>
      <c r="L275" s="205"/>
      <c r="M275" s="206">
        <v>-69037.63</v>
      </c>
      <c r="N275" s="206">
        <v>-69037.63</v>
      </c>
      <c r="O275" s="206">
        <v>-69037.63</v>
      </c>
    </row>
    <row r="276" spans="1:15" s="3" customFormat="1" x14ac:dyDescent="0.2">
      <c r="A276" s="208"/>
      <c r="B276" s="205" t="s">
        <v>119</v>
      </c>
      <c r="C276" s="208"/>
      <c r="D276" s="205"/>
      <c r="E276" s="205"/>
      <c r="F276" s="205" t="s">
        <v>113</v>
      </c>
      <c r="G276" s="205"/>
      <c r="H276" s="205"/>
      <c r="I276" s="205"/>
      <c r="J276" s="205"/>
      <c r="K276" s="205"/>
      <c r="L276" s="205"/>
      <c r="M276" s="206">
        <v>-50473</v>
      </c>
      <c r="N276" s="206">
        <v>-50473</v>
      </c>
      <c r="O276" s="206">
        <v>-50473</v>
      </c>
    </row>
    <row r="277" spans="1:15" s="3" customFormat="1" x14ac:dyDescent="0.2">
      <c r="A277" s="208"/>
      <c r="B277" s="205" t="s">
        <v>120</v>
      </c>
      <c r="C277" s="208"/>
      <c r="D277" s="205"/>
      <c r="E277" s="205"/>
      <c r="F277" s="205" t="s">
        <v>42</v>
      </c>
      <c r="G277" s="205"/>
      <c r="H277" s="205"/>
      <c r="I277" s="205"/>
      <c r="J277" s="205"/>
      <c r="K277" s="205"/>
      <c r="L277" s="205"/>
      <c r="M277" s="206">
        <v>-53892.24</v>
      </c>
      <c r="N277" s="206">
        <v>-53892.24</v>
      </c>
      <c r="O277" s="206">
        <v>-53892.24</v>
      </c>
    </row>
    <row r="278" spans="1:15" s="3" customFormat="1" x14ac:dyDescent="0.2">
      <c r="A278" s="208"/>
      <c r="B278" s="205" t="s">
        <v>121</v>
      </c>
      <c r="C278" s="208"/>
      <c r="D278" s="205"/>
      <c r="E278" s="205"/>
      <c r="F278" s="205" t="s">
        <v>63</v>
      </c>
      <c r="G278" s="205"/>
      <c r="H278" s="205"/>
      <c r="I278" s="205"/>
      <c r="J278" s="205"/>
      <c r="K278" s="205"/>
      <c r="L278" s="205"/>
      <c r="M278" s="206">
        <v>-56290.6</v>
      </c>
      <c r="N278" s="206">
        <v>-56290.6</v>
      </c>
      <c r="O278" s="206">
        <v>-56290.6</v>
      </c>
    </row>
    <row r="279" spans="1:15" s="3" customFormat="1" x14ac:dyDescent="0.2">
      <c r="A279" s="208"/>
      <c r="B279" s="205" t="s">
        <v>125</v>
      </c>
      <c r="C279" s="208"/>
      <c r="D279" s="205"/>
      <c r="E279" s="205"/>
      <c r="F279" s="205" t="s">
        <v>731</v>
      </c>
      <c r="G279" s="205"/>
      <c r="H279" s="205"/>
      <c r="I279" s="205"/>
      <c r="J279" s="205"/>
      <c r="K279" s="205"/>
      <c r="L279" s="205"/>
      <c r="M279" s="206">
        <v>-78018.33</v>
      </c>
      <c r="N279" s="206">
        <v>-78018.33</v>
      </c>
      <c r="O279" s="206">
        <v>-78018.33</v>
      </c>
    </row>
    <row r="280" spans="1:15" s="3" customFormat="1" x14ac:dyDescent="0.2">
      <c r="A280" s="208"/>
      <c r="B280" s="205" t="s">
        <v>127</v>
      </c>
      <c r="C280" s="208"/>
      <c r="D280" s="205"/>
      <c r="E280" s="205"/>
      <c r="F280" s="205" t="s">
        <v>128</v>
      </c>
      <c r="G280" s="205"/>
      <c r="H280" s="205"/>
      <c r="I280" s="205"/>
      <c r="J280" s="205"/>
      <c r="K280" s="205"/>
      <c r="L280" s="205"/>
      <c r="M280" s="206">
        <v>-7199.46</v>
      </c>
      <c r="N280" s="206">
        <v>-7199.46</v>
      </c>
      <c r="O280" s="206">
        <v>-7199.46</v>
      </c>
    </row>
    <row r="281" spans="1:15" s="3" customFormat="1" x14ac:dyDescent="0.2">
      <c r="A281" s="208"/>
      <c r="B281" s="205" t="s">
        <v>732</v>
      </c>
      <c r="C281" s="208"/>
      <c r="D281" s="205"/>
      <c r="E281" s="205"/>
      <c r="F281" s="205" t="s">
        <v>723</v>
      </c>
      <c r="G281" s="205"/>
      <c r="H281" s="205"/>
      <c r="I281" s="205"/>
      <c r="J281" s="205"/>
      <c r="K281" s="205"/>
      <c r="L281" s="205"/>
      <c r="M281" s="206">
        <v>-103355.81</v>
      </c>
      <c r="N281" s="206">
        <v>-103355.81</v>
      </c>
      <c r="O281" s="206">
        <v>-103355.81</v>
      </c>
    </row>
    <row r="282" spans="1:15" s="3" customFormat="1" x14ac:dyDescent="0.2">
      <c r="A282" s="208"/>
      <c r="B282" s="205" t="s">
        <v>133</v>
      </c>
      <c r="C282" s="208"/>
      <c r="D282" s="205"/>
      <c r="E282" s="205"/>
      <c r="F282" s="205" t="s">
        <v>42</v>
      </c>
      <c r="G282" s="205"/>
      <c r="H282" s="205"/>
      <c r="I282" s="205"/>
      <c r="J282" s="205"/>
      <c r="K282" s="205"/>
      <c r="L282" s="205"/>
      <c r="M282" s="206">
        <v>-89872.75</v>
      </c>
      <c r="N282" s="206">
        <v>-89872.75</v>
      </c>
      <c r="O282" s="206">
        <v>-89872.75</v>
      </c>
    </row>
    <row r="283" spans="1:15" s="3" customFormat="1" x14ac:dyDescent="0.2">
      <c r="A283" s="208"/>
      <c r="B283" s="205" t="s">
        <v>134</v>
      </c>
      <c r="C283" s="208"/>
      <c r="D283" s="205"/>
      <c r="E283" s="205"/>
      <c r="F283" s="205" t="s">
        <v>63</v>
      </c>
      <c r="G283" s="205"/>
      <c r="H283" s="205"/>
      <c r="I283" s="205"/>
      <c r="J283" s="205"/>
      <c r="K283" s="205"/>
      <c r="L283" s="205"/>
      <c r="M283" s="206">
        <v>-10188</v>
      </c>
      <c r="N283" s="206">
        <v>-10188</v>
      </c>
      <c r="O283" s="206">
        <v>-10188</v>
      </c>
    </row>
    <row r="284" spans="1:15" s="3" customFormat="1" x14ac:dyDescent="0.2">
      <c r="A284" s="208"/>
      <c r="B284" s="205" t="s">
        <v>733</v>
      </c>
      <c r="C284" s="208"/>
      <c r="D284" s="205"/>
      <c r="E284" s="205"/>
      <c r="F284" s="205" t="s">
        <v>724</v>
      </c>
      <c r="G284" s="205"/>
      <c r="H284" s="205"/>
      <c r="I284" s="205"/>
      <c r="J284" s="205"/>
      <c r="K284" s="205"/>
      <c r="L284" s="205"/>
      <c r="M284" s="206">
        <v>-465170</v>
      </c>
      <c r="N284" s="206">
        <v>-465170</v>
      </c>
      <c r="O284" s="206">
        <v>-465170</v>
      </c>
    </row>
    <row r="285" spans="1:15" s="3" customFormat="1" x14ac:dyDescent="0.2">
      <c r="A285" s="208"/>
      <c r="B285" s="205" t="s">
        <v>733</v>
      </c>
      <c r="C285" s="208"/>
      <c r="D285" s="205"/>
      <c r="E285" s="205"/>
      <c r="F285" s="205" t="s">
        <v>65</v>
      </c>
      <c r="G285" s="205"/>
      <c r="H285" s="205"/>
      <c r="I285" s="205"/>
      <c r="J285" s="205"/>
      <c r="K285" s="205"/>
      <c r="L285" s="205"/>
      <c r="M285" s="206">
        <v>-256000</v>
      </c>
      <c r="N285" s="206">
        <v>-256000</v>
      </c>
      <c r="O285" s="206">
        <v>-256000</v>
      </c>
    </row>
    <row r="286" spans="1:15" s="3" customFormat="1" x14ac:dyDescent="0.2">
      <c r="A286" s="208"/>
      <c r="B286" s="205" t="s">
        <v>137</v>
      </c>
      <c r="C286" s="208"/>
      <c r="D286" s="205"/>
      <c r="E286" s="205"/>
      <c r="F286" s="205" t="s">
        <v>113</v>
      </c>
      <c r="G286" s="205"/>
      <c r="H286" s="205"/>
      <c r="I286" s="205"/>
      <c r="J286" s="205"/>
      <c r="K286" s="205"/>
      <c r="L286" s="205"/>
      <c r="M286" s="206">
        <v>-42972.72</v>
      </c>
      <c r="N286" s="206">
        <v>-42972.72</v>
      </c>
      <c r="O286" s="206">
        <v>-42972.72</v>
      </c>
    </row>
    <row r="287" spans="1:15" s="3" customFormat="1" x14ac:dyDescent="0.2">
      <c r="A287" s="208"/>
      <c r="B287" s="205" t="s">
        <v>140</v>
      </c>
      <c r="C287" s="208"/>
      <c r="D287" s="205"/>
      <c r="E287" s="205"/>
      <c r="F287" s="205" t="s">
        <v>141</v>
      </c>
      <c r="G287" s="205"/>
      <c r="H287" s="205"/>
      <c r="I287" s="205"/>
      <c r="J287" s="205"/>
      <c r="K287" s="205"/>
      <c r="L287" s="205"/>
      <c r="M287" s="206">
        <v>-625.94000000000005</v>
      </c>
      <c r="N287" s="206">
        <v>-625.94000000000005</v>
      </c>
      <c r="O287" s="206">
        <v>-625.94000000000005</v>
      </c>
    </row>
    <row r="288" spans="1:15" s="3" customFormat="1" x14ac:dyDescent="0.2">
      <c r="A288" s="208"/>
      <c r="B288" s="205" t="s">
        <v>142</v>
      </c>
      <c r="C288" s="208"/>
      <c r="D288" s="205"/>
      <c r="E288" s="205"/>
      <c r="F288" s="205" t="s">
        <v>104</v>
      </c>
      <c r="G288" s="205"/>
      <c r="H288" s="205"/>
      <c r="I288" s="205"/>
      <c r="J288" s="205"/>
      <c r="K288" s="205"/>
      <c r="L288" s="205"/>
      <c r="M288" s="206">
        <v>-37995.68</v>
      </c>
      <c r="N288" s="206">
        <v>-37995.68</v>
      </c>
      <c r="O288" s="206">
        <v>-37995.68</v>
      </c>
    </row>
    <row r="289" spans="1:15" s="3" customFormat="1" x14ac:dyDescent="0.2">
      <c r="A289" s="208"/>
      <c r="B289" s="205" t="s">
        <v>143</v>
      </c>
      <c r="C289" s="208"/>
      <c r="D289" s="205"/>
      <c r="E289" s="205"/>
      <c r="F289" s="205" t="s">
        <v>724</v>
      </c>
      <c r="G289" s="205"/>
      <c r="H289" s="205"/>
      <c r="I289" s="205"/>
      <c r="J289" s="205"/>
      <c r="K289" s="205"/>
      <c r="L289" s="205"/>
      <c r="M289" s="207">
        <v>-518277.27</v>
      </c>
      <c r="N289" s="207">
        <v>-518277.27</v>
      </c>
      <c r="O289" s="207">
        <v>-518277.27</v>
      </c>
    </row>
    <row r="290" spans="1:15" s="3" customFormat="1" x14ac:dyDescent="0.2">
      <c r="A290" s="208"/>
      <c r="B290" s="205" t="s">
        <v>143</v>
      </c>
      <c r="C290" s="208"/>
      <c r="D290" s="205"/>
      <c r="E290" s="205"/>
      <c r="F290" s="205" t="s">
        <v>64</v>
      </c>
      <c r="G290" s="205"/>
      <c r="H290" s="205"/>
      <c r="I290" s="205"/>
      <c r="J290" s="205"/>
      <c r="K290" s="205"/>
      <c r="L290" s="205"/>
      <c r="M290" s="206">
        <v>-87646.26</v>
      </c>
      <c r="N290" s="206">
        <v>-87646.26</v>
      </c>
      <c r="O290" s="206">
        <v>-87646.26</v>
      </c>
    </row>
    <row r="291" spans="1:15" s="3" customFormat="1" x14ac:dyDescent="0.2">
      <c r="A291" s="208"/>
      <c r="B291" s="205" t="s">
        <v>148</v>
      </c>
      <c r="C291" s="208"/>
      <c r="D291" s="205"/>
      <c r="E291" s="205"/>
      <c r="F291" s="205" t="s">
        <v>38</v>
      </c>
      <c r="G291" s="205"/>
      <c r="H291" s="205"/>
      <c r="I291" s="205"/>
      <c r="J291" s="205"/>
      <c r="K291" s="205"/>
      <c r="L291" s="205"/>
      <c r="M291" s="206">
        <v>-42251.82</v>
      </c>
      <c r="N291" s="206">
        <v>-42251.82</v>
      </c>
      <c r="O291" s="206">
        <v>-42251.82</v>
      </c>
    </row>
    <row r="292" spans="1:15" s="3" customFormat="1" x14ac:dyDescent="0.2">
      <c r="A292" s="208"/>
      <c r="B292" s="205" t="s">
        <v>148</v>
      </c>
      <c r="C292" s="208"/>
      <c r="D292" s="205"/>
      <c r="E292" s="205"/>
      <c r="F292" s="205" t="s">
        <v>39</v>
      </c>
      <c r="G292" s="205"/>
      <c r="H292" s="205"/>
      <c r="I292" s="205"/>
      <c r="J292" s="205"/>
      <c r="K292" s="205"/>
      <c r="L292" s="205"/>
      <c r="M292" s="206">
        <v>-148633.63</v>
      </c>
      <c r="N292" s="206">
        <v>-148633.63</v>
      </c>
      <c r="O292" s="206">
        <v>-148633.63</v>
      </c>
    </row>
    <row r="293" spans="1:15" s="3" customFormat="1" x14ac:dyDescent="0.2">
      <c r="A293" s="208"/>
      <c r="B293" s="205" t="s">
        <v>148</v>
      </c>
      <c r="C293" s="208"/>
      <c r="D293" s="205"/>
      <c r="E293" s="205"/>
      <c r="F293" s="205" t="s">
        <v>723</v>
      </c>
      <c r="G293" s="205"/>
      <c r="H293" s="205"/>
      <c r="I293" s="205"/>
      <c r="J293" s="205"/>
      <c r="K293" s="205"/>
      <c r="L293" s="205"/>
      <c r="M293" s="206">
        <v>-146102.18</v>
      </c>
      <c r="N293" s="206">
        <v>-146102.18</v>
      </c>
      <c r="O293" s="206">
        <v>-146102.18</v>
      </c>
    </row>
    <row r="294" spans="1:15" s="3" customFormat="1" x14ac:dyDescent="0.2">
      <c r="A294" s="208"/>
      <c r="B294" s="205" t="s">
        <v>149</v>
      </c>
      <c r="C294" s="208"/>
      <c r="D294" s="205"/>
      <c r="E294" s="205"/>
      <c r="F294" s="205" t="s">
        <v>725</v>
      </c>
      <c r="G294" s="205"/>
      <c r="H294" s="205"/>
      <c r="I294" s="205"/>
      <c r="J294" s="205"/>
      <c r="K294" s="205"/>
      <c r="L294" s="205"/>
      <c r="M294" s="206">
        <v>-337883.74</v>
      </c>
      <c r="N294" s="206">
        <v>-337883.74</v>
      </c>
      <c r="O294" s="206">
        <v>-337883.74</v>
      </c>
    </row>
    <row r="295" spans="1:15" s="3" customFormat="1" x14ac:dyDescent="0.2">
      <c r="A295" s="208"/>
      <c r="B295" s="205" t="s">
        <v>150</v>
      </c>
      <c r="C295" s="208"/>
      <c r="D295" s="205"/>
      <c r="E295" s="205"/>
      <c r="F295" s="205" t="s">
        <v>151</v>
      </c>
      <c r="G295" s="205"/>
      <c r="H295" s="205"/>
      <c r="I295" s="205"/>
      <c r="J295" s="205"/>
      <c r="K295" s="205"/>
      <c r="L295" s="205"/>
      <c r="M295" s="206">
        <v>-413.01</v>
      </c>
      <c r="N295" s="206">
        <v>-413.01</v>
      </c>
      <c r="O295" s="206">
        <v>-413.01</v>
      </c>
    </row>
    <row r="296" spans="1:15" s="3" customFormat="1" x14ac:dyDescent="0.2">
      <c r="A296" s="208"/>
      <c r="B296" s="205" t="s">
        <v>874</v>
      </c>
      <c r="C296" s="208"/>
      <c r="D296" s="205"/>
      <c r="E296" s="205"/>
      <c r="F296" s="205" t="s">
        <v>38</v>
      </c>
      <c r="G296" s="205"/>
      <c r="H296" s="205"/>
      <c r="I296" s="205"/>
      <c r="J296" s="205"/>
      <c r="K296" s="205"/>
      <c r="L296" s="205"/>
      <c r="M296" s="206">
        <v>-49059</v>
      </c>
      <c r="N296" s="206">
        <v>-49059</v>
      </c>
      <c r="O296" s="206">
        <v>-49059</v>
      </c>
    </row>
    <row r="297" spans="1:15" s="3" customFormat="1" x14ac:dyDescent="0.2">
      <c r="A297" s="208"/>
      <c r="B297" s="205" t="s">
        <v>152</v>
      </c>
      <c r="C297" s="208"/>
      <c r="D297" s="205"/>
      <c r="E297" s="205"/>
      <c r="F297" s="205" t="s">
        <v>153</v>
      </c>
      <c r="G297" s="205"/>
      <c r="H297" s="205"/>
      <c r="I297" s="205"/>
      <c r="J297" s="205"/>
      <c r="K297" s="205"/>
      <c r="L297" s="205"/>
      <c r="M297" s="207">
        <v>-118113</v>
      </c>
      <c r="N297" s="207">
        <v>-118113</v>
      </c>
      <c r="O297" s="207">
        <v>-118113</v>
      </c>
    </row>
    <row r="298" spans="1:15" s="3" customFormat="1" x14ac:dyDescent="0.2">
      <c r="A298" s="208"/>
      <c r="B298" s="205" t="s">
        <v>154</v>
      </c>
      <c r="C298" s="208"/>
      <c r="D298" s="205"/>
      <c r="E298" s="205"/>
      <c r="F298" s="205" t="s">
        <v>155</v>
      </c>
      <c r="G298" s="205"/>
      <c r="H298" s="205"/>
      <c r="I298" s="205"/>
      <c r="J298" s="205"/>
      <c r="K298" s="205"/>
      <c r="L298" s="205"/>
      <c r="M298" s="206">
        <v>-53789.88</v>
      </c>
      <c r="N298" s="206">
        <v>-53789.88</v>
      </c>
      <c r="O298" s="206">
        <v>-53789.88</v>
      </c>
    </row>
    <row r="299" spans="1:15" s="3" customFormat="1" x14ac:dyDescent="0.2">
      <c r="A299" s="208"/>
      <c r="B299" s="205" t="s">
        <v>154</v>
      </c>
      <c r="C299" s="208"/>
      <c r="D299" s="205"/>
      <c r="E299" s="205"/>
      <c r="F299" s="205" t="s">
        <v>39</v>
      </c>
      <c r="G299" s="205"/>
      <c r="H299" s="205"/>
      <c r="I299" s="205"/>
      <c r="J299" s="205"/>
      <c r="K299" s="205"/>
      <c r="L299" s="205"/>
      <c r="M299" s="206">
        <v>-46831.18</v>
      </c>
      <c r="N299" s="206">
        <v>-46831.18</v>
      </c>
      <c r="O299" s="206">
        <v>-46831.18</v>
      </c>
    </row>
    <row r="300" spans="1:15" s="3" customFormat="1" x14ac:dyDescent="0.2">
      <c r="A300" s="208"/>
      <c r="B300" s="205" t="s">
        <v>156</v>
      </c>
      <c r="C300" s="208"/>
      <c r="D300" s="205"/>
      <c r="E300" s="205"/>
      <c r="F300" s="205" t="s">
        <v>104</v>
      </c>
      <c r="G300" s="205"/>
      <c r="H300" s="205"/>
      <c r="I300" s="205"/>
      <c r="J300" s="205"/>
      <c r="K300" s="205"/>
      <c r="L300" s="205"/>
      <c r="M300" s="206">
        <v>-60350.7</v>
      </c>
      <c r="N300" s="206">
        <v>-60350.7</v>
      </c>
      <c r="O300" s="206">
        <v>-60350.7</v>
      </c>
    </row>
    <row r="301" spans="1:15" s="3" customFormat="1" x14ac:dyDescent="0.2">
      <c r="A301" s="208"/>
      <c r="B301" s="205" t="s">
        <v>164</v>
      </c>
      <c r="C301" s="208"/>
      <c r="D301" s="205"/>
      <c r="E301" s="205"/>
      <c r="F301" s="205" t="s">
        <v>728</v>
      </c>
      <c r="G301" s="205"/>
      <c r="H301" s="205"/>
      <c r="I301" s="205"/>
      <c r="J301" s="205"/>
      <c r="K301" s="205"/>
      <c r="L301" s="205"/>
      <c r="M301" s="206">
        <v>-79689.259999999995</v>
      </c>
      <c r="N301" s="206">
        <v>-79689.259999999995</v>
      </c>
      <c r="O301" s="206">
        <v>-79689.259999999995</v>
      </c>
    </row>
    <row r="302" spans="1:15" s="3" customFormat="1" x14ac:dyDescent="0.2">
      <c r="A302" s="208"/>
      <c r="B302" s="205" t="s">
        <v>769</v>
      </c>
      <c r="C302" s="208"/>
      <c r="D302" s="205"/>
      <c r="E302" s="205"/>
      <c r="F302" s="205" t="s">
        <v>724</v>
      </c>
      <c r="G302" s="205"/>
      <c r="H302" s="205"/>
      <c r="I302" s="205"/>
      <c r="J302" s="205"/>
      <c r="K302" s="205"/>
      <c r="L302" s="205"/>
      <c r="M302" s="206">
        <v>-301128.5</v>
      </c>
      <c r="N302" s="206">
        <v>-301128.5</v>
      </c>
      <c r="O302" s="206">
        <v>-301128.5</v>
      </c>
    </row>
    <row r="303" spans="1:15" s="3" customFormat="1" x14ac:dyDescent="0.2">
      <c r="A303" s="208"/>
      <c r="B303" s="205" t="s">
        <v>178</v>
      </c>
      <c r="C303" s="208"/>
      <c r="D303" s="205"/>
      <c r="E303" s="205"/>
      <c r="F303" s="205" t="s">
        <v>62</v>
      </c>
      <c r="G303" s="205"/>
      <c r="H303" s="205"/>
      <c r="I303" s="205"/>
      <c r="J303" s="205"/>
      <c r="K303" s="205"/>
      <c r="L303" s="205"/>
      <c r="M303" s="206">
        <v>-104806.62</v>
      </c>
      <c r="N303" s="206">
        <v>-104806.62</v>
      </c>
      <c r="O303" s="206">
        <v>-104806.62</v>
      </c>
    </row>
    <row r="304" spans="1:15" s="3" customFormat="1" x14ac:dyDescent="0.2">
      <c r="A304" s="208"/>
      <c r="B304" s="205" t="s">
        <v>178</v>
      </c>
      <c r="C304" s="208"/>
      <c r="D304" s="205"/>
      <c r="E304" s="205"/>
      <c r="F304" s="205" t="s">
        <v>724</v>
      </c>
      <c r="G304" s="205"/>
      <c r="H304" s="205"/>
      <c r="I304" s="205"/>
      <c r="J304" s="205"/>
      <c r="K304" s="205"/>
      <c r="L304" s="205"/>
      <c r="M304" s="206">
        <v>-307587.96000000002</v>
      </c>
      <c r="N304" s="206">
        <v>-307587.96000000002</v>
      </c>
      <c r="O304" s="206">
        <v>-307587.96000000002</v>
      </c>
    </row>
    <row r="305" spans="1:15" s="3" customFormat="1" x14ac:dyDescent="0.2">
      <c r="A305" s="208"/>
      <c r="B305" s="205" t="s">
        <v>178</v>
      </c>
      <c r="C305" s="208"/>
      <c r="D305" s="205"/>
      <c r="E305" s="205"/>
      <c r="F305" s="205" t="s">
        <v>725</v>
      </c>
      <c r="G305" s="205"/>
      <c r="H305" s="205"/>
      <c r="I305" s="205"/>
      <c r="J305" s="205"/>
      <c r="K305" s="205"/>
      <c r="L305" s="205"/>
      <c r="M305" s="206">
        <v>-72821.78</v>
      </c>
      <c r="N305" s="206">
        <v>-72821.78</v>
      </c>
      <c r="O305" s="206">
        <v>-72821.78</v>
      </c>
    </row>
    <row r="306" spans="1:15" s="3" customFormat="1" x14ac:dyDescent="0.2">
      <c r="A306" s="208"/>
      <c r="B306" s="205" t="s">
        <v>183</v>
      </c>
      <c r="C306" s="208"/>
      <c r="D306" s="205"/>
      <c r="E306" s="205"/>
      <c r="F306" s="205" t="s">
        <v>61</v>
      </c>
      <c r="G306" s="205"/>
      <c r="H306" s="205"/>
      <c r="I306" s="205"/>
      <c r="J306" s="205"/>
      <c r="K306" s="205"/>
      <c r="L306" s="205"/>
      <c r="M306" s="206">
        <v>-18087.14</v>
      </c>
      <c r="N306" s="206">
        <v>-18087.14</v>
      </c>
      <c r="O306" s="206">
        <v>-18087.14</v>
      </c>
    </row>
    <row r="307" spans="1:15" s="3" customFormat="1" x14ac:dyDescent="0.2">
      <c r="A307" s="208"/>
      <c r="B307" s="205" t="s">
        <v>734</v>
      </c>
      <c r="C307" s="208"/>
      <c r="D307" s="205"/>
      <c r="E307" s="205"/>
      <c r="F307" s="205" t="s">
        <v>735</v>
      </c>
      <c r="G307" s="205"/>
      <c r="H307" s="205"/>
      <c r="I307" s="205"/>
      <c r="J307" s="205"/>
      <c r="K307" s="205"/>
      <c r="L307" s="205"/>
      <c r="M307" s="206">
        <v>-278680.69</v>
      </c>
      <c r="N307" s="206">
        <v>-278680.69</v>
      </c>
      <c r="O307" s="206">
        <v>-278680.69</v>
      </c>
    </row>
    <row r="308" spans="1:15" s="3" customFormat="1" x14ac:dyDescent="0.2">
      <c r="A308" s="208"/>
      <c r="B308" s="205" t="s">
        <v>240</v>
      </c>
      <c r="C308" s="208"/>
      <c r="D308" s="205"/>
      <c r="E308" s="205"/>
      <c r="F308" s="205" t="s">
        <v>38</v>
      </c>
      <c r="G308" s="205"/>
      <c r="H308" s="205"/>
      <c r="I308" s="205"/>
      <c r="J308" s="205"/>
      <c r="K308" s="205"/>
      <c r="L308" s="205"/>
      <c r="M308" s="206">
        <v>-3619500.24</v>
      </c>
      <c r="N308" s="206">
        <v>-3619500.24</v>
      </c>
      <c r="O308" s="206">
        <v>-3619500.24</v>
      </c>
    </row>
    <row r="309" spans="1:15" s="3" customFormat="1" x14ac:dyDescent="0.2">
      <c r="A309" s="208"/>
      <c r="B309" s="205" t="s">
        <v>240</v>
      </c>
      <c r="C309" s="208"/>
      <c r="D309" s="205"/>
      <c r="E309" s="205"/>
      <c r="F309" s="205" t="s">
        <v>1186</v>
      </c>
      <c r="G309" s="205"/>
      <c r="H309" s="205"/>
      <c r="I309" s="205"/>
      <c r="J309" s="205"/>
      <c r="K309" s="205"/>
      <c r="L309" s="205"/>
      <c r="M309" s="206">
        <v>-12451513.58</v>
      </c>
      <c r="N309" s="206">
        <v>-12451513.58</v>
      </c>
      <c r="O309" s="206">
        <v>-12451513.58</v>
      </c>
    </row>
    <row r="310" spans="1:15" s="3" customFormat="1" x14ac:dyDescent="0.2">
      <c r="A310" s="208"/>
      <c r="B310" s="205" t="s">
        <v>240</v>
      </c>
      <c r="C310" s="208"/>
      <c r="D310" s="205"/>
      <c r="E310" s="205"/>
      <c r="F310" s="205" t="s">
        <v>66</v>
      </c>
      <c r="G310" s="205"/>
      <c r="H310" s="205"/>
      <c r="I310" s="205"/>
      <c r="J310" s="205"/>
      <c r="K310" s="205"/>
      <c r="L310" s="205"/>
      <c r="M310" s="206">
        <v>-567716.37</v>
      </c>
      <c r="N310" s="206">
        <v>-567716.37</v>
      </c>
      <c r="O310" s="206">
        <v>-567716.37</v>
      </c>
    </row>
    <row r="311" spans="1:15" s="3" customFormat="1" x14ac:dyDescent="0.2">
      <c r="A311" s="208"/>
      <c r="B311" s="205" t="s">
        <v>240</v>
      </c>
      <c r="C311" s="208"/>
      <c r="D311" s="205"/>
      <c r="E311" s="205"/>
      <c r="F311" s="205" t="s">
        <v>735</v>
      </c>
      <c r="G311" s="205"/>
      <c r="H311" s="205"/>
      <c r="I311" s="205"/>
      <c r="J311" s="205"/>
      <c r="K311" s="205"/>
      <c r="L311" s="205"/>
      <c r="M311" s="206">
        <v>-11164001.109999999</v>
      </c>
      <c r="N311" s="206">
        <v>-11164001.109999999</v>
      </c>
      <c r="O311" s="206">
        <v>-11164001.109999999</v>
      </c>
    </row>
    <row r="312" spans="1:15" s="3" customFormat="1" x14ac:dyDescent="0.2">
      <c r="A312" s="208"/>
      <c r="B312" s="205" t="s">
        <v>240</v>
      </c>
      <c r="C312" s="208"/>
      <c r="D312" s="205"/>
      <c r="E312" s="205"/>
      <c r="F312" s="205" t="s">
        <v>241</v>
      </c>
      <c r="G312" s="205"/>
      <c r="H312" s="205"/>
      <c r="I312" s="205"/>
      <c r="J312" s="205"/>
      <c r="K312" s="205"/>
      <c r="L312" s="205"/>
      <c r="M312" s="206">
        <v>-200607.93</v>
      </c>
      <c r="N312" s="206">
        <v>-200607.93</v>
      </c>
      <c r="O312" s="206">
        <v>-200607.93</v>
      </c>
    </row>
    <row r="313" spans="1:15" s="3" customFormat="1" x14ac:dyDescent="0.2">
      <c r="A313" s="208"/>
      <c r="B313" s="205" t="s">
        <v>256</v>
      </c>
      <c r="C313" s="208"/>
      <c r="D313" s="205"/>
      <c r="E313" s="205"/>
      <c r="F313" s="205" t="s">
        <v>65</v>
      </c>
      <c r="G313" s="205"/>
      <c r="H313" s="205"/>
      <c r="I313" s="205"/>
      <c r="J313" s="205"/>
      <c r="K313" s="205"/>
      <c r="L313" s="205"/>
      <c r="M313" s="206">
        <v>-30000</v>
      </c>
      <c r="N313" s="206">
        <v>-30000</v>
      </c>
      <c r="O313" s="206">
        <v>-30000</v>
      </c>
    </row>
    <row r="314" spans="1:15" s="3" customFormat="1" x14ac:dyDescent="0.2">
      <c r="A314" s="208"/>
      <c r="B314" s="205" t="s">
        <v>256</v>
      </c>
      <c r="C314" s="208"/>
      <c r="D314" s="205"/>
      <c r="E314" s="205"/>
      <c r="F314" s="205" t="s">
        <v>66</v>
      </c>
      <c r="G314" s="205"/>
      <c r="H314" s="205"/>
      <c r="I314" s="205"/>
      <c r="J314" s="205"/>
      <c r="K314" s="205"/>
      <c r="L314" s="205"/>
      <c r="M314" s="206">
        <v>-84999.4</v>
      </c>
      <c r="N314" s="206">
        <v>-84999.4</v>
      </c>
      <c r="O314" s="206">
        <v>-84999.4</v>
      </c>
    </row>
    <row r="315" spans="1:15" s="3" customFormat="1" x14ac:dyDescent="0.2">
      <c r="A315" s="208"/>
      <c r="B315" s="205" t="s">
        <v>258</v>
      </c>
      <c r="C315" s="208"/>
      <c r="D315" s="205"/>
      <c r="E315" s="205"/>
      <c r="F315" s="205" t="s">
        <v>63</v>
      </c>
      <c r="G315" s="205"/>
      <c r="H315" s="205"/>
      <c r="I315" s="205"/>
      <c r="J315" s="205"/>
      <c r="K315" s="205"/>
      <c r="L315" s="205"/>
      <c r="M315" s="206">
        <v>-3825.89</v>
      </c>
      <c r="N315" s="206">
        <v>-3825.89</v>
      </c>
      <c r="O315" s="206">
        <v>-3825.89</v>
      </c>
    </row>
    <row r="316" spans="1:15" s="3" customFormat="1" x14ac:dyDescent="0.2">
      <c r="A316" s="208"/>
      <c r="B316" s="205" t="s">
        <v>258</v>
      </c>
      <c r="C316" s="208"/>
      <c r="D316" s="205"/>
      <c r="E316" s="205"/>
      <c r="F316" s="205" t="s">
        <v>736</v>
      </c>
      <c r="G316" s="205"/>
      <c r="H316" s="205"/>
      <c r="I316" s="205"/>
      <c r="J316" s="205"/>
      <c r="K316" s="205"/>
      <c r="L316" s="205"/>
      <c r="M316" s="206">
        <v>-315791.78999999998</v>
      </c>
      <c r="N316" s="206">
        <v>-315791.78999999998</v>
      </c>
      <c r="O316" s="206">
        <v>-315791.78999999998</v>
      </c>
    </row>
    <row r="317" spans="1:15" s="3" customFormat="1" x14ac:dyDescent="0.2">
      <c r="A317" s="208"/>
      <c r="B317" s="205" t="s">
        <v>265</v>
      </c>
      <c r="C317" s="208"/>
      <c r="D317" s="205"/>
      <c r="E317" s="205"/>
      <c r="F317" s="205" t="s">
        <v>42</v>
      </c>
      <c r="G317" s="205"/>
      <c r="H317" s="205"/>
      <c r="I317" s="205"/>
      <c r="J317" s="205"/>
      <c r="K317" s="205"/>
      <c r="L317" s="205"/>
      <c r="M317" s="206">
        <v>-186571</v>
      </c>
      <c r="N317" s="206">
        <v>-186571</v>
      </c>
      <c r="O317" s="206">
        <v>-186571</v>
      </c>
    </row>
    <row r="318" spans="1:15" s="3" customFormat="1" x14ac:dyDescent="0.2">
      <c r="A318" s="208"/>
      <c r="B318" s="205" t="s">
        <v>265</v>
      </c>
      <c r="C318" s="208"/>
      <c r="D318" s="205"/>
      <c r="E318" s="205"/>
      <c r="F318" s="205" t="s">
        <v>38</v>
      </c>
      <c r="G318" s="205"/>
      <c r="H318" s="205"/>
      <c r="I318" s="205"/>
      <c r="J318" s="205"/>
      <c r="K318" s="205"/>
      <c r="L318" s="205"/>
      <c r="M318" s="206">
        <v>-4628</v>
      </c>
      <c r="N318" s="206">
        <v>-4628</v>
      </c>
      <c r="O318" s="206">
        <v>-4628</v>
      </c>
    </row>
    <row r="319" spans="1:15" s="3" customFormat="1" x14ac:dyDescent="0.2">
      <c r="A319" s="208"/>
      <c r="B319" s="205" t="s">
        <v>265</v>
      </c>
      <c r="C319" s="208"/>
      <c r="D319" s="205"/>
      <c r="E319" s="205"/>
      <c r="F319" s="205" t="s">
        <v>736</v>
      </c>
      <c r="G319" s="205"/>
      <c r="H319" s="205"/>
      <c r="I319" s="205"/>
      <c r="J319" s="205"/>
      <c r="K319" s="205"/>
      <c r="L319" s="205"/>
      <c r="M319" s="206">
        <v>-229158.34</v>
      </c>
      <c r="N319" s="206">
        <v>-229158.34</v>
      </c>
      <c r="O319" s="206">
        <v>-229158.34</v>
      </c>
    </row>
    <row r="320" spans="1:15" s="3" customFormat="1" x14ac:dyDescent="0.2">
      <c r="A320" s="208"/>
      <c r="B320" s="205" t="s">
        <v>265</v>
      </c>
      <c r="C320" s="208"/>
      <c r="D320" s="205"/>
      <c r="E320" s="205"/>
      <c r="F320" s="205" t="s">
        <v>1075</v>
      </c>
      <c r="G320" s="205"/>
      <c r="H320" s="205"/>
      <c r="I320" s="205"/>
      <c r="J320" s="205"/>
      <c r="K320" s="205"/>
      <c r="L320" s="205"/>
      <c r="M320" s="206">
        <v>-228478.75</v>
      </c>
      <c r="N320" s="206">
        <v>-228478.75</v>
      </c>
      <c r="O320" s="206">
        <v>-228478.75</v>
      </c>
    </row>
    <row r="321" spans="1:15" s="3" customFormat="1" x14ac:dyDescent="0.2">
      <c r="A321" s="208"/>
      <c r="B321" s="205" t="s">
        <v>266</v>
      </c>
      <c r="C321" s="208"/>
      <c r="D321" s="205"/>
      <c r="E321" s="205"/>
      <c r="F321" s="205" t="s">
        <v>1025</v>
      </c>
      <c r="G321" s="205"/>
      <c r="H321" s="205"/>
      <c r="I321" s="205"/>
      <c r="J321" s="205"/>
      <c r="K321" s="205"/>
      <c r="L321" s="205"/>
      <c r="M321" s="206">
        <v>-47278.38</v>
      </c>
      <c r="N321" s="206">
        <v>-47278.38</v>
      </c>
      <c r="O321" s="206">
        <v>-47278.38</v>
      </c>
    </row>
    <row r="322" spans="1:15" s="3" customFormat="1" x14ac:dyDescent="0.2">
      <c r="A322" s="208"/>
      <c r="B322" s="205" t="s">
        <v>267</v>
      </c>
      <c r="C322" s="208"/>
      <c r="D322" s="205"/>
      <c r="E322" s="205"/>
      <c r="F322" s="205" t="s">
        <v>724</v>
      </c>
      <c r="G322" s="205"/>
      <c r="H322" s="205"/>
      <c r="I322" s="205"/>
      <c r="J322" s="205"/>
      <c r="K322" s="205"/>
      <c r="L322" s="205"/>
      <c r="M322" s="206">
        <v>-52335.03</v>
      </c>
      <c r="N322" s="206">
        <v>-52335.03</v>
      </c>
      <c r="O322" s="206">
        <v>-52335.03</v>
      </c>
    </row>
    <row r="323" spans="1:15" s="3" customFormat="1" x14ac:dyDescent="0.2">
      <c r="A323" s="208"/>
      <c r="B323" s="205" t="s">
        <v>267</v>
      </c>
      <c r="C323" s="208"/>
      <c r="D323" s="205"/>
      <c r="E323" s="205"/>
      <c r="F323" s="205" t="s">
        <v>268</v>
      </c>
      <c r="G323" s="205"/>
      <c r="H323" s="205"/>
      <c r="I323" s="205"/>
      <c r="J323" s="205"/>
      <c r="K323" s="205"/>
      <c r="L323" s="205"/>
      <c r="M323" s="206">
        <v>-27902.720000000001</v>
      </c>
      <c r="N323" s="206">
        <v>-27902.720000000001</v>
      </c>
      <c r="O323" s="206">
        <v>-27902.720000000001</v>
      </c>
    </row>
    <row r="324" spans="1:15" s="3" customFormat="1" x14ac:dyDescent="0.2">
      <c r="A324" s="208"/>
      <c r="B324" s="205" t="s">
        <v>267</v>
      </c>
      <c r="C324" s="208"/>
      <c r="D324" s="205"/>
      <c r="E324" s="205"/>
      <c r="F324" s="205" t="s">
        <v>66</v>
      </c>
      <c r="G324" s="205"/>
      <c r="H324" s="205"/>
      <c r="I324" s="205"/>
      <c r="J324" s="205"/>
      <c r="K324" s="205"/>
      <c r="L324" s="205"/>
      <c r="M324" s="206">
        <v>-18868</v>
      </c>
      <c r="N324" s="206">
        <v>-18868</v>
      </c>
      <c r="O324" s="206">
        <v>-18868</v>
      </c>
    </row>
    <row r="325" spans="1:15" s="3" customFormat="1" x14ac:dyDescent="0.2">
      <c r="A325" s="208"/>
      <c r="B325" s="205" t="s">
        <v>275</v>
      </c>
      <c r="C325" s="208"/>
      <c r="D325" s="205"/>
      <c r="E325" s="205"/>
      <c r="F325" s="205" t="s">
        <v>724</v>
      </c>
      <c r="G325" s="205"/>
      <c r="H325" s="205"/>
      <c r="I325" s="205"/>
      <c r="J325" s="205"/>
      <c r="K325" s="205"/>
      <c r="L325" s="205"/>
      <c r="M325" s="206">
        <v>-100000</v>
      </c>
      <c r="N325" s="206">
        <v>-100000</v>
      </c>
      <c r="O325" s="206">
        <v>-100000</v>
      </c>
    </row>
    <row r="326" spans="1:15" s="3" customFormat="1" x14ac:dyDescent="0.2">
      <c r="A326" s="208"/>
      <c r="B326" s="205" t="s">
        <v>276</v>
      </c>
      <c r="C326" s="208"/>
      <c r="D326" s="205"/>
      <c r="E326" s="205"/>
      <c r="F326" s="205" t="s">
        <v>113</v>
      </c>
      <c r="G326" s="205"/>
      <c r="H326" s="205"/>
      <c r="I326" s="205"/>
      <c r="J326" s="205"/>
      <c r="K326" s="205"/>
      <c r="L326" s="205"/>
      <c r="M326" s="206">
        <v>-46500</v>
      </c>
      <c r="N326" s="206">
        <v>-46500</v>
      </c>
      <c r="O326" s="206">
        <v>-46500</v>
      </c>
    </row>
    <row r="327" spans="1:15" s="3" customFormat="1" x14ac:dyDescent="0.2">
      <c r="A327" s="208"/>
      <c r="B327" s="205" t="s">
        <v>279</v>
      </c>
      <c r="C327" s="208"/>
      <c r="D327" s="205"/>
      <c r="E327" s="205"/>
      <c r="F327" s="205" t="s">
        <v>723</v>
      </c>
      <c r="G327" s="205"/>
      <c r="H327" s="205"/>
      <c r="I327" s="205"/>
      <c r="J327" s="205"/>
      <c r="K327" s="205"/>
      <c r="L327" s="205"/>
      <c r="M327" s="206">
        <v>-232483.92</v>
      </c>
      <c r="N327" s="206">
        <v>-232483.92</v>
      </c>
      <c r="O327" s="206">
        <v>-232483.92</v>
      </c>
    </row>
    <row r="328" spans="1:15" s="3" customFormat="1" x14ac:dyDescent="0.2">
      <c r="A328" s="208"/>
      <c r="B328" s="205" t="s">
        <v>279</v>
      </c>
      <c r="C328" s="208"/>
      <c r="D328" s="205"/>
      <c r="E328" s="205"/>
      <c r="F328" s="205" t="s">
        <v>64</v>
      </c>
      <c r="G328" s="205"/>
      <c r="H328" s="205"/>
      <c r="I328" s="205"/>
      <c r="J328" s="205"/>
      <c r="K328" s="205"/>
      <c r="L328" s="205"/>
      <c r="M328" s="206">
        <v>-36937.39</v>
      </c>
      <c r="N328" s="206">
        <v>-36937.39</v>
      </c>
      <c r="O328" s="206">
        <v>-36937.39</v>
      </c>
    </row>
    <row r="329" spans="1:15" s="3" customFormat="1" x14ac:dyDescent="0.2">
      <c r="A329" s="208"/>
      <c r="B329" s="205" t="s">
        <v>279</v>
      </c>
      <c r="C329" s="208"/>
      <c r="D329" s="205"/>
      <c r="E329" s="205"/>
      <c r="F329" s="205" t="s">
        <v>725</v>
      </c>
      <c r="G329" s="205"/>
      <c r="H329" s="205"/>
      <c r="I329" s="205"/>
      <c r="J329" s="205"/>
      <c r="K329" s="205"/>
      <c r="L329" s="205"/>
      <c r="M329" s="206">
        <v>-71128.600000000006</v>
      </c>
      <c r="N329" s="206">
        <v>-71128.600000000006</v>
      </c>
      <c r="O329" s="206">
        <v>-71128.600000000006</v>
      </c>
    </row>
    <row r="330" spans="1:15" s="3" customFormat="1" x14ac:dyDescent="0.2">
      <c r="A330" s="208"/>
      <c r="B330" s="205" t="s">
        <v>1136</v>
      </c>
      <c r="C330" s="208"/>
      <c r="D330" s="205"/>
      <c r="E330" s="205"/>
      <c r="F330" s="205" t="s">
        <v>728</v>
      </c>
      <c r="G330" s="205"/>
      <c r="H330" s="205"/>
      <c r="I330" s="205"/>
      <c r="J330" s="205"/>
      <c r="K330" s="205"/>
      <c r="L330" s="205"/>
      <c r="M330" s="206">
        <v>-840088.11</v>
      </c>
      <c r="N330" s="206">
        <v>-840088.11</v>
      </c>
      <c r="O330" s="206">
        <v>-840088.11</v>
      </c>
    </row>
    <row r="331" spans="1:15" s="3" customFormat="1" x14ac:dyDescent="0.2">
      <c r="A331" s="208"/>
      <c r="B331" s="205" t="s">
        <v>1136</v>
      </c>
      <c r="C331" s="208"/>
      <c r="D331" s="205"/>
      <c r="E331" s="205"/>
      <c r="F331" s="205" t="s">
        <v>729</v>
      </c>
      <c r="G331" s="205"/>
      <c r="H331" s="205"/>
      <c r="I331" s="205"/>
      <c r="J331" s="205"/>
      <c r="K331" s="205"/>
      <c r="L331" s="205"/>
      <c r="M331" s="206">
        <v>-297741.08</v>
      </c>
      <c r="N331" s="206">
        <v>-297741.08</v>
      </c>
      <c r="O331" s="206">
        <v>-297741.08</v>
      </c>
    </row>
    <row r="332" spans="1:15" s="3" customFormat="1" x14ac:dyDescent="0.2">
      <c r="A332" s="208"/>
      <c r="B332" s="205" t="s">
        <v>280</v>
      </c>
      <c r="C332" s="208"/>
      <c r="D332" s="205"/>
      <c r="E332" s="205"/>
      <c r="F332" s="205" t="s">
        <v>281</v>
      </c>
      <c r="G332" s="205"/>
      <c r="H332" s="205"/>
      <c r="I332" s="205"/>
      <c r="J332" s="205"/>
      <c r="K332" s="205"/>
      <c r="L332" s="205"/>
      <c r="M332" s="206">
        <v>-3816976</v>
      </c>
      <c r="N332" s="206">
        <v>-3816976</v>
      </c>
      <c r="O332" s="206">
        <v>-3816976</v>
      </c>
    </row>
    <row r="333" spans="1:15" s="3" customFormat="1" x14ac:dyDescent="0.2">
      <c r="A333" s="208"/>
      <c r="B333" s="205" t="s">
        <v>280</v>
      </c>
      <c r="C333" s="208"/>
      <c r="D333" s="205"/>
      <c r="E333" s="205"/>
      <c r="F333" s="205" t="s">
        <v>40</v>
      </c>
      <c r="G333" s="205"/>
      <c r="H333" s="205"/>
      <c r="I333" s="205"/>
      <c r="J333" s="205"/>
      <c r="K333" s="205"/>
      <c r="L333" s="205"/>
      <c r="M333" s="206">
        <v>-340845.36</v>
      </c>
      <c r="N333" s="206">
        <v>-340845.36</v>
      </c>
      <c r="O333" s="206">
        <v>-340845.36</v>
      </c>
    </row>
    <row r="334" spans="1:15" s="3" customFormat="1" x14ac:dyDescent="0.2">
      <c r="A334" s="208"/>
      <c r="B334" s="205" t="s">
        <v>280</v>
      </c>
      <c r="C334" s="208"/>
      <c r="D334" s="205"/>
      <c r="E334" s="205"/>
      <c r="F334" s="205" t="s">
        <v>1187</v>
      </c>
      <c r="G334" s="205"/>
      <c r="H334" s="205"/>
      <c r="I334" s="205"/>
      <c r="J334" s="205"/>
      <c r="K334" s="205"/>
      <c r="L334" s="205"/>
      <c r="M334" s="206">
        <v>-2507760</v>
      </c>
      <c r="N334" s="206">
        <v>-2507760</v>
      </c>
      <c r="O334" s="206">
        <v>-2507760</v>
      </c>
    </row>
    <row r="335" spans="1:15" s="3" customFormat="1" x14ac:dyDescent="0.2">
      <c r="A335" s="208"/>
      <c r="B335" s="205" t="s">
        <v>285</v>
      </c>
      <c r="C335" s="208"/>
      <c r="D335" s="205"/>
      <c r="E335" s="205"/>
      <c r="F335" s="205" t="s">
        <v>42</v>
      </c>
      <c r="G335" s="205"/>
      <c r="H335" s="205"/>
      <c r="I335" s="205"/>
      <c r="J335" s="205"/>
      <c r="K335" s="205"/>
      <c r="L335" s="205"/>
      <c r="M335" s="206">
        <v>-3278285.78</v>
      </c>
      <c r="N335" s="206">
        <v>-3278285.78</v>
      </c>
      <c r="O335" s="206">
        <v>-3278285.78</v>
      </c>
    </row>
    <row r="336" spans="1:15" s="3" customFormat="1" x14ac:dyDescent="0.2">
      <c r="A336" s="208"/>
      <c r="B336" s="205" t="s">
        <v>285</v>
      </c>
      <c r="C336" s="208"/>
      <c r="D336" s="205"/>
      <c r="E336" s="205"/>
      <c r="F336" s="205" t="s">
        <v>39</v>
      </c>
      <c r="G336" s="205"/>
      <c r="H336" s="205"/>
      <c r="I336" s="205"/>
      <c r="J336" s="205"/>
      <c r="K336" s="205"/>
      <c r="L336" s="205"/>
      <c r="M336" s="206">
        <v>-3192908.84</v>
      </c>
      <c r="N336" s="206">
        <v>-3192908.84</v>
      </c>
      <c r="O336" s="206">
        <v>-3192908.84</v>
      </c>
    </row>
    <row r="337" spans="1:15" s="3" customFormat="1" x14ac:dyDescent="0.2">
      <c r="A337" s="208"/>
      <c r="B337" s="205" t="s">
        <v>285</v>
      </c>
      <c r="C337" s="208"/>
      <c r="D337" s="205"/>
      <c r="E337" s="205"/>
      <c r="F337" s="205" t="s">
        <v>724</v>
      </c>
      <c r="G337" s="205"/>
      <c r="H337" s="205"/>
      <c r="I337" s="205"/>
      <c r="J337" s="205"/>
      <c r="K337" s="205"/>
      <c r="L337" s="205"/>
      <c r="M337" s="206">
        <v>-2839095.67</v>
      </c>
      <c r="N337" s="206">
        <v>-2839095.67</v>
      </c>
      <c r="O337" s="206">
        <v>-2839095.67</v>
      </c>
    </row>
    <row r="338" spans="1:15" s="3" customFormat="1" x14ac:dyDescent="0.2">
      <c r="A338" s="208"/>
      <c r="B338" s="205" t="s">
        <v>285</v>
      </c>
      <c r="C338" s="208"/>
      <c r="D338" s="205"/>
      <c r="E338" s="205"/>
      <c r="F338" s="205" t="s">
        <v>64</v>
      </c>
      <c r="G338" s="205"/>
      <c r="H338" s="205"/>
      <c r="I338" s="205"/>
      <c r="J338" s="205"/>
      <c r="K338" s="205"/>
      <c r="L338" s="205"/>
      <c r="M338" s="206">
        <v>-481955.29</v>
      </c>
      <c r="N338" s="206">
        <v>-481955.29</v>
      </c>
      <c r="O338" s="206">
        <v>-481955.29</v>
      </c>
    </row>
    <row r="339" spans="1:15" s="3" customFormat="1" x14ac:dyDescent="0.2">
      <c r="A339" s="208"/>
      <c r="B339" s="205" t="s">
        <v>285</v>
      </c>
      <c r="C339" s="208"/>
      <c r="D339" s="205"/>
      <c r="E339" s="205"/>
      <c r="F339" s="205" t="s">
        <v>725</v>
      </c>
      <c r="G339" s="205"/>
      <c r="H339" s="205"/>
      <c r="I339" s="205"/>
      <c r="J339" s="205"/>
      <c r="K339" s="205"/>
      <c r="L339" s="205"/>
      <c r="M339" s="206">
        <v>-828931.38</v>
      </c>
      <c r="N339" s="206">
        <v>-828931.38</v>
      </c>
      <c r="O339" s="206">
        <v>-828931.38</v>
      </c>
    </row>
    <row r="340" spans="1:15" s="3" customFormat="1" x14ac:dyDescent="0.2">
      <c r="A340" s="208"/>
      <c r="B340" s="205" t="s">
        <v>292</v>
      </c>
      <c r="C340" s="208"/>
      <c r="D340" s="205"/>
      <c r="E340" s="205"/>
      <c r="F340" s="205" t="s">
        <v>104</v>
      </c>
      <c r="G340" s="205"/>
      <c r="H340" s="205"/>
      <c r="I340" s="205"/>
      <c r="J340" s="205"/>
      <c r="K340" s="205"/>
      <c r="L340" s="205"/>
      <c r="M340" s="206">
        <v>-384334.6</v>
      </c>
      <c r="N340" s="206">
        <v>-384334.6</v>
      </c>
      <c r="O340" s="206">
        <v>-384334.6</v>
      </c>
    </row>
    <row r="341" spans="1:15" s="3" customFormat="1" x14ac:dyDescent="0.2">
      <c r="A341" s="208"/>
      <c r="B341" s="205" t="s">
        <v>292</v>
      </c>
      <c r="C341" s="208"/>
      <c r="D341" s="205"/>
      <c r="E341" s="205"/>
      <c r="F341" s="205" t="s">
        <v>38</v>
      </c>
      <c r="G341" s="205"/>
      <c r="H341" s="205"/>
      <c r="I341" s="205"/>
      <c r="J341" s="205"/>
      <c r="K341" s="205"/>
      <c r="L341" s="205"/>
      <c r="M341" s="206">
        <v>-552658.24</v>
      </c>
      <c r="N341" s="206">
        <v>-552658.24</v>
      </c>
      <c r="O341" s="206">
        <v>-552658.24</v>
      </c>
    </row>
    <row r="342" spans="1:15" s="3" customFormat="1" x14ac:dyDescent="0.2">
      <c r="A342" s="208"/>
      <c r="B342" s="205" t="s">
        <v>296</v>
      </c>
      <c r="C342" s="208"/>
      <c r="D342" s="205"/>
      <c r="E342" s="205"/>
      <c r="F342" s="205" t="s">
        <v>738</v>
      </c>
      <c r="G342" s="205"/>
      <c r="H342" s="205"/>
      <c r="I342" s="205"/>
      <c r="J342" s="205"/>
      <c r="K342" s="205"/>
      <c r="L342" s="205"/>
      <c r="M342" s="206">
        <v>-33289.65</v>
      </c>
      <c r="N342" s="206">
        <v>-33289.65</v>
      </c>
      <c r="O342" s="206">
        <v>-33289.65</v>
      </c>
    </row>
    <row r="343" spans="1:15" s="3" customFormat="1" x14ac:dyDescent="0.2">
      <c r="A343" s="208"/>
      <c r="B343" s="205" t="s">
        <v>296</v>
      </c>
      <c r="C343" s="208"/>
      <c r="D343" s="205"/>
      <c r="E343" s="205"/>
      <c r="F343" s="205" t="s">
        <v>724</v>
      </c>
      <c r="G343" s="205"/>
      <c r="H343" s="205"/>
      <c r="I343" s="205"/>
      <c r="J343" s="205"/>
      <c r="K343" s="205"/>
      <c r="L343" s="205"/>
      <c r="M343" s="206">
        <v>-384036.65</v>
      </c>
      <c r="N343" s="206">
        <v>-384036.65</v>
      </c>
      <c r="O343" s="206">
        <v>-384036.65</v>
      </c>
    </row>
    <row r="344" spans="1:15" s="3" customFormat="1" x14ac:dyDescent="0.2">
      <c r="A344" s="208"/>
      <c r="B344" s="205" t="s">
        <v>296</v>
      </c>
      <c r="C344" s="208"/>
      <c r="D344" s="205"/>
      <c r="E344" s="205"/>
      <c r="F344" s="205" t="s">
        <v>64</v>
      </c>
      <c r="G344" s="205"/>
      <c r="H344" s="205"/>
      <c r="I344" s="205"/>
      <c r="J344" s="205"/>
      <c r="K344" s="205"/>
      <c r="L344" s="205"/>
      <c r="M344" s="206">
        <v>-163464.43</v>
      </c>
      <c r="N344" s="206">
        <v>-163464.43</v>
      </c>
      <c r="O344" s="206">
        <v>-163464.43</v>
      </c>
    </row>
    <row r="345" spans="1:15" s="3" customFormat="1" x14ac:dyDescent="0.2">
      <c r="A345" s="208"/>
      <c r="B345" s="205" t="s">
        <v>315</v>
      </c>
      <c r="C345" s="208"/>
      <c r="D345" s="205"/>
      <c r="E345" s="205"/>
      <c r="F345" s="205" t="s">
        <v>42</v>
      </c>
      <c r="G345" s="205"/>
      <c r="H345" s="205"/>
      <c r="I345" s="205"/>
      <c r="J345" s="205"/>
      <c r="K345" s="205"/>
      <c r="L345" s="205"/>
      <c r="M345" s="206">
        <v>-294350.56</v>
      </c>
      <c r="N345" s="206">
        <v>-294350.56</v>
      </c>
      <c r="O345" s="206">
        <v>-294350.56</v>
      </c>
    </row>
    <row r="346" spans="1:15" s="3" customFormat="1" x14ac:dyDescent="0.2">
      <c r="A346" s="208"/>
      <c r="B346" s="205" t="s">
        <v>315</v>
      </c>
      <c r="C346" s="208"/>
      <c r="D346" s="205"/>
      <c r="E346" s="205"/>
      <c r="F346" s="205" t="s">
        <v>316</v>
      </c>
      <c r="G346" s="205"/>
      <c r="H346" s="205"/>
      <c r="I346" s="205"/>
      <c r="J346" s="205"/>
      <c r="K346" s="205"/>
      <c r="L346" s="205"/>
      <c r="M346" s="206">
        <v>-40659.9</v>
      </c>
      <c r="N346" s="206">
        <v>-40659.9</v>
      </c>
      <c r="O346" s="206">
        <v>-40659.9</v>
      </c>
    </row>
    <row r="347" spans="1:15" s="3" customFormat="1" x14ac:dyDescent="0.2">
      <c r="A347" s="208"/>
      <c r="B347" s="205" t="s">
        <v>315</v>
      </c>
      <c r="C347" s="208"/>
      <c r="D347" s="205"/>
      <c r="E347" s="205"/>
      <c r="F347" s="205" t="s">
        <v>38</v>
      </c>
      <c r="G347" s="205"/>
      <c r="H347" s="205"/>
      <c r="I347" s="205"/>
      <c r="J347" s="205"/>
      <c r="K347" s="205"/>
      <c r="L347" s="205"/>
      <c r="M347" s="206">
        <v>-93790.22</v>
      </c>
      <c r="N347" s="206">
        <v>-93790.22</v>
      </c>
      <c r="O347" s="206">
        <v>-93790.22</v>
      </c>
    </row>
    <row r="348" spans="1:15" s="3" customFormat="1" x14ac:dyDescent="0.2">
      <c r="A348" s="208"/>
      <c r="B348" s="205" t="s">
        <v>315</v>
      </c>
      <c r="C348" s="208"/>
      <c r="D348" s="205"/>
      <c r="E348" s="205"/>
      <c r="F348" s="205" t="s">
        <v>39</v>
      </c>
      <c r="G348" s="205"/>
      <c r="H348" s="205"/>
      <c r="I348" s="205"/>
      <c r="J348" s="205"/>
      <c r="K348" s="205"/>
      <c r="L348" s="205"/>
      <c r="M348" s="206">
        <v>-93550</v>
      </c>
      <c r="N348" s="206">
        <v>-93550</v>
      </c>
      <c r="O348" s="206">
        <v>-93550</v>
      </c>
    </row>
    <row r="349" spans="1:15" s="3" customFormat="1" x14ac:dyDescent="0.2">
      <c r="A349" s="208"/>
      <c r="B349" s="205" t="s">
        <v>315</v>
      </c>
      <c r="C349" s="208"/>
      <c r="D349" s="205"/>
      <c r="E349" s="205"/>
      <c r="F349" s="205" t="s">
        <v>724</v>
      </c>
      <c r="G349" s="205"/>
      <c r="H349" s="205"/>
      <c r="I349" s="205"/>
      <c r="J349" s="205"/>
      <c r="K349" s="205"/>
      <c r="L349" s="205"/>
      <c r="M349" s="206">
        <v>-273689.46999999997</v>
      </c>
      <c r="N349" s="206">
        <v>-273689.46999999997</v>
      </c>
      <c r="O349" s="206">
        <v>-273689.46999999997</v>
      </c>
    </row>
    <row r="350" spans="1:15" s="3" customFormat="1" x14ac:dyDescent="0.2">
      <c r="A350" s="208"/>
      <c r="B350" s="205" t="s">
        <v>315</v>
      </c>
      <c r="C350" s="208"/>
      <c r="D350" s="205"/>
      <c r="E350" s="205"/>
      <c r="F350" s="205" t="s">
        <v>739</v>
      </c>
      <c r="G350" s="205"/>
      <c r="H350" s="205"/>
      <c r="I350" s="205"/>
      <c r="J350" s="205"/>
      <c r="K350" s="205"/>
      <c r="L350" s="205"/>
      <c r="M350" s="206">
        <v>-251493.6</v>
      </c>
      <c r="N350" s="206">
        <v>-251493.6</v>
      </c>
      <c r="O350" s="206">
        <v>-251493.6</v>
      </c>
    </row>
    <row r="351" spans="1:15" s="3" customFormat="1" x14ac:dyDescent="0.2">
      <c r="A351" s="208"/>
      <c r="B351" s="205" t="s">
        <v>315</v>
      </c>
      <c r="C351" s="208"/>
      <c r="D351" s="205"/>
      <c r="E351" s="205"/>
      <c r="F351" s="205" t="s">
        <v>297</v>
      </c>
      <c r="G351" s="205"/>
      <c r="H351" s="205"/>
      <c r="I351" s="205"/>
      <c r="J351" s="205"/>
      <c r="K351" s="205"/>
      <c r="L351" s="205"/>
      <c r="M351" s="206">
        <v>-13494.44</v>
      </c>
      <c r="N351" s="206">
        <v>-13494.44</v>
      </c>
      <c r="O351" s="206">
        <v>-13494.44</v>
      </c>
    </row>
    <row r="352" spans="1:15" s="3" customFormat="1" x14ac:dyDescent="0.2">
      <c r="A352" s="208"/>
      <c r="B352" s="205" t="s">
        <v>324</v>
      </c>
      <c r="C352" s="208"/>
      <c r="D352" s="205"/>
      <c r="E352" s="205"/>
      <c r="F352" s="205" t="s">
        <v>325</v>
      </c>
      <c r="G352" s="205"/>
      <c r="H352" s="205"/>
      <c r="I352" s="205"/>
      <c r="J352" s="205"/>
      <c r="K352" s="205"/>
      <c r="L352" s="205"/>
      <c r="M352" s="206">
        <v>-157268.68</v>
      </c>
      <c r="N352" s="206">
        <v>-157268.68</v>
      </c>
      <c r="O352" s="206">
        <v>-157268.68</v>
      </c>
    </row>
    <row r="353" spans="1:15" s="3" customFormat="1" x14ac:dyDescent="0.2">
      <c r="A353" s="208"/>
      <c r="B353" s="205" t="s">
        <v>327</v>
      </c>
      <c r="C353" s="208"/>
      <c r="D353" s="205"/>
      <c r="E353" s="205"/>
      <c r="F353" s="205" t="s">
        <v>725</v>
      </c>
      <c r="G353" s="205"/>
      <c r="H353" s="205"/>
      <c r="I353" s="205"/>
      <c r="J353" s="205"/>
      <c r="K353" s="205"/>
      <c r="L353" s="205"/>
      <c r="M353" s="206">
        <v>-85944.35</v>
      </c>
      <c r="N353" s="206">
        <v>-85944.35</v>
      </c>
      <c r="O353" s="206">
        <v>-85944.35</v>
      </c>
    </row>
    <row r="354" spans="1:15" s="3" customFormat="1" x14ac:dyDescent="0.2">
      <c r="A354" s="208"/>
      <c r="B354" s="205" t="s">
        <v>328</v>
      </c>
      <c r="C354" s="208"/>
      <c r="D354" s="205"/>
      <c r="E354" s="205"/>
      <c r="F354" s="205" t="s">
        <v>38</v>
      </c>
      <c r="G354" s="205"/>
      <c r="H354" s="205"/>
      <c r="I354" s="205"/>
      <c r="J354" s="205"/>
      <c r="K354" s="205"/>
      <c r="L354" s="205"/>
      <c r="M354" s="206">
        <v>-2256</v>
      </c>
      <c r="N354" s="206">
        <v>-2256</v>
      </c>
      <c r="O354" s="206">
        <v>-2256</v>
      </c>
    </row>
    <row r="355" spans="1:15" s="3" customFormat="1" x14ac:dyDescent="0.2">
      <c r="A355" s="208"/>
      <c r="B355" s="205" t="s">
        <v>328</v>
      </c>
      <c r="C355" s="208"/>
      <c r="D355" s="205"/>
      <c r="E355" s="205"/>
      <c r="F355" s="205" t="s">
        <v>39</v>
      </c>
      <c r="G355" s="205"/>
      <c r="H355" s="205"/>
      <c r="I355" s="205"/>
      <c r="J355" s="205"/>
      <c r="K355" s="205"/>
      <c r="L355" s="205"/>
      <c r="M355" s="206">
        <v>-50000</v>
      </c>
      <c r="N355" s="206">
        <v>-50000</v>
      </c>
      <c r="O355" s="206">
        <v>-50000</v>
      </c>
    </row>
    <row r="356" spans="1:15" s="3" customFormat="1" x14ac:dyDescent="0.2">
      <c r="A356" s="208"/>
      <c r="B356" s="205"/>
      <c r="C356" s="208"/>
      <c r="D356" s="205"/>
      <c r="E356" s="205"/>
      <c r="F356" s="205"/>
      <c r="G356" s="205"/>
      <c r="H356" s="205"/>
      <c r="I356" s="205"/>
      <c r="J356" s="205"/>
      <c r="K356" s="205"/>
      <c r="L356" s="205"/>
      <c r="M356" s="206"/>
      <c r="N356" s="206"/>
      <c r="O356" s="206"/>
    </row>
    <row r="357" spans="1:15" s="3" customFormat="1" x14ac:dyDescent="0.2">
      <c r="A357" s="208"/>
      <c r="B357" s="205"/>
      <c r="C357" s="208"/>
      <c r="D357" s="205"/>
      <c r="E357" s="205"/>
      <c r="F357" s="205"/>
      <c r="G357" s="205"/>
      <c r="H357" s="205"/>
      <c r="I357" s="205"/>
      <c r="J357" s="205"/>
      <c r="K357" s="205"/>
      <c r="L357" s="205"/>
      <c r="M357" s="206"/>
      <c r="N357" s="206"/>
      <c r="O357" s="206"/>
    </row>
    <row r="358" spans="1:15" s="3" customFormat="1" ht="12.75" x14ac:dyDescent="0.2">
      <c r="A358" s="209"/>
      <c r="B358" s="209"/>
      <c r="C358" s="209"/>
      <c r="D358" s="209"/>
      <c r="E358" s="209"/>
      <c r="F358" s="209"/>
      <c r="G358" s="210"/>
      <c r="H358" s="210"/>
      <c r="I358" s="210"/>
      <c r="J358" s="210"/>
      <c r="K358" s="210"/>
      <c r="L358" s="210"/>
      <c r="M358" s="210"/>
      <c r="N358" s="210"/>
      <c r="O358" s="210"/>
    </row>
    <row r="359" spans="1:15" s="3" customFormat="1" x14ac:dyDescent="0.2">
      <c r="A359" s="208"/>
      <c r="B359" s="205"/>
      <c r="C359" s="208"/>
      <c r="D359" s="205"/>
      <c r="E359" s="205"/>
      <c r="F359" s="205"/>
      <c r="G359" s="205"/>
      <c r="H359" s="205"/>
      <c r="I359" s="205"/>
      <c r="J359" s="205"/>
      <c r="K359" s="205"/>
      <c r="L359" s="205"/>
      <c r="M359" s="206"/>
      <c r="N359" s="206"/>
      <c r="O359" s="206"/>
    </row>
    <row r="360" spans="1:15" s="3" customFormat="1" x14ac:dyDescent="0.2">
      <c r="A360" s="208"/>
      <c r="B360" s="205"/>
      <c r="C360" s="208"/>
      <c r="D360" s="205"/>
      <c r="E360" s="205"/>
      <c r="F360" s="205"/>
      <c r="G360" s="205"/>
      <c r="H360" s="205"/>
      <c r="I360" s="205"/>
      <c r="J360" s="205"/>
      <c r="K360" s="205"/>
      <c r="L360" s="205"/>
      <c r="M360" s="206"/>
      <c r="N360" s="206"/>
      <c r="O360" s="206"/>
    </row>
    <row r="361" spans="1:15" s="3" customFormat="1" x14ac:dyDescent="0.2">
      <c r="A361" s="208"/>
      <c r="B361" s="205"/>
      <c r="C361" s="208"/>
      <c r="D361" s="205"/>
      <c r="E361" s="205"/>
      <c r="F361" s="205"/>
      <c r="G361" s="205"/>
      <c r="H361" s="205"/>
      <c r="I361" s="205"/>
      <c r="J361" s="205"/>
      <c r="K361" s="205"/>
      <c r="L361" s="205"/>
      <c r="M361" s="206"/>
      <c r="N361" s="206"/>
      <c r="O361" s="206"/>
    </row>
    <row r="362" spans="1:15" s="3" customFormat="1" ht="12.75" x14ac:dyDescent="0.2">
      <c r="A362" s="209" t="s">
        <v>14</v>
      </c>
      <c r="B362" s="209"/>
      <c r="C362" s="209"/>
      <c r="D362" s="209"/>
      <c r="E362" s="209"/>
      <c r="F362" s="209"/>
      <c r="G362" s="210">
        <v>110050942.44</v>
      </c>
      <c r="H362" s="210">
        <v>38076333.920000002</v>
      </c>
      <c r="I362" s="210">
        <v>19870836.23</v>
      </c>
      <c r="J362" s="210">
        <v>5358</v>
      </c>
      <c r="K362" s="210">
        <v>7037096.3600000003</v>
      </c>
      <c r="L362" s="210">
        <v>-5248121.1100000003</v>
      </c>
      <c r="M362" s="210">
        <v>-76539055.590000004</v>
      </c>
      <c r="N362" s="210">
        <v>93253390.25</v>
      </c>
      <c r="O362" s="210">
        <v>93253390.25</v>
      </c>
    </row>
    <row r="363" spans="1:15" s="3" customFormat="1" ht="9.75" customHeight="1" x14ac:dyDescent="0.2">
      <c r="A363" s="208"/>
      <c r="B363" s="205"/>
      <c r="C363" s="208"/>
      <c r="D363" s="205"/>
      <c r="E363" s="205"/>
      <c r="F363" s="205"/>
      <c r="G363" s="205"/>
      <c r="H363" s="205"/>
      <c r="I363" s="205"/>
      <c r="J363" s="205"/>
      <c r="K363" s="205"/>
      <c r="L363" s="205"/>
      <c r="M363" s="206"/>
      <c r="N363" s="206"/>
      <c r="O363" s="206"/>
    </row>
    <row r="364" spans="1:15" s="3" customFormat="1" x14ac:dyDescent="0.2">
      <c r="A364" s="208"/>
      <c r="B364" s="205"/>
      <c r="C364" s="208"/>
      <c r="D364" s="205"/>
      <c r="E364" s="205"/>
      <c r="F364" s="205"/>
      <c r="G364" s="205"/>
      <c r="H364" s="205"/>
      <c r="I364" s="205"/>
      <c r="J364" s="205"/>
      <c r="K364" s="205"/>
      <c r="L364" s="205"/>
      <c r="M364" s="206"/>
      <c r="N364" s="206"/>
      <c r="O364" s="206"/>
    </row>
    <row r="365" spans="1:15" s="3" customFormat="1" x14ac:dyDescent="0.2">
      <c r="A365" s="208"/>
      <c r="B365" s="205"/>
      <c r="C365" s="208"/>
      <c r="D365" s="205"/>
      <c r="E365" s="205"/>
      <c r="F365" s="205"/>
      <c r="G365" s="205"/>
      <c r="H365" s="205"/>
      <c r="I365" s="205"/>
      <c r="J365" s="205"/>
      <c r="K365" s="205"/>
      <c r="L365" s="205"/>
      <c r="M365" s="206"/>
      <c r="N365" s="206"/>
      <c r="O365" s="206"/>
    </row>
    <row r="366" spans="1:15" s="3" customFormat="1" x14ac:dyDescent="0.2">
      <c r="A366" s="208"/>
      <c r="B366" s="205"/>
      <c r="C366" s="208"/>
      <c r="D366" s="205"/>
      <c r="E366" s="205"/>
      <c r="F366" s="205"/>
      <c r="G366" s="205"/>
      <c r="H366" s="205"/>
      <c r="I366" s="205"/>
      <c r="J366" s="205"/>
      <c r="K366" s="205"/>
      <c r="L366" s="205"/>
      <c r="M366" s="206"/>
      <c r="N366" s="206"/>
      <c r="O366" s="206"/>
    </row>
    <row r="367" spans="1:15" s="3" customFormat="1" x14ac:dyDescent="0.2">
      <c r="A367" s="208"/>
      <c r="B367" s="205"/>
      <c r="C367" s="208"/>
      <c r="D367" s="205"/>
      <c r="E367" s="205"/>
      <c r="F367" s="205"/>
      <c r="G367" s="205"/>
      <c r="H367" s="205"/>
      <c r="I367" s="205"/>
      <c r="J367" s="205"/>
      <c r="K367" s="205"/>
      <c r="L367" s="205"/>
      <c r="M367" s="206"/>
      <c r="N367" s="206"/>
      <c r="O367" s="206"/>
    </row>
    <row r="368" spans="1:15" s="3" customFormat="1" x14ac:dyDescent="0.2">
      <c r="A368" s="208"/>
      <c r="B368" s="205"/>
      <c r="C368" s="208"/>
      <c r="D368" s="205"/>
      <c r="E368" s="205"/>
      <c r="F368" s="205"/>
      <c r="G368" s="205"/>
      <c r="H368" s="205"/>
      <c r="I368" s="205"/>
      <c r="J368" s="205"/>
      <c r="K368" s="205"/>
      <c r="L368" s="205"/>
      <c r="M368" s="206"/>
      <c r="N368" s="206"/>
      <c r="O368" s="206"/>
    </row>
    <row r="369" spans="1:15" s="3" customFormat="1" x14ac:dyDescent="0.2">
      <c r="A369" s="208"/>
      <c r="B369" s="205"/>
      <c r="C369" s="208"/>
      <c r="D369" s="205"/>
      <c r="E369" s="205"/>
      <c r="F369" s="205"/>
      <c r="G369" s="205"/>
      <c r="H369" s="205"/>
      <c r="I369" s="205"/>
      <c r="J369" s="205"/>
      <c r="K369" s="205"/>
      <c r="L369" s="205"/>
      <c r="M369" s="206"/>
      <c r="N369" s="206"/>
      <c r="O369" s="206"/>
    </row>
    <row r="370" spans="1:15" s="3" customFormat="1" x14ac:dyDescent="0.2">
      <c r="A370" s="208"/>
      <c r="B370" s="205"/>
      <c r="C370" s="208"/>
      <c r="D370" s="205"/>
      <c r="E370" s="205"/>
      <c r="F370" s="205"/>
      <c r="G370" s="205"/>
      <c r="H370" s="205"/>
      <c r="I370" s="205"/>
      <c r="J370" s="205"/>
      <c r="K370" s="205"/>
      <c r="L370" s="205"/>
      <c r="M370" s="206"/>
      <c r="N370" s="206"/>
      <c r="O370" s="206"/>
    </row>
    <row r="371" spans="1:15" s="3" customFormat="1" x14ac:dyDescent="0.2">
      <c r="A371" s="208"/>
      <c r="B371" s="205"/>
      <c r="C371" s="208"/>
      <c r="D371" s="205"/>
      <c r="E371" s="205"/>
      <c r="F371" s="205"/>
      <c r="G371" s="205"/>
      <c r="H371" s="205"/>
      <c r="I371" s="205"/>
      <c r="J371" s="205"/>
      <c r="K371" s="205"/>
      <c r="L371" s="205"/>
      <c r="M371" s="206"/>
      <c r="N371" s="206"/>
      <c r="O371" s="206"/>
    </row>
    <row r="372" spans="1:15" s="3" customFormat="1" x14ac:dyDescent="0.2">
      <c r="A372" s="208"/>
      <c r="B372" s="205"/>
      <c r="C372" s="208"/>
      <c r="D372" s="205"/>
      <c r="E372" s="205"/>
      <c r="F372" s="205"/>
      <c r="G372" s="205"/>
      <c r="H372" s="205"/>
      <c r="I372" s="205"/>
      <c r="J372" s="205"/>
      <c r="K372" s="205"/>
      <c r="L372" s="205"/>
      <c r="M372" s="206"/>
      <c r="N372" s="206"/>
      <c r="O372" s="206"/>
    </row>
    <row r="373" spans="1:15" s="3" customFormat="1" x14ac:dyDescent="0.2">
      <c r="A373" s="208"/>
      <c r="B373" s="205"/>
      <c r="C373" s="208"/>
      <c r="D373" s="205"/>
      <c r="E373" s="205"/>
      <c r="F373" s="205"/>
      <c r="G373" s="205"/>
      <c r="H373" s="205"/>
      <c r="I373" s="205"/>
      <c r="J373" s="205"/>
      <c r="K373" s="205"/>
      <c r="L373" s="205"/>
      <c r="M373" s="206"/>
      <c r="N373" s="206"/>
      <c r="O373" s="206"/>
    </row>
    <row r="374" spans="1:15" s="3" customFormat="1" x14ac:dyDescent="0.2">
      <c r="A374" s="208"/>
      <c r="B374" s="205"/>
      <c r="C374" s="208"/>
      <c r="D374" s="205"/>
      <c r="E374" s="205"/>
      <c r="F374" s="205"/>
      <c r="G374" s="205"/>
      <c r="H374" s="205"/>
      <c r="I374" s="205"/>
      <c r="J374" s="205"/>
      <c r="K374" s="205"/>
      <c r="L374" s="205"/>
      <c r="M374" s="206"/>
      <c r="N374" s="206"/>
      <c r="O374" s="206"/>
    </row>
    <row r="375" spans="1:15" s="3" customFormat="1" x14ac:dyDescent="0.2">
      <c r="A375" s="208"/>
      <c r="B375" s="205"/>
      <c r="C375" s="208"/>
      <c r="D375" s="205"/>
      <c r="E375" s="205"/>
      <c r="F375" s="205"/>
      <c r="G375" s="205"/>
      <c r="H375" s="205"/>
      <c r="I375" s="205"/>
      <c r="J375" s="205"/>
      <c r="K375" s="205"/>
      <c r="L375" s="205"/>
      <c r="M375" s="206"/>
      <c r="N375" s="206"/>
      <c r="O375" s="206"/>
    </row>
    <row r="376" spans="1:15" s="3" customFormat="1" x14ac:dyDescent="0.2">
      <c r="A376" s="208"/>
      <c r="B376" s="205"/>
      <c r="C376" s="208"/>
      <c r="D376" s="205"/>
      <c r="E376" s="205"/>
      <c r="F376" s="205"/>
      <c r="G376" s="205"/>
      <c r="H376" s="205"/>
      <c r="I376" s="205"/>
      <c r="J376" s="205"/>
      <c r="K376" s="205"/>
      <c r="L376" s="205"/>
      <c r="M376" s="206"/>
      <c r="N376" s="206"/>
      <c r="O376" s="206"/>
    </row>
    <row r="377" spans="1:15" s="3" customFormat="1" x14ac:dyDescent="0.2">
      <c r="A377" s="208"/>
      <c r="B377" s="205"/>
      <c r="C377" s="208"/>
      <c r="D377" s="205"/>
      <c r="E377" s="205"/>
      <c r="F377" s="205"/>
      <c r="G377" s="205"/>
      <c r="H377" s="205"/>
      <c r="I377" s="205"/>
      <c r="J377" s="205"/>
      <c r="K377" s="205"/>
      <c r="L377" s="205"/>
      <c r="M377" s="206"/>
      <c r="N377" s="206"/>
      <c r="O377" s="206"/>
    </row>
    <row r="378" spans="1:15" s="3" customFormat="1" x14ac:dyDescent="0.2">
      <c r="A378" s="208"/>
      <c r="B378" s="205"/>
      <c r="C378" s="208"/>
      <c r="D378" s="205"/>
      <c r="E378" s="205"/>
      <c r="F378" s="205"/>
      <c r="G378" s="205"/>
      <c r="H378" s="205"/>
      <c r="I378" s="205"/>
      <c r="J378" s="205"/>
      <c r="K378" s="205"/>
      <c r="L378" s="205"/>
      <c r="M378" s="206"/>
      <c r="N378" s="206"/>
      <c r="O378" s="206"/>
    </row>
    <row r="379" spans="1:15" s="3" customFormat="1" x14ac:dyDescent="0.2">
      <c r="A379" s="208"/>
      <c r="B379" s="205"/>
      <c r="C379" s="208"/>
      <c r="D379" s="205"/>
      <c r="E379" s="205"/>
      <c r="F379" s="205"/>
      <c r="G379" s="205"/>
      <c r="H379" s="205"/>
      <c r="I379" s="205"/>
      <c r="J379" s="205"/>
      <c r="K379" s="205"/>
      <c r="L379" s="205"/>
      <c r="M379" s="206"/>
      <c r="N379" s="206"/>
      <c r="O379" s="206"/>
    </row>
    <row r="380" spans="1:15" s="3" customFormat="1" x14ac:dyDescent="0.2">
      <c r="A380" s="208"/>
      <c r="B380" s="205"/>
      <c r="C380" s="208"/>
      <c r="D380" s="205"/>
      <c r="E380" s="205"/>
      <c r="F380" s="205"/>
      <c r="G380" s="205"/>
      <c r="H380" s="205"/>
      <c r="I380" s="205"/>
      <c r="J380" s="205"/>
      <c r="K380" s="205"/>
      <c r="L380" s="205"/>
      <c r="M380" s="206"/>
      <c r="N380" s="206"/>
      <c r="O380" s="206"/>
    </row>
    <row r="381" spans="1:15" s="3" customFormat="1" x14ac:dyDescent="0.2">
      <c r="A381" s="208"/>
      <c r="B381" s="205"/>
      <c r="C381" s="208"/>
      <c r="D381" s="205"/>
      <c r="E381" s="205"/>
      <c r="F381" s="205"/>
      <c r="G381" s="205"/>
      <c r="H381" s="205"/>
      <c r="I381" s="205"/>
      <c r="J381" s="205"/>
      <c r="K381" s="205"/>
      <c r="L381" s="205"/>
      <c r="M381" s="206"/>
      <c r="N381" s="206"/>
      <c r="O381" s="206"/>
    </row>
    <row r="382" spans="1:15" s="3" customFormat="1" x14ac:dyDescent="0.2">
      <c r="A382" s="208"/>
      <c r="B382" s="205"/>
      <c r="C382" s="208"/>
      <c r="D382" s="205"/>
      <c r="E382" s="205"/>
      <c r="F382" s="205"/>
      <c r="G382" s="205"/>
      <c r="H382" s="205"/>
      <c r="I382" s="205"/>
      <c r="J382" s="205"/>
      <c r="K382" s="205"/>
      <c r="L382" s="205"/>
      <c r="M382" s="206"/>
      <c r="N382" s="206"/>
      <c r="O382" s="206"/>
    </row>
    <row r="383" spans="1:15" s="3" customFormat="1" x14ac:dyDescent="0.2">
      <c r="A383" s="208"/>
      <c r="B383" s="205"/>
      <c r="C383" s="208"/>
      <c r="D383" s="205"/>
      <c r="E383" s="205"/>
      <c r="F383" s="205"/>
      <c r="G383" s="205"/>
      <c r="H383" s="205"/>
      <c r="I383" s="205"/>
      <c r="J383" s="205"/>
      <c r="K383" s="205"/>
      <c r="L383" s="205"/>
      <c r="M383" s="206"/>
      <c r="N383" s="206"/>
      <c r="O383" s="206"/>
    </row>
    <row r="384" spans="1:15" s="3" customFormat="1" x14ac:dyDescent="0.2">
      <c r="A384" s="208"/>
      <c r="B384" s="205"/>
      <c r="C384" s="208"/>
      <c r="D384" s="205"/>
      <c r="E384" s="205"/>
      <c r="F384" s="205"/>
      <c r="G384" s="205"/>
      <c r="H384" s="205"/>
      <c r="I384" s="205"/>
      <c r="J384" s="205"/>
      <c r="K384" s="205"/>
      <c r="L384" s="205"/>
      <c r="M384" s="206"/>
      <c r="N384" s="206"/>
      <c r="O384" s="206"/>
    </row>
    <row r="385" spans="1:15" s="3" customFormat="1" x14ac:dyDescent="0.2">
      <c r="A385" s="208"/>
      <c r="B385" s="205"/>
      <c r="C385" s="208"/>
      <c r="D385" s="205"/>
      <c r="E385" s="205"/>
      <c r="F385" s="205"/>
      <c r="G385" s="205"/>
      <c r="H385" s="205"/>
      <c r="I385" s="205"/>
      <c r="J385" s="205"/>
      <c r="K385" s="205"/>
      <c r="L385" s="205"/>
      <c r="M385" s="206"/>
      <c r="N385" s="206"/>
      <c r="O385" s="206"/>
    </row>
    <row r="386" spans="1:15" s="3" customFormat="1" x14ac:dyDescent="0.2">
      <c r="A386" s="208"/>
      <c r="B386" s="205"/>
      <c r="C386" s="208"/>
      <c r="D386" s="205"/>
      <c r="E386" s="205"/>
      <c r="F386" s="205"/>
      <c r="G386" s="205"/>
      <c r="H386" s="205"/>
      <c r="I386" s="205"/>
      <c r="J386" s="205"/>
      <c r="K386" s="205"/>
      <c r="L386" s="205"/>
      <c r="M386" s="206"/>
      <c r="N386" s="206"/>
      <c r="O386" s="206"/>
    </row>
    <row r="387" spans="1:15" s="3" customFormat="1" x14ac:dyDescent="0.2">
      <c r="A387" s="208"/>
      <c r="B387" s="205"/>
      <c r="C387" s="208"/>
      <c r="D387" s="205"/>
      <c r="E387" s="205"/>
      <c r="F387" s="205"/>
      <c r="G387" s="205"/>
      <c r="H387" s="205"/>
      <c r="I387" s="205"/>
      <c r="J387" s="205"/>
      <c r="K387" s="205"/>
      <c r="L387" s="205"/>
      <c r="M387" s="206"/>
      <c r="N387" s="206"/>
      <c r="O387" s="206"/>
    </row>
    <row r="388" spans="1:15" s="3" customFormat="1" x14ac:dyDescent="0.2">
      <c r="A388" s="208"/>
      <c r="B388" s="205"/>
      <c r="C388" s="208"/>
      <c r="D388" s="205"/>
      <c r="E388" s="205"/>
      <c r="F388" s="205"/>
      <c r="G388" s="205"/>
      <c r="H388" s="205"/>
      <c r="I388" s="205"/>
      <c r="J388" s="205"/>
      <c r="K388" s="205"/>
      <c r="L388" s="205"/>
      <c r="M388" s="206"/>
      <c r="N388" s="206"/>
      <c r="O388" s="206"/>
    </row>
    <row r="389" spans="1:15" s="3" customFormat="1" x14ac:dyDescent="0.2">
      <c r="A389" s="208"/>
      <c r="B389" s="205"/>
      <c r="C389" s="208"/>
      <c r="D389" s="205"/>
      <c r="E389" s="205"/>
      <c r="F389" s="205"/>
      <c r="G389" s="205"/>
      <c r="H389" s="205"/>
      <c r="I389" s="205"/>
      <c r="J389" s="205"/>
      <c r="K389" s="205"/>
      <c r="L389" s="205"/>
      <c r="M389" s="206"/>
      <c r="N389" s="206"/>
      <c r="O389" s="206"/>
    </row>
    <row r="390" spans="1:15" s="3" customFormat="1" x14ac:dyDescent="0.2">
      <c r="A390" s="208"/>
      <c r="B390" s="205"/>
      <c r="C390" s="208"/>
      <c r="D390" s="205"/>
      <c r="E390" s="205"/>
      <c r="F390" s="205"/>
      <c r="G390" s="205"/>
      <c r="H390" s="205"/>
      <c r="I390" s="205"/>
      <c r="J390" s="205"/>
      <c r="K390" s="205"/>
      <c r="L390" s="205"/>
      <c r="M390" s="206"/>
      <c r="N390" s="206"/>
      <c r="O390" s="206"/>
    </row>
    <row r="391" spans="1:15" s="3" customFormat="1" x14ac:dyDescent="0.2">
      <c r="A391" s="208"/>
      <c r="B391" s="205"/>
      <c r="C391" s="208"/>
      <c r="D391" s="205"/>
      <c r="E391" s="205"/>
      <c r="F391" s="205"/>
      <c r="G391" s="205"/>
      <c r="H391" s="205"/>
      <c r="I391" s="205"/>
      <c r="J391" s="205"/>
      <c r="K391" s="205"/>
      <c r="L391" s="205"/>
      <c r="M391" s="206"/>
      <c r="N391" s="206"/>
      <c r="O391" s="206"/>
    </row>
    <row r="392" spans="1:15" s="3" customFormat="1" x14ac:dyDescent="0.2">
      <c r="A392" s="208"/>
      <c r="B392" s="205"/>
      <c r="C392" s="208"/>
      <c r="D392" s="205"/>
      <c r="E392" s="205"/>
      <c r="F392" s="205"/>
      <c r="G392" s="205"/>
      <c r="H392" s="205"/>
      <c r="I392" s="205"/>
      <c r="J392" s="205"/>
      <c r="K392" s="205"/>
      <c r="L392" s="205"/>
      <c r="M392" s="206"/>
      <c r="N392" s="206"/>
      <c r="O392" s="206"/>
    </row>
    <row r="393" spans="1:15" s="3" customFormat="1" x14ac:dyDescent="0.2">
      <c r="A393" s="208"/>
      <c r="B393" s="205"/>
      <c r="C393" s="208"/>
      <c r="D393" s="205"/>
      <c r="E393" s="205"/>
      <c r="F393" s="205"/>
      <c r="G393" s="205"/>
      <c r="H393" s="205"/>
      <c r="I393" s="205"/>
      <c r="J393" s="205"/>
      <c r="K393" s="205"/>
      <c r="L393" s="205"/>
      <c r="M393" s="206"/>
      <c r="N393" s="206"/>
      <c r="O393" s="206"/>
    </row>
    <row r="394" spans="1:15" s="3" customFormat="1" x14ac:dyDescent="0.2">
      <c r="A394" s="208"/>
      <c r="B394" s="205"/>
      <c r="C394" s="208"/>
      <c r="D394" s="205"/>
      <c r="E394" s="205"/>
      <c r="F394" s="205"/>
      <c r="G394" s="205"/>
      <c r="H394" s="205"/>
      <c r="I394" s="205"/>
      <c r="J394" s="205"/>
      <c r="K394" s="205"/>
      <c r="L394" s="205"/>
      <c r="M394" s="206"/>
      <c r="N394" s="206"/>
      <c r="O394" s="206"/>
    </row>
    <row r="395" spans="1:15" s="3" customFormat="1" x14ac:dyDescent="0.2">
      <c r="A395" s="208"/>
      <c r="B395" s="205"/>
      <c r="C395" s="208"/>
      <c r="D395" s="205"/>
      <c r="E395" s="205"/>
      <c r="F395" s="205"/>
      <c r="G395" s="205"/>
      <c r="H395" s="205"/>
      <c r="I395" s="205"/>
      <c r="J395" s="205"/>
      <c r="K395" s="205"/>
      <c r="L395" s="205"/>
      <c r="M395" s="206"/>
      <c r="N395" s="206"/>
      <c r="O395" s="206"/>
    </row>
    <row r="396" spans="1:15" s="3" customFormat="1" x14ac:dyDescent="0.2">
      <c r="A396" s="208"/>
      <c r="B396" s="205"/>
      <c r="C396" s="208"/>
      <c r="D396" s="205"/>
      <c r="E396" s="205"/>
      <c r="F396" s="205"/>
      <c r="G396" s="205"/>
      <c r="H396" s="205"/>
      <c r="I396" s="205"/>
      <c r="J396" s="205"/>
      <c r="K396" s="205"/>
      <c r="L396" s="205"/>
      <c r="M396" s="206"/>
      <c r="N396" s="206"/>
      <c r="O396" s="206"/>
    </row>
    <row r="397" spans="1:15" s="3" customFormat="1" x14ac:dyDescent="0.2">
      <c r="A397" s="208"/>
      <c r="B397" s="205"/>
      <c r="C397" s="208"/>
      <c r="D397" s="205"/>
      <c r="E397" s="205"/>
      <c r="F397" s="205"/>
      <c r="G397" s="205"/>
      <c r="H397" s="205"/>
      <c r="I397" s="205"/>
      <c r="J397" s="205"/>
      <c r="K397" s="205"/>
      <c r="L397" s="205"/>
      <c r="M397" s="206"/>
      <c r="N397" s="206"/>
      <c r="O397" s="206"/>
    </row>
    <row r="398" spans="1:15" s="3" customFormat="1" x14ac:dyDescent="0.2">
      <c r="A398" s="208"/>
      <c r="B398" s="205"/>
      <c r="C398" s="208"/>
      <c r="D398" s="205"/>
      <c r="E398" s="205"/>
      <c r="F398" s="205"/>
      <c r="G398" s="205"/>
      <c r="H398" s="205"/>
      <c r="I398" s="205"/>
      <c r="J398" s="205"/>
      <c r="K398" s="205"/>
      <c r="L398" s="205"/>
      <c r="M398" s="206"/>
      <c r="N398" s="206"/>
      <c r="O398" s="206"/>
    </row>
    <row r="399" spans="1:15" s="3" customFormat="1" x14ac:dyDescent="0.2">
      <c r="A399" s="208"/>
      <c r="B399" s="205"/>
      <c r="C399" s="208"/>
      <c r="D399" s="205"/>
      <c r="E399" s="205"/>
      <c r="F399" s="205"/>
      <c r="G399" s="205"/>
      <c r="H399" s="205"/>
      <c r="I399" s="205"/>
      <c r="J399" s="205"/>
      <c r="K399" s="205"/>
      <c r="L399" s="205"/>
      <c r="M399" s="206"/>
      <c r="N399" s="206"/>
      <c r="O399" s="206"/>
    </row>
    <row r="400" spans="1:15" s="3" customFormat="1" x14ac:dyDescent="0.2">
      <c r="A400" s="208"/>
      <c r="B400" s="205"/>
      <c r="C400" s="208"/>
      <c r="D400" s="205"/>
      <c r="E400" s="205"/>
      <c r="F400" s="205"/>
      <c r="G400" s="205"/>
      <c r="H400" s="205"/>
      <c r="I400" s="205"/>
      <c r="J400" s="205"/>
      <c r="K400" s="205"/>
      <c r="L400" s="205"/>
      <c r="M400" s="206"/>
      <c r="N400" s="206"/>
      <c r="O400" s="206"/>
    </row>
    <row r="401" spans="1:15" s="3" customFormat="1" x14ac:dyDescent="0.2">
      <c r="A401" s="208"/>
      <c r="B401" s="205"/>
      <c r="C401" s="208"/>
      <c r="D401" s="205"/>
      <c r="E401" s="205"/>
      <c r="F401" s="205"/>
      <c r="G401" s="205"/>
      <c r="H401" s="205"/>
      <c r="I401" s="205"/>
      <c r="J401" s="205"/>
      <c r="K401" s="205"/>
      <c r="L401" s="205"/>
      <c r="M401" s="206"/>
      <c r="N401" s="206"/>
      <c r="O401" s="206"/>
    </row>
    <row r="402" spans="1:15" s="3" customFormat="1" x14ac:dyDescent="0.2">
      <c r="A402" s="208"/>
      <c r="B402" s="205"/>
      <c r="C402" s="208"/>
      <c r="D402" s="205"/>
      <c r="E402" s="205"/>
      <c r="F402" s="205"/>
      <c r="G402" s="205"/>
      <c r="H402" s="205"/>
      <c r="I402" s="205"/>
      <c r="J402" s="205"/>
      <c r="K402" s="205"/>
      <c r="L402" s="205"/>
      <c r="M402" s="206"/>
      <c r="N402" s="206"/>
      <c r="O402" s="206"/>
    </row>
    <row r="403" spans="1:15" s="3" customFormat="1" x14ac:dyDescent="0.2">
      <c r="A403" s="208"/>
      <c r="B403" s="205"/>
      <c r="C403" s="208"/>
      <c r="D403" s="205"/>
      <c r="E403" s="205"/>
      <c r="F403" s="205"/>
      <c r="G403" s="205"/>
      <c r="H403" s="205"/>
      <c r="I403" s="205"/>
      <c r="J403" s="205"/>
      <c r="K403" s="205"/>
      <c r="L403" s="205"/>
      <c r="M403" s="206"/>
      <c r="N403" s="206"/>
      <c r="O403" s="206"/>
    </row>
    <row r="404" spans="1:15" s="3" customFormat="1" x14ac:dyDescent="0.2">
      <c r="A404" s="208"/>
      <c r="B404" s="205"/>
      <c r="C404" s="208"/>
      <c r="D404" s="205"/>
      <c r="E404" s="205"/>
      <c r="F404" s="205"/>
      <c r="G404" s="205"/>
      <c r="H404" s="205"/>
      <c r="I404" s="205"/>
      <c r="J404" s="205"/>
      <c r="K404" s="205"/>
      <c r="L404" s="205"/>
      <c r="M404" s="206"/>
      <c r="N404" s="206"/>
      <c r="O404" s="206"/>
    </row>
    <row r="405" spans="1:15" s="3" customFormat="1" x14ac:dyDescent="0.2">
      <c r="A405" s="208"/>
      <c r="B405" s="205"/>
      <c r="C405" s="208"/>
      <c r="D405" s="205"/>
      <c r="E405" s="205"/>
      <c r="F405" s="205"/>
      <c r="G405" s="205"/>
      <c r="H405" s="205"/>
      <c r="I405" s="205"/>
      <c r="J405" s="205"/>
      <c r="K405" s="205"/>
      <c r="L405" s="205"/>
      <c r="M405" s="206"/>
      <c r="N405" s="206"/>
      <c r="O405" s="206"/>
    </row>
    <row r="406" spans="1:15" s="3" customFormat="1" x14ac:dyDescent="0.2">
      <c r="A406" s="208"/>
      <c r="B406" s="205"/>
      <c r="C406" s="208"/>
      <c r="D406" s="205"/>
      <c r="E406" s="205"/>
      <c r="F406" s="205"/>
      <c r="G406" s="205"/>
      <c r="H406" s="205"/>
      <c r="I406" s="205"/>
      <c r="J406" s="205"/>
      <c r="K406" s="205"/>
      <c r="L406" s="205"/>
      <c r="M406" s="206"/>
      <c r="N406" s="206"/>
      <c r="O406" s="206"/>
    </row>
    <row r="407" spans="1:15" s="3" customFormat="1" x14ac:dyDescent="0.2">
      <c r="A407" s="208"/>
      <c r="B407" s="205"/>
      <c r="C407" s="208"/>
      <c r="D407" s="205"/>
      <c r="E407" s="205"/>
      <c r="F407" s="205"/>
      <c r="G407" s="205"/>
      <c r="H407" s="205"/>
      <c r="I407" s="205"/>
      <c r="J407" s="205"/>
      <c r="K407" s="205"/>
      <c r="L407" s="205"/>
      <c r="M407" s="206"/>
      <c r="N407" s="206"/>
      <c r="O407" s="206"/>
    </row>
    <row r="408" spans="1:15" s="3" customFormat="1" x14ac:dyDescent="0.2">
      <c r="A408" s="208"/>
      <c r="B408" s="205"/>
      <c r="C408" s="208"/>
      <c r="D408" s="205"/>
      <c r="E408" s="205"/>
      <c r="F408" s="205"/>
      <c r="G408" s="205"/>
      <c r="H408" s="205"/>
      <c r="I408" s="205"/>
      <c r="J408" s="205"/>
      <c r="K408" s="205"/>
      <c r="L408" s="205"/>
      <c r="M408" s="206"/>
      <c r="N408" s="206"/>
      <c r="O408" s="206"/>
    </row>
    <row r="409" spans="1:15" s="3" customFormat="1" x14ac:dyDescent="0.2">
      <c r="A409" s="208"/>
      <c r="B409" s="205"/>
      <c r="C409" s="208"/>
      <c r="D409" s="205"/>
      <c r="E409" s="205"/>
      <c r="F409" s="205"/>
      <c r="G409" s="205"/>
      <c r="H409" s="205"/>
      <c r="I409" s="205"/>
      <c r="J409" s="205"/>
      <c r="K409" s="205"/>
      <c r="L409" s="205"/>
      <c r="M409" s="206"/>
      <c r="N409" s="206"/>
      <c r="O409" s="206"/>
    </row>
    <row r="410" spans="1:15" s="3" customFormat="1" x14ac:dyDescent="0.2">
      <c r="A410" s="208"/>
      <c r="B410" s="205"/>
      <c r="C410" s="208"/>
      <c r="D410" s="205"/>
      <c r="E410" s="205"/>
      <c r="F410" s="205"/>
      <c r="G410" s="205"/>
      <c r="H410" s="205"/>
      <c r="I410" s="205"/>
      <c r="J410" s="205"/>
      <c r="K410" s="205"/>
      <c r="L410" s="205"/>
      <c r="M410" s="206"/>
      <c r="N410" s="206"/>
      <c r="O410" s="206"/>
    </row>
    <row r="411" spans="1:15" s="3" customFormat="1" x14ac:dyDescent="0.2">
      <c r="A411" s="208"/>
      <c r="B411" s="205"/>
      <c r="C411" s="208"/>
      <c r="D411" s="205"/>
      <c r="E411" s="205"/>
      <c r="F411" s="205"/>
      <c r="G411" s="205"/>
      <c r="H411" s="205"/>
      <c r="I411" s="205"/>
      <c r="J411" s="205"/>
      <c r="K411" s="205"/>
      <c r="L411" s="205"/>
      <c r="M411" s="206"/>
      <c r="N411" s="206"/>
      <c r="O411" s="206"/>
    </row>
    <row r="412" spans="1:15" s="3" customFormat="1" x14ac:dyDescent="0.2">
      <c r="A412" s="208"/>
      <c r="B412" s="205"/>
      <c r="C412" s="208"/>
      <c r="D412" s="205"/>
      <c r="E412" s="205"/>
      <c r="F412" s="205"/>
      <c r="G412" s="205"/>
      <c r="H412" s="205"/>
      <c r="I412" s="205"/>
      <c r="J412" s="205"/>
      <c r="K412" s="205"/>
      <c r="L412" s="205"/>
      <c r="M412" s="206"/>
      <c r="N412" s="206"/>
      <c r="O412" s="206"/>
    </row>
    <row r="413" spans="1:15" s="3" customFormat="1" x14ac:dyDescent="0.2">
      <c r="A413" s="208"/>
      <c r="B413" s="205"/>
      <c r="C413" s="208"/>
      <c r="D413" s="205"/>
      <c r="E413" s="205"/>
      <c r="F413" s="205"/>
      <c r="G413" s="205"/>
      <c r="H413" s="205"/>
      <c r="I413" s="205"/>
      <c r="J413" s="205"/>
      <c r="K413" s="205"/>
      <c r="L413" s="205"/>
      <c r="M413" s="206"/>
      <c r="N413" s="206"/>
      <c r="O413" s="206"/>
    </row>
    <row r="414" spans="1:15" s="3" customFormat="1" x14ac:dyDescent="0.2">
      <c r="A414" s="208"/>
      <c r="B414" s="205"/>
      <c r="C414" s="208"/>
      <c r="D414" s="205"/>
      <c r="E414" s="205"/>
      <c r="F414" s="205"/>
      <c r="G414" s="205"/>
      <c r="H414" s="205"/>
      <c r="I414" s="205"/>
      <c r="J414" s="205"/>
      <c r="K414" s="205"/>
      <c r="L414" s="205"/>
      <c r="M414" s="206"/>
      <c r="N414" s="206"/>
      <c r="O414" s="206"/>
    </row>
    <row r="415" spans="1:15" s="3" customFormat="1" x14ac:dyDescent="0.2">
      <c r="A415" s="208"/>
      <c r="B415" s="205"/>
      <c r="C415" s="208"/>
      <c r="D415" s="205"/>
      <c r="E415" s="205"/>
      <c r="F415" s="205"/>
      <c r="G415" s="205"/>
      <c r="H415" s="205"/>
      <c r="I415" s="205"/>
      <c r="J415" s="205"/>
      <c r="K415" s="205"/>
      <c r="L415" s="205"/>
      <c r="M415" s="206"/>
      <c r="N415" s="206"/>
      <c r="O415" s="206"/>
    </row>
    <row r="416" spans="1:15" s="3" customFormat="1" x14ac:dyDescent="0.2">
      <c r="A416" s="208"/>
      <c r="B416" s="205"/>
      <c r="C416" s="208"/>
      <c r="D416" s="205"/>
      <c r="E416" s="205"/>
      <c r="F416" s="205"/>
      <c r="G416" s="205"/>
      <c r="H416" s="205"/>
      <c r="I416" s="205"/>
      <c r="J416" s="205"/>
      <c r="K416" s="205"/>
      <c r="L416" s="205"/>
      <c r="M416" s="206"/>
      <c r="N416" s="206"/>
      <c r="O416" s="206"/>
    </row>
    <row r="417" spans="1:15" s="3" customFormat="1" x14ac:dyDescent="0.2">
      <c r="A417" s="208"/>
      <c r="B417" s="205"/>
      <c r="C417" s="208"/>
      <c r="D417" s="205"/>
      <c r="E417" s="205"/>
      <c r="F417" s="205"/>
      <c r="G417" s="205"/>
      <c r="H417" s="205"/>
      <c r="I417" s="205"/>
      <c r="J417" s="205"/>
      <c r="K417" s="205"/>
      <c r="L417" s="205"/>
      <c r="M417" s="206"/>
      <c r="N417" s="206"/>
      <c r="O417" s="206"/>
    </row>
    <row r="418" spans="1:15" s="3" customFormat="1" x14ac:dyDescent="0.2">
      <c r="A418" s="208"/>
      <c r="B418" s="205"/>
      <c r="C418" s="208"/>
      <c r="D418" s="205"/>
      <c r="E418" s="205"/>
      <c r="F418" s="205"/>
      <c r="G418" s="205"/>
      <c r="H418" s="205"/>
      <c r="I418" s="205"/>
      <c r="J418" s="205"/>
      <c r="K418" s="205"/>
      <c r="L418" s="205"/>
      <c r="M418" s="206"/>
      <c r="N418" s="206"/>
      <c r="O418" s="206"/>
    </row>
    <row r="419" spans="1:15" s="3" customFormat="1" x14ac:dyDescent="0.2">
      <c r="A419" s="208"/>
      <c r="B419" s="205"/>
      <c r="C419" s="208"/>
      <c r="D419" s="205"/>
      <c r="E419" s="205"/>
      <c r="F419" s="205"/>
      <c r="G419" s="205"/>
      <c r="H419" s="205"/>
      <c r="I419" s="205"/>
      <c r="J419" s="205"/>
      <c r="K419" s="205"/>
      <c r="L419" s="205"/>
      <c r="M419" s="206"/>
      <c r="N419" s="206"/>
      <c r="O419" s="206"/>
    </row>
    <row r="420" spans="1:15" s="3" customFormat="1" x14ac:dyDescent="0.2">
      <c r="A420" s="208"/>
      <c r="B420" s="205"/>
      <c r="C420" s="208"/>
      <c r="D420" s="205"/>
      <c r="E420" s="205"/>
      <c r="F420" s="205"/>
      <c r="G420" s="205"/>
      <c r="H420" s="205"/>
      <c r="I420" s="205"/>
      <c r="J420" s="205"/>
      <c r="K420" s="205"/>
      <c r="L420" s="205"/>
      <c r="M420" s="206"/>
      <c r="N420" s="206"/>
      <c r="O420" s="206"/>
    </row>
    <row r="421" spans="1:15" s="3" customFormat="1" x14ac:dyDescent="0.2">
      <c r="A421" s="208"/>
      <c r="B421" s="205"/>
      <c r="C421" s="208"/>
      <c r="D421" s="205"/>
      <c r="E421" s="205"/>
      <c r="F421" s="205"/>
      <c r="G421" s="205"/>
      <c r="H421" s="205"/>
      <c r="I421" s="205"/>
      <c r="J421" s="205"/>
      <c r="K421" s="205"/>
      <c r="L421" s="205"/>
      <c r="M421" s="206"/>
      <c r="N421" s="206"/>
      <c r="O421" s="206"/>
    </row>
    <row r="422" spans="1:15" s="3" customFormat="1" x14ac:dyDescent="0.2">
      <c r="A422" s="208"/>
      <c r="B422" s="205"/>
      <c r="C422" s="208"/>
      <c r="D422" s="205"/>
      <c r="E422" s="205"/>
      <c r="F422" s="205"/>
      <c r="G422" s="205"/>
      <c r="H422" s="205"/>
      <c r="I422" s="205"/>
      <c r="J422" s="205"/>
      <c r="K422" s="205"/>
      <c r="L422" s="205"/>
      <c r="M422" s="206"/>
      <c r="N422" s="206"/>
      <c r="O422" s="206"/>
    </row>
    <row r="423" spans="1:15" s="3" customFormat="1" x14ac:dyDescent="0.2">
      <c r="A423" s="208"/>
      <c r="B423" s="205"/>
      <c r="C423" s="208"/>
      <c r="D423" s="205"/>
      <c r="E423" s="205"/>
      <c r="F423" s="205"/>
      <c r="G423" s="205"/>
      <c r="H423" s="205"/>
      <c r="I423" s="205"/>
      <c r="J423" s="205"/>
      <c r="K423" s="205"/>
      <c r="L423" s="205"/>
      <c r="M423" s="206"/>
      <c r="N423" s="206"/>
      <c r="O423" s="206"/>
    </row>
    <row r="424" spans="1:15" s="3" customFormat="1" x14ac:dyDescent="0.2">
      <c r="A424" s="208"/>
      <c r="B424" s="205"/>
      <c r="C424" s="208"/>
      <c r="D424" s="205"/>
      <c r="E424" s="205"/>
      <c r="F424" s="205"/>
      <c r="G424" s="205"/>
      <c r="H424" s="205"/>
      <c r="I424" s="205"/>
      <c r="J424" s="205"/>
      <c r="K424" s="205"/>
      <c r="L424" s="205"/>
      <c r="M424" s="206"/>
      <c r="N424" s="206"/>
      <c r="O424" s="206"/>
    </row>
    <row r="425" spans="1:15" s="3" customFormat="1" x14ac:dyDescent="0.2">
      <c r="A425" s="208"/>
      <c r="B425" s="205"/>
      <c r="C425" s="208"/>
      <c r="D425" s="205"/>
      <c r="E425" s="205"/>
      <c r="F425" s="205"/>
      <c r="G425" s="205"/>
      <c r="H425" s="205"/>
      <c r="I425" s="205"/>
      <c r="J425" s="205"/>
      <c r="K425" s="205"/>
      <c r="L425" s="205"/>
      <c r="M425" s="206"/>
      <c r="N425" s="206"/>
      <c r="O425" s="206"/>
    </row>
    <row r="426" spans="1:15" s="3" customFormat="1" x14ac:dyDescent="0.2">
      <c r="A426" s="208"/>
      <c r="B426" s="205"/>
      <c r="C426" s="208"/>
      <c r="D426" s="205"/>
      <c r="E426" s="205"/>
      <c r="F426" s="205"/>
      <c r="G426" s="205"/>
      <c r="H426" s="205"/>
      <c r="I426" s="205"/>
      <c r="J426" s="205"/>
      <c r="K426" s="205"/>
      <c r="L426" s="205"/>
      <c r="M426" s="206"/>
      <c r="N426" s="206"/>
      <c r="O426" s="206"/>
    </row>
    <row r="427" spans="1:15" s="3" customFormat="1" x14ac:dyDescent="0.2">
      <c r="A427" s="208"/>
      <c r="B427" s="205"/>
      <c r="C427" s="208"/>
      <c r="D427" s="205"/>
      <c r="E427" s="205"/>
      <c r="F427" s="205"/>
      <c r="G427" s="205"/>
      <c r="H427" s="205"/>
      <c r="I427" s="205"/>
      <c r="J427" s="205"/>
      <c r="K427" s="205"/>
      <c r="L427" s="205"/>
      <c r="M427" s="206"/>
      <c r="N427" s="206"/>
      <c r="O427" s="206"/>
    </row>
    <row r="428" spans="1:15" s="3" customFormat="1" x14ac:dyDescent="0.2">
      <c r="A428" s="208"/>
      <c r="B428" s="205"/>
      <c r="C428" s="208"/>
      <c r="D428" s="205"/>
      <c r="E428" s="205"/>
      <c r="F428" s="205"/>
      <c r="G428" s="205"/>
      <c r="H428" s="205"/>
      <c r="I428" s="205"/>
      <c r="J428" s="205"/>
      <c r="K428" s="205"/>
      <c r="L428" s="205"/>
      <c r="M428" s="206"/>
      <c r="N428" s="206"/>
      <c r="O428" s="206"/>
    </row>
    <row r="429" spans="1:15" s="3" customFormat="1" x14ac:dyDescent="0.2">
      <c r="A429" s="208"/>
      <c r="B429" s="205"/>
      <c r="C429" s="208"/>
      <c r="D429" s="205"/>
      <c r="E429" s="205"/>
      <c r="F429" s="205"/>
      <c r="G429" s="205"/>
      <c r="H429" s="205"/>
      <c r="I429" s="205"/>
      <c r="J429" s="205"/>
      <c r="K429" s="205"/>
      <c r="L429" s="205"/>
      <c r="M429" s="206"/>
      <c r="N429" s="206"/>
      <c r="O429" s="206"/>
    </row>
    <row r="430" spans="1:15" s="3" customFormat="1" x14ac:dyDescent="0.2">
      <c r="A430" s="208"/>
      <c r="B430" s="205"/>
      <c r="C430" s="208"/>
      <c r="D430" s="205"/>
      <c r="E430" s="205"/>
      <c r="F430" s="205"/>
      <c r="G430" s="205"/>
      <c r="H430" s="205"/>
      <c r="I430" s="205"/>
      <c r="J430" s="205"/>
      <c r="K430" s="205"/>
      <c r="L430" s="205"/>
      <c r="M430" s="206"/>
      <c r="N430" s="206"/>
      <c r="O430" s="206"/>
    </row>
    <row r="431" spans="1:15" s="3" customFormat="1" x14ac:dyDescent="0.2">
      <c r="A431" s="208"/>
      <c r="B431" s="205"/>
      <c r="C431" s="208"/>
      <c r="D431" s="205"/>
      <c r="E431" s="205"/>
      <c r="F431" s="205"/>
      <c r="G431" s="205"/>
      <c r="H431" s="205"/>
      <c r="I431" s="205"/>
      <c r="J431" s="205"/>
      <c r="K431" s="205"/>
      <c r="L431" s="205"/>
      <c r="M431" s="206"/>
      <c r="N431" s="206"/>
      <c r="O431" s="206"/>
    </row>
    <row r="432" spans="1:15" s="3" customFormat="1" x14ac:dyDescent="0.2">
      <c r="A432" s="208"/>
      <c r="B432" s="205"/>
      <c r="C432" s="208"/>
      <c r="D432" s="205"/>
      <c r="E432" s="205"/>
      <c r="F432" s="205"/>
      <c r="G432" s="205"/>
      <c r="H432" s="205"/>
      <c r="I432" s="205"/>
      <c r="J432" s="205"/>
      <c r="K432" s="205"/>
      <c r="L432" s="205"/>
      <c r="M432" s="206"/>
      <c r="N432" s="206"/>
      <c r="O432" s="206"/>
    </row>
    <row r="433" spans="1:15" s="3" customFormat="1" x14ac:dyDescent="0.2">
      <c r="A433" s="208"/>
      <c r="B433" s="205"/>
      <c r="C433" s="208"/>
      <c r="D433" s="205"/>
      <c r="E433" s="205"/>
      <c r="F433" s="205"/>
      <c r="G433" s="205"/>
      <c r="H433" s="205"/>
      <c r="I433" s="205"/>
      <c r="J433" s="205"/>
      <c r="K433" s="205"/>
      <c r="L433" s="205"/>
      <c r="M433" s="206"/>
      <c r="N433" s="206"/>
      <c r="O433" s="206"/>
    </row>
    <row r="434" spans="1:15" s="3" customFormat="1" x14ac:dyDescent="0.2">
      <c r="A434" s="208"/>
      <c r="B434" s="205"/>
      <c r="C434" s="208"/>
      <c r="D434" s="205"/>
      <c r="E434" s="205"/>
      <c r="F434" s="205"/>
      <c r="G434" s="205"/>
      <c r="H434" s="205"/>
      <c r="I434" s="205"/>
      <c r="J434" s="205"/>
      <c r="K434" s="205"/>
      <c r="L434" s="205"/>
      <c r="M434" s="206"/>
      <c r="N434" s="206"/>
      <c r="O434" s="206"/>
    </row>
    <row r="435" spans="1:15" s="3" customFormat="1" x14ac:dyDescent="0.2">
      <c r="A435" s="208"/>
      <c r="B435" s="205"/>
      <c r="C435" s="208"/>
      <c r="D435" s="205"/>
      <c r="E435" s="205"/>
      <c r="F435" s="205"/>
      <c r="G435" s="205"/>
      <c r="H435" s="205"/>
      <c r="I435" s="205"/>
      <c r="J435" s="205"/>
      <c r="K435" s="205"/>
      <c r="L435" s="205"/>
      <c r="M435" s="206"/>
      <c r="N435" s="206"/>
      <c r="O435" s="206"/>
    </row>
    <row r="436" spans="1:15" s="3" customFormat="1" x14ac:dyDescent="0.2">
      <c r="A436" s="208"/>
      <c r="B436" s="205"/>
      <c r="C436" s="208"/>
      <c r="D436" s="205"/>
      <c r="E436" s="205"/>
      <c r="F436" s="205"/>
      <c r="G436" s="205"/>
      <c r="H436" s="205"/>
      <c r="I436" s="205"/>
      <c r="J436" s="205"/>
      <c r="K436" s="205"/>
      <c r="L436" s="205"/>
      <c r="M436" s="206"/>
      <c r="N436" s="206"/>
      <c r="O436" s="206"/>
    </row>
    <row r="437" spans="1:15" s="3" customFormat="1" x14ac:dyDescent="0.2">
      <c r="A437" s="208"/>
      <c r="B437" s="205"/>
      <c r="C437" s="208"/>
      <c r="D437" s="205"/>
      <c r="E437" s="205"/>
      <c r="F437" s="205"/>
      <c r="G437" s="205"/>
      <c r="H437" s="205"/>
      <c r="I437" s="205"/>
      <c r="J437" s="205"/>
      <c r="K437" s="205"/>
      <c r="L437" s="205"/>
      <c r="M437" s="206"/>
      <c r="N437" s="206"/>
      <c r="O437" s="206"/>
    </row>
    <row r="438" spans="1:15" s="3" customFormat="1" x14ac:dyDescent="0.2">
      <c r="A438" s="208"/>
      <c r="B438" s="205"/>
      <c r="C438" s="208"/>
      <c r="D438" s="205"/>
      <c r="E438" s="205"/>
      <c r="F438" s="205"/>
      <c r="G438" s="205"/>
      <c r="H438" s="205"/>
      <c r="I438" s="205"/>
      <c r="J438" s="205"/>
      <c r="K438" s="205"/>
      <c r="L438" s="205"/>
      <c r="M438" s="206"/>
      <c r="N438" s="206"/>
      <c r="O438" s="206"/>
    </row>
    <row r="439" spans="1:15" s="3" customFormat="1" x14ac:dyDescent="0.2">
      <c r="A439" s="208"/>
      <c r="B439" s="205"/>
      <c r="C439" s="208"/>
      <c r="D439" s="205"/>
      <c r="E439" s="205"/>
      <c r="F439" s="205"/>
      <c r="G439" s="205"/>
      <c r="H439" s="205"/>
      <c r="I439" s="205"/>
      <c r="J439" s="205"/>
      <c r="K439" s="205"/>
      <c r="L439" s="205"/>
      <c r="M439" s="206"/>
      <c r="N439" s="206"/>
      <c r="O439" s="206"/>
    </row>
    <row r="440" spans="1:15" s="3" customFormat="1" x14ac:dyDescent="0.2">
      <c r="A440" s="208"/>
      <c r="B440" s="205"/>
      <c r="C440" s="208"/>
      <c r="D440" s="205"/>
      <c r="E440" s="205"/>
      <c r="F440" s="205"/>
      <c r="G440" s="205"/>
      <c r="H440" s="205"/>
      <c r="I440" s="205"/>
      <c r="J440" s="205"/>
      <c r="K440" s="205"/>
      <c r="L440" s="205"/>
      <c r="M440" s="206"/>
      <c r="N440" s="206"/>
      <c r="O440" s="206"/>
    </row>
    <row r="441" spans="1:15" s="3" customFormat="1" x14ac:dyDescent="0.2">
      <c r="A441" s="208"/>
      <c r="B441" s="205"/>
      <c r="C441" s="208"/>
      <c r="D441" s="205"/>
      <c r="E441" s="205"/>
      <c r="F441" s="205"/>
      <c r="G441" s="205"/>
      <c r="H441" s="205"/>
      <c r="I441" s="205"/>
      <c r="J441" s="205"/>
      <c r="K441" s="205"/>
      <c r="L441" s="205"/>
      <c r="M441" s="206"/>
      <c r="N441" s="206"/>
      <c r="O441" s="206"/>
    </row>
    <row r="442" spans="1:15" s="3" customFormat="1" x14ac:dyDescent="0.2">
      <c r="A442" s="208"/>
      <c r="B442" s="205"/>
      <c r="C442" s="208"/>
      <c r="D442" s="205"/>
      <c r="E442" s="205"/>
      <c r="F442" s="205"/>
      <c r="G442" s="205"/>
      <c r="H442" s="205"/>
      <c r="I442" s="205"/>
      <c r="J442" s="205"/>
      <c r="K442" s="205"/>
      <c r="L442" s="205"/>
      <c r="M442" s="206"/>
      <c r="N442" s="206"/>
      <c r="O442" s="206"/>
    </row>
    <row r="443" spans="1:15" s="3" customFormat="1" x14ac:dyDescent="0.2">
      <c r="A443" s="208"/>
      <c r="B443" s="205"/>
      <c r="C443" s="208"/>
      <c r="D443" s="205"/>
      <c r="E443" s="205"/>
      <c r="F443" s="205"/>
      <c r="G443" s="205"/>
      <c r="H443" s="205"/>
      <c r="I443" s="205"/>
      <c r="J443" s="205"/>
      <c r="K443" s="205"/>
      <c r="L443" s="205"/>
      <c r="M443" s="206"/>
      <c r="N443" s="206"/>
      <c r="O443" s="206"/>
    </row>
    <row r="444" spans="1:15" s="3" customFormat="1" x14ac:dyDescent="0.2">
      <c r="A444" s="208"/>
      <c r="B444" s="205"/>
      <c r="C444" s="208"/>
      <c r="D444" s="205"/>
      <c r="E444" s="205"/>
      <c r="F444" s="205"/>
      <c r="G444" s="205"/>
      <c r="H444" s="205"/>
      <c r="I444" s="205"/>
      <c r="J444" s="205"/>
      <c r="K444" s="205"/>
      <c r="L444" s="205"/>
      <c r="M444" s="206"/>
      <c r="N444" s="206"/>
      <c r="O444" s="206"/>
    </row>
    <row r="445" spans="1:15" s="3" customFormat="1" x14ac:dyDescent="0.2">
      <c r="A445" s="208"/>
      <c r="B445" s="205"/>
      <c r="C445" s="208"/>
      <c r="D445" s="205"/>
      <c r="E445" s="205"/>
      <c r="F445" s="205"/>
      <c r="G445" s="205"/>
      <c r="H445" s="205"/>
      <c r="I445" s="205"/>
      <c r="J445" s="205"/>
      <c r="K445" s="205"/>
      <c r="L445" s="205"/>
      <c r="M445" s="206"/>
      <c r="N445" s="206"/>
      <c r="O445" s="206"/>
    </row>
    <row r="446" spans="1:15" s="3" customFormat="1" x14ac:dyDescent="0.2">
      <c r="A446" s="208"/>
      <c r="B446" s="205"/>
      <c r="C446" s="208"/>
      <c r="D446" s="205"/>
      <c r="E446" s="205"/>
      <c r="F446" s="205"/>
      <c r="G446" s="205"/>
      <c r="H446" s="205"/>
      <c r="I446" s="205"/>
      <c r="J446" s="205"/>
      <c r="K446" s="205"/>
      <c r="L446" s="205"/>
      <c r="M446" s="206"/>
      <c r="N446" s="206"/>
      <c r="O446" s="206"/>
    </row>
    <row r="447" spans="1:15" s="3" customFormat="1" x14ac:dyDescent="0.2">
      <c r="A447" s="208"/>
      <c r="B447" s="205"/>
      <c r="C447" s="208"/>
      <c r="D447" s="205"/>
      <c r="E447" s="205"/>
      <c r="F447" s="205"/>
      <c r="G447" s="205"/>
      <c r="H447" s="205"/>
      <c r="I447" s="205"/>
      <c r="J447" s="205"/>
      <c r="K447" s="205"/>
      <c r="L447" s="205"/>
      <c r="M447" s="206"/>
      <c r="N447" s="206"/>
      <c r="O447" s="206"/>
    </row>
    <row r="448" spans="1:15" s="3" customFormat="1" x14ac:dyDescent="0.2">
      <c r="A448" s="208"/>
      <c r="B448" s="205"/>
      <c r="C448" s="208"/>
      <c r="D448" s="205"/>
      <c r="E448" s="205"/>
      <c r="F448" s="205"/>
      <c r="G448" s="205"/>
      <c r="H448" s="205"/>
      <c r="I448" s="205"/>
      <c r="J448" s="205"/>
      <c r="K448" s="205"/>
      <c r="L448" s="205"/>
      <c r="M448" s="206"/>
      <c r="N448" s="206"/>
      <c r="O448" s="206"/>
    </row>
    <row r="449" spans="1:15" s="3" customFormat="1" x14ac:dyDescent="0.2">
      <c r="A449" s="208"/>
      <c r="B449" s="205"/>
      <c r="C449" s="208"/>
      <c r="D449" s="205"/>
      <c r="E449" s="205"/>
      <c r="F449" s="205"/>
      <c r="G449" s="205"/>
      <c r="H449" s="205"/>
      <c r="I449" s="205"/>
      <c r="J449" s="205"/>
      <c r="K449" s="205"/>
      <c r="L449" s="205"/>
      <c r="M449" s="206"/>
      <c r="N449" s="206"/>
      <c r="O449" s="206"/>
    </row>
    <row r="450" spans="1:15" s="3" customFormat="1" x14ac:dyDescent="0.2">
      <c r="A450" s="208"/>
      <c r="B450" s="205"/>
      <c r="C450" s="208"/>
      <c r="D450" s="205"/>
      <c r="E450" s="205"/>
      <c r="F450" s="205"/>
      <c r="G450" s="205"/>
      <c r="H450" s="205"/>
      <c r="I450" s="205"/>
      <c r="J450" s="205"/>
      <c r="K450" s="205"/>
      <c r="L450" s="205"/>
      <c r="M450" s="206"/>
      <c r="N450" s="206"/>
      <c r="O450" s="206"/>
    </row>
    <row r="451" spans="1:15" s="3" customFormat="1" x14ac:dyDescent="0.2">
      <c r="A451" s="208"/>
      <c r="B451" s="205"/>
      <c r="C451" s="208"/>
      <c r="D451" s="205"/>
      <c r="E451" s="205"/>
      <c r="F451" s="205"/>
      <c r="G451" s="205"/>
      <c r="H451" s="205"/>
      <c r="I451" s="205"/>
      <c r="J451" s="205"/>
      <c r="K451" s="205"/>
      <c r="L451" s="205"/>
      <c r="M451" s="206"/>
      <c r="N451" s="206"/>
      <c r="O451" s="206"/>
    </row>
    <row r="452" spans="1:15" s="3" customFormat="1" x14ac:dyDescent="0.2">
      <c r="A452" s="208"/>
      <c r="B452" s="205"/>
      <c r="C452" s="208"/>
      <c r="D452" s="205"/>
      <c r="E452" s="205"/>
      <c r="F452" s="205"/>
      <c r="G452" s="205"/>
      <c r="H452" s="205"/>
      <c r="I452" s="205"/>
      <c r="J452" s="205"/>
      <c r="K452" s="205"/>
      <c r="L452" s="205"/>
      <c r="M452" s="206"/>
      <c r="N452" s="206"/>
      <c r="O452" s="206"/>
    </row>
    <row r="453" spans="1:15" s="3" customFormat="1" x14ac:dyDescent="0.2">
      <c r="A453" s="208"/>
      <c r="B453" s="205"/>
      <c r="C453" s="208"/>
      <c r="D453" s="205"/>
      <c r="E453" s="205"/>
      <c r="F453" s="205"/>
      <c r="G453" s="205"/>
      <c r="H453" s="205"/>
      <c r="I453" s="205"/>
      <c r="J453" s="205"/>
      <c r="K453" s="205"/>
      <c r="L453" s="205"/>
      <c r="M453" s="206"/>
      <c r="N453" s="206"/>
      <c r="O453" s="206"/>
    </row>
    <row r="454" spans="1:15" s="3" customFormat="1" x14ac:dyDescent="0.2">
      <c r="A454" s="208"/>
      <c r="B454" s="205"/>
      <c r="C454" s="208"/>
      <c r="D454" s="205"/>
      <c r="E454" s="205"/>
      <c r="F454" s="205"/>
      <c r="G454" s="205"/>
      <c r="H454" s="205"/>
      <c r="I454" s="205"/>
      <c r="J454" s="205"/>
      <c r="K454" s="205"/>
      <c r="L454" s="205"/>
      <c r="M454" s="206"/>
      <c r="N454" s="206"/>
      <c r="O454" s="206"/>
    </row>
    <row r="455" spans="1:15" s="3" customFormat="1" x14ac:dyDescent="0.2">
      <c r="A455" s="208"/>
      <c r="B455" s="205"/>
      <c r="C455" s="208"/>
      <c r="D455" s="205"/>
      <c r="E455" s="205"/>
      <c r="F455" s="205"/>
      <c r="G455" s="205"/>
      <c r="H455" s="205"/>
      <c r="I455" s="205"/>
      <c r="J455" s="205"/>
      <c r="K455" s="205"/>
      <c r="L455" s="205"/>
      <c r="M455" s="206"/>
      <c r="N455" s="206"/>
      <c r="O455" s="206"/>
    </row>
    <row r="456" spans="1:15" s="3" customFormat="1" x14ac:dyDescent="0.2">
      <c r="A456" s="208"/>
      <c r="B456" s="205"/>
      <c r="C456" s="208"/>
      <c r="D456" s="205"/>
      <c r="E456" s="205"/>
      <c r="F456" s="205"/>
      <c r="G456" s="205"/>
      <c r="H456" s="205"/>
      <c r="I456" s="205"/>
      <c r="J456" s="205"/>
      <c r="K456" s="205"/>
      <c r="L456" s="205"/>
      <c r="M456" s="206"/>
      <c r="N456" s="206"/>
      <c r="O456" s="206"/>
    </row>
    <row r="457" spans="1:15" s="3" customFormat="1" x14ac:dyDescent="0.2">
      <c r="A457" s="208"/>
      <c r="B457" s="205"/>
      <c r="C457" s="208"/>
      <c r="D457" s="205"/>
      <c r="E457" s="205"/>
      <c r="F457" s="205"/>
      <c r="G457" s="205"/>
      <c r="H457" s="205"/>
      <c r="I457" s="205"/>
      <c r="J457" s="205"/>
      <c r="K457" s="205"/>
      <c r="L457" s="205"/>
      <c r="M457" s="206"/>
      <c r="N457" s="206"/>
      <c r="O457" s="206"/>
    </row>
    <row r="458" spans="1:15" s="3" customFormat="1" x14ac:dyDescent="0.2">
      <c r="A458" s="208"/>
      <c r="B458" s="205"/>
      <c r="C458" s="208"/>
      <c r="D458" s="205"/>
      <c r="E458" s="205"/>
      <c r="F458" s="205"/>
      <c r="G458" s="205"/>
      <c r="H458" s="205"/>
      <c r="I458" s="205"/>
      <c r="J458" s="205"/>
      <c r="K458" s="205"/>
      <c r="L458" s="205"/>
      <c r="M458" s="206"/>
      <c r="N458" s="206"/>
      <c r="O458" s="206"/>
    </row>
    <row r="459" spans="1:15" s="3" customFormat="1" x14ac:dyDescent="0.2">
      <c r="A459" s="208"/>
      <c r="B459" s="205"/>
      <c r="C459" s="208"/>
      <c r="D459" s="205"/>
      <c r="E459" s="205"/>
      <c r="F459" s="205"/>
      <c r="G459" s="205"/>
      <c r="H459" s="205"/>
      <c r="I459" s="205"/>
      <c r="J459" s="205"/>
      <c r="K459" s="205"/>
      <c r="L459" s="205"/>
      <c r="M459" s="206"/>
      <c r="N459" s="206"/>
      <c r="O459" s="206"/>
    </row>
    <row r="460" spans="1:15" s="3" customFormat="1" x14ac:dyDescent="0.2">
      <c r="A460" s="208"/>
      <c r="B460" s="205"/>
      <c r="C460" s="208"/>
      <c r="D460" s="205"/>
      <c r="E460" s="205"/>
      <c r="F460" s="205"/>
      <c r="G460" s="205"/>
      <c r="H460" s="205"/>
      <c r="I460" s="205"/>
      <c r="J460" s="205"/>
      <c r="K460" s="205"/>
      <c r="L460" s="205"/>
      <c r="M460" s="206"/>
      <c r="N460" s="206"/>
      <c r="O460" s="206"/>
    </row>
    <row r="461" spans="1:15" s="3" customFormat="1" x14ac:dyDescent="0.2">
      <c r="A461" s="208"/>
      <c r="B461" s="205"/>
      <c r="C461" s="208"/>
      <c r="D461" s="205"/>
      <c r="E461" s="205"/>
      <c r="F461" s="205"/>
      <c r="G461" s="205"/>
      <c r="H461" s="205"/>
      <c r="I461" s="205"/>
      <c r="J461" s="205"/>
      <c r="K461" s="205"/>
      <c r="L461" s="205"/>
      <c r="M461" s="206"/>
      <c r="N461" s="206"/>
      <c r="O461" s="206"/>
    </row>
    <row r="462" spans="1:15" s="3" customFormat="1" x14ac:dyDescent="0.2">
      <c r="A462" s="208"/>
      <c r="B462" s="205"/>
      <c r="C462" s="208"/>
      <c r="D462" s="205"/>
      <c r="E462" s="205"/>
      <c r="F462" s="205"/>
      <c r="G462" s="205"/>
      <c r="H462" s="205"/>
      <c r="I462" s="205"/>
      <c r="J462" s="205"/>
      <c r="K462" s="205"/>
      <c r="L462" s="205"/>
      <c r="M462" s="206"/>
      <c r="N462" s="206"/>
      <c r="O462" s="206"/>
    </row>
    <row r="463" spans="1:15" s="3" customFormat="1" x14ac:dyDescent="0.2">
      <c r="A463" s="208"/>
      <c r="B463" s="205"/>
      <c r="C463" s="208"/>
      <c r="D463" s="205"/>
      <c r="E463" s="205"/>
      <c r="F463" s="205"/>
      <c r="G463" s="205"/>
      <c r="H463" s="205"/>
      <c r="I463" s="205"/>
      <c r="J463" s="205"/>
      <c r="K463" s="205"/>
      <c r="L463" s="205"/>
      <c r="M463" s="206"/>
      <c r="N463" s="206"/>
      <c r="O463" s="206"/>
    </row>
    <row r="464" spans="1:15" s="3" customFormat="1" x14ac:dyDescent="0.2">
      <c r="A464" s="208"/>
      <c r="B464" s="205"/>
      <c r="C464" s="208"/>
      <c r="D464" s="205"/>
      <c r="E464" s="205"/>
      <c r="F464" s="205"/>
      <c r="G464" s="205"/>
      <c r="H464" s="205"/>
      <c r="I464" s="205"/>
      <c r="J464" s="205"/>
      <c r="K464" s="205"/>
      <c r="L464" s="205"/>
      <c r="M464" s="206"/>
      <c r="N464" s="206"/>
      <c r="O464" s="206"/>
    </row>
    <row r="465" spans="1:15" s="3" customFormat="1" x14ac:dyDescent="0.2">
      <c r="A465" s="208"/>
      <c r="B465" s="205"/>
      <c r="C465" s="208"/>
      <c r="D465" s="205"/>
      <c r="E465" s="205"/>
      <c r="F465" s="205"/>
      <c r="G465" s="205"/>
      <c r="H465" s="205"/>
      <c r="I465" s="205"/>
      <c r="J465" s="205"/>
      <c r="K465" s="205"/>
      <c r="L465" s="205"/>
      <c r="M465" s="206"/>
      <c r="N465" s="206"/>
      <c r="O465" s="206"/>
    </row>
    <row r="466" spans="1:15" s="3" customFormat="1" x14ac:dyDescent="0.2">
      <c r="A466" s="208"/>
      <c r="B466" s="205"/>
      <c r="C466" s="208"/>
      <c r="D466" s="205"/>
      <c r="E466" s="205"/>
      <c r="F466" s="205"/>
      <c r="G466" s="205"/>
      <c r="H466" s="205"/>
      <c r="I466" s="205"/>
      <c r="J466" s="205"/>
      <c r="K466" s="205"/>
      <c r="L466" s="205"/>
      <c r="M466" s="206"/>
      <c r="N466" s="206"/>
      <c r="O466" s="206"/>
    </row>
    <row r="467" spans="1:15" s="3" customFormat="1" x14ac:dyDescent="0.2">
      <c r="A467" s="208"/>
      <c r="B467" s="205"/>
      <c r="C467" s="208"/>
      <c r="D467" s="205"/>
      <c r="E467" s="205"/>
      <c r="F467" s="205"/>
      <c r="G467" s="205"/>
      <c r="H467" s="205"/>
      <c r="I467" s="205"/>
      <c r="J467" s="205"/>
      <c r="K467" s="205"/>
      <c r="L467" s="205"/>
      <c r="M467" s="206"/>
      <c r="N467" s="206"/>
      <c r="O467" s="206"/>
    </row>
    <row r="468" spans="1:15" s="3" customFormat="1" x14ac:dyDescent="0.2">
      <c r="A468" s="208"/>
      <c r="B468" s="205"/>
      <c r="C468" s="208"/>
      <c r="D468" s="205"/>
      <c r="E468" s="205"/>
      <c r="F468" s="205"/>
      <c r="G468" s="205"/>
      <c r="H468" s="205"/>
      <c r="I468" s="205"/>
      <c r="J468" s="205"/>
      <c r="K468" s="205"/>
      <c r="L468" s="205"/>
      <c r="M468" s="206"/>
      <c r="N468" s="206"/>
      <c r="O468" s="206"/>
    </row>
    <row r="469" spans="1:15" s="3" customFormat="1" x14ac:dyDescent="0.2">
      <c r="A469" s="208"/>
      <c r="B469" s="205"/>
      <c r="C469" s="208"/>
      <c r="D469" s="205"/>
      <c r="E469" s="205"/>
      <c r="F469" s="205"/>
      <c r="G469" s="205"/>
      <c r="H469" s="205"/>
      <c r="I469" s="205"/>
      <c r="J469" s="205"/>
      <c r="K469" s="205"/>
      <c r="L469" s="205"/>
      <c r="M469" s="206"/>
      <c r="N469" s="206"/>
      <c r="O469" s="206"/>
    </row>
    <row r="470" spans="1:15" s="3" customFormat="1" x14ac:dyDescent="0.2">
      <c r="A470" s="208"/>
      <c r="B470" s="205"/>
      <c r="C470" s="208"/>
      <c r="D470" s="205"/>
      <c r="E470" s="205"/>
      <c r="F470" s="205"/>
      <c r="G470" s="205"/>
      <c r="H470" s="205"/>
      <c r="I470" s="205"/>
      <c r="J470" s="205"/>
      <c r="K470" s="205"/>
      <c r="L470" s="205"/>
      <c r="M470" s="206"/>
      <c r="N470" s="206"/>
      <c r="O470" s="206"/>
    </row>
    <row r="471" spans="1:15" s="3" customFormat="1" x14ac:dyDescent="0.2">
      <c r="A471" s="208"/>
      <c r="B471" s="205"/>
      <c r="C471" s="208"/>
      <c r="D471" s="205"/>
      <c r="E471" s="205"/>
      <c r="F471" s="205"/>
      <c r="G471" s="205"/>
      <c r="H471" s="205"/>
      <c r="I471" s="205"/>
      <c r="J471" s="205"/>
      <c r="K471" s="205"/>
      <c r="L471" s="205"/>
      <c r="M471" s="206"/>
      <c r="N471" s="206"/>
      <c r="O471" s="206"/>
    </row>
    <row r="472" spans="1:15" s="3" customFormat="1" x14ac:dyDescent="0.2">
      <c r="A472" s="208"/>
      <c r="B472" s="205"/>
      <c r="C472" s="208"/>
      <c r="D472" s="205"/>
      <c r="E472" s="205"/>
      <c r="F472" s="205"/>
      <c r="G472" s="205"/>
      <c r="H472" s="205"/>
      <c r="I472" s="205"/>
      <c r="J472" s="205"/>
      <c r="K472" s="205"/>
      <c r="L472" s="205"/>
      <c r="M472" s="206"/>
      <c r="N472" s="206"/>
      <c r="O472" s="206"/>
    </row>
    <row r="473" spans="1:15" s="3" customFormat="1" x14ac:dyDescent="0.2">
      <c r="A473" s="208"/>
      <c r="B473" s="205"/>
      <c r="C473" s="208"/>
      <c r="D473" s="205"/>
      <c r="E473" s="205"/>
      <c r="F473" s="205"/>
      <c r="G473" s="205"/>
      <c r="H473" s="205"/>
      <c r="I473" s="205"/>
      <c r="J473" s="205"/>
      <c r="K473" s="205"/>
      <c r="L473" s="205"/>
      <c r="M473" s="206"/>
      <c r="N473" s="206"/>
      <c r="O473" s="206"/>
    </row>
    <row r="474" spans="1:15" s="3" customFormat="1" x14ac:dyDescent="0.2">
      <c r="A474" s="208"/>
      <c r="B474" s="205"/>
      <c r="C474" s="208"/>
      <c r="D474" s="205"/>
      <c r="E474" s="205"/>
      <c r="F474" s="205"/>
      <c r="G474" s="205"/>
      <c r="H474" s="205"/>
      <c r="I474" s="205"/>
      <c r="J474" s="205"/>
      <c r="K474" s="205"/>
      <c r="L474" s="205"/>
      <c r="M474" s="206"/>
      <c r="N474" s="206"/>
      <c r="O474" s="206"/>
    </row>
    <row r="475" spans="1:15" s="3" customFormat="1" x14ac:dyDescent="0.2">
      <c r="A475" s="208"/>
      <c r="B475" s="205"/>
      <c r="C475" s="208"/>
      <c r="D475" s="205"/>
      <c r="E475" s="205"/>
      <c r="F475" s="205"/>
      <c r="G475" s="205"/>
      <c r="H475" s="205"/>
      <c r="I475" s="205"/>
      <c r="J475" s="205"/>
      <c r="K475" s="205"/>
      <c r="L475" s="205"/>
      <c r="M475" s="206"/>
      <c r="N475" s="206"/>
      <c r="O475" s="206"/>
    </row>
    <row r="476" spans="1:15" s="3" customFormat="1" x14ac:dyDescent="0.2">
      <c r="A476" s="208"/>
      <c r="B476" s="205"/>
      <c r="C476" s="208"/>
      <c r="D476" s="205"/>
      <c r="E476" s="205"/>
      <c r="F476" s="205"/>
      <c r="G476" s="205"/>
      <c r="H476" s="205"/>
      <c r="I476" s="205"/>
      <c r="J476" s="205"/>
      <c r="K476" s="205"/>
      <c r="L476" s="205"/>
      <c r="M476" s="206"/>
      <c r="N476" s="206"/>
      <c r="O476" s="206"/>
    </row>
    <row r="477" spans="1:15" s="3" customFormat="1" x14ac:dyDescent="0.2">
      <c r="A477" s="208"/>
      <c r="B477" s="205"/>
      <c r="C477" s="208"/>
      <c r="D477" s="205"/>
      <c r="E477" s="205"/>
      <c r="F477" s="205"/>
      <c r="G477" s="205"/>
      <c r="H477" s="205"/>
      <c r="I477" s="205"/>
      <c r="J477" s="205"/>
      <c r="K477" s="205"/>
      <c r="L477" s="205"/>
      <c r="M477" s="206"/>
      <c r="N477" s="206"/>
      <c r="O477" s="206"/>
    </row>
    <row r="478" spans="1:15" s="3" customFormat="1" x14ac:dyDescent="0.2">
      <c r="A478" s="208"/>
      <c r="B478" s="205"/>
      <c r="C478" s="208"/>
      <c r="D478" s="205"/>
      <c r="E478" s="205"/>
      <c r="F478" s="205"/>
      <c r="G478" s="205"/>
      <c r="H478" s="205"/>
      <c r="I478" s="205"/>
      <c r="J478" s="205"/>
      <c r="K478" s="205"/>
      <c r="L478" s="205"/>
      <c r="M478" s="206"/>
      <c r="N478" s="206"/>
      <c r="O478" s="206"/>
    </row>
    <row r="479" spans="1:15" s="3" customFormat="1" x14ac:dyDescent="0.2">
      <c r="A479" s="208"/>
      <c r="B479" s="205"/>
      <c r="C479" s="208"/>
      <c r="D479" s="205"/>
      <c r="E479" s="205"/>
      <c r="F479" s="205"/>
      <c r="G479" s="205"/>
      <c r="H479" s="205"/>
      <c r="I479" s="205"/>
      <c r="J479" s="205"/>
      <c r="K479" s="205"/>
      <c r="L479" s="205"/>
      <c r="M479" s="206"/>
      <c r="N479" s="206"/>
      <c r="O479" s="206"/>
    </row>
    <row r="480" spans="1:15" s="3" customFormat="1" x14ac:dyDescent="0.2">
      <c r="A480" s="208"/>
      <c r="B480" s="205"/>
      <c r="C480" s="208"/>
      <c r="D480" s="205"/>
      <c r="E480" s="205"/>
      <c r="F480" s="205"/>
      <c r="G480" s="205"/>
      <c r="H480" s="205"/>
      <c r="I480" s="205"/>
      <c r="J480" s="205"/>
      <c r="K480" s="205"/>
      <c r="L480" s="205"/>
      <c r="M480" s="206"/>
      <c r="N480" s="206"/>
      <c r="O480" s="206"/>
    </row>
    <row r="481" spans="1:15" s="3" customFormat="1" x14ac:dyDescent="0.2">
      <c r="A481" s="208"/>
      <c r="B481" s="205"/>
      <c r="C481" s="208"/>
      <c r="D481" s="205"/>
      <c r="E481" s="205"/>
      <c r="F481" s="205"/>
      <c r="G481" s="205"/>
      <c r="H481" s="205"/>
      <c r="I481" s="205"/>
      <c r="J481" s="205"/>
      <c r="K481" s="205"/>
      <c r="L481" s="205"/>
      <c r="M481" s="206"/>
      <c r="N481" s="206"/>
      <c r="O481" s="206"/>
    </row>
    <row r="482" spans="1:15" s="3" customFormat="1" x14ac:dyDescent="0.2">
      <c r="A482" s="208"/>
      <c r="B482" s="205"/>
      <c r="C482" s="208"/>
      <c r="D482" s="205"/>
      <c r="E482" s="205"/>
      <c r="F482" s="205"/>
      <c r="G482" s="205"/>
      <c r="H482" s="205"/>
      <c r="I482" s="205"/>
      <c r="J482" s="205"/>
      <c r="K482" s="205"/>
      <c r="L482" s="205"/>
      <c r="M482" s="206"/>
      <c r="N482" s="206"/>
      <c r="O482" s="206"/>
    </row>
    <row r="483" spans="1:15" s="3" customFormat="1" x14ac:dyDescent="0.2">
      <c r="A483" s="208"/>
      <c r="B483" s="205"/>
      <c r="C483" s="208"/>
      <c r="D483" s="205"/>
      <c r="E483" s="205"/>
      <c r="F483" s="205"/>
      <c r="G483" s="205"/>
      <c r="H483" s="205"/>
      <c r="I483" s="205"/>
      <c r="J483" s="205"/>
      <c r="K483" s="205"/>
      <c r="L483" s="205"/>
      <c r="M483" s="206"/>
      <c r="N483" s="206"/>
      <c r="O483" s="20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"/>
  <sheetViews>
    <sheetView workbookViewId="0">
      <selection activeCell="F11" sqref="F11"/>
    </sheetView>
  </sheetViews>
  <sheetFormatPr defaultRowHeight="11.25" x14ac:dyDescent="0.2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U105"/>
  <sheetViews>
    <sheetView workbookViewId="0">
      <selection activeCell="J35" sqref="J35"/>
    </sheetView>
  </sheetViews>
  <sheetFormatPr defaultRowHeight="11.25" x14ac:dyDescent="0.2"/>
  <cols>
    <col min="4" max="4" width="19.6640625" customWidth="1"/>
    <col min="5" max="5" width="14.6640625" customWidth="1"/>
    <col min="7" max="7" width="15.1640625" customWidth="1"/>
    <col min="10" max="10" width="40.83203125" customWidth="1"/>
    <col min="11" max="11" width="17.6640625" customWidth="1"/>
    <col min="12" max="12" width="12.5" customWidth="1"/>
    <col min="15" max="15" width="37.5" customWidth="1"/>
    <col min="20" max="20" width="17" customWidth="1"/>
  </cols>
  <sheetData>
    <row r="1" spans="1:21" ht="12.75" x14ac:dyDescent="0.2">
      <c r="A1" s="276" t="s">
        <v>1202</v>
      </c>
      <c r="B1" s="276" t="s">
        <v>4</v>
      </c>
      <c r="C1" s="276" t="s">
        <v>1203</v>
      </c>
      <c r="D1" s="276" t="s">
        <v>3</v>
      </c>
      <c r="E1" s="276" t="s">
        <v>15</v>
      </c>
      <c r="F1" s="276" t="s">
        <v>1204</v>
      </c>
      <c r="G1" s="276" t="s">
        <v>1205</v>
      </c>
      <c r="H1" s="276" t="s">
        <v>1206</v>
      </c>
      <c r="I1" s="276" t="s">
        <v>6</v>
      </c>
      <c r="J1" s="276" t="s">
        <v>5</v>
      </c>
      <c r="K1" s="276" t="s">
        <v>1207</v>
      </c>
      <c r="L1" s="276" t="s">
        <v>1208</v>
      </c>
      <c r="M1" s="276" t="s">
        <v>1209</v>
      </c>
      <c r="N1" s="276" t="s">
        <v>1210</v>
      </c>
      <c r="O1" s="276" t="s">
        <v>1211</v>
      </c>
      <c r="P1" s="276" t="s">
        <v>1212</v>
      </c>
      <c r="Q1" s="276" t="s">
        <v>1213</v>
      </c>
    </row>
    <row r="2" spans="1:21" x14ac:dyDescent="0.2">
      <c r="A2" s="403" t="s">
        <v>1214</v>
      </c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</row>
    <row r="3" spans="1:21" x14ac:dyDescent="0.2">
      <c r="A3" s="277">
        <v>1</v>
      </c>
      <c r="B3" s="278" t="s">
        <v>1215</v>
      </c>
      <c r="C3" s="278" t="s">
        <v>1216</v>
      </c>
      <c r="D3" s="278" t="s">
        <v>69</v>
      </c>
      <c r="E3" s="279">
        <v>3800</v>
      </c>
      <c r="F3" s="278" t="s">
        <v>1217</v>
      </c>
      <c r="G3" s="278" t="s">
        <v>1218</v>
      </c>
      <c r="H3" s="278"/>
      <c r="I3" s="278" t="s">
        <v>1219</v>
      </c>
      <c r="J3" s="278" t="s">
        <v>1220</v>
      </c>
      <c r="K3" s="278" t="s">
        <v>1215</v>
      </c>
      <c r="L3" s="280">
        <v>512000841</v>
      </c>
      <c r="M3" s="278" t="s">
        <v>1221</v>
      </c>
      <c r="N3" s="278" t="s">
        <v>1221</v>
      </c>
      <c r="O3" s="278" t="s">
        <v>1222</v>
      </c>
      <c r="P3" s="278" t="s">
        <v>1223</v>
      </c>
      <c r="Q3" s="278"/>
    </row>
    <row r="4" spans="1:21" x14ac:dyDescent="0.2">
      <c r="A4" s="277">
        <v>1</v>
      </c>
      <c r="B4" s="278" t="s">
        <v>1224</v>
      </c>
      <c r="C4" s="278" t="s">
        <v>1225</v>
      </c>
      <c r="D4" s="278" t="s">
        <v>69</v>
      </c>
      <c r="E4" s="279">
        <v>50000</v>
      </c>
      <c r="F4" s="278" t="s">
        <v>1217</v>
      </c>
      <c r="G4" s="278" t="s">
        <v>1218</v>
      </c>
      <c r="H4" s="278"/>
      <c r="I4" s="278" t="s">
        <v>1219</v>
      </c>
      <c r="J4" s="278" t="s">
        <v>1220</v>
      </c>
      <c r="K4" s="278" t="s">
        <v>1224</v>
      </c>
      <c r="L4" s="280">
        <v>524000961</v>
      </c>
      <c r="M4" s="278" t="s">
        <v>1221</v>
      </c>
      <c r="N4" s="278" t="s">
        <v>1221</v>
      </c>
      <c r="O4" s="278"/>
      <c r="P4" s="278" t="s">
        <v>1223</v>
      </c>
      <c r="Q4" s="278"/>
    </row>
    <row r="5" spans="1:21" x14ac:dyDescent="0.2">
      <c r="A5" s="277">
        <v>1</v>
      </c>
      <c r="B5" s="278" t="s">
        <v>1226</v>
      </c>
      <c r="C5" s="278" t="s">
        <v>1227</v>
      </c>
      <c r="D5" s="278" t="s">
        <v>69</v>
      </c>
      <c r="E5" s="279">
        <v>1700</v>
      </c>
      <c r="F5" s="278" t="s">
        <v>1217</v>
      </c>
      <c r="G5" s="278" t="s">
        <v>1218</v>
      </c>
      <c r="H5" s="278"/>
      <c r="I5" s="278" t="s">
        <v>1219</v>
      </c>
      <c r="J5" s="278" t="s">
        <v>1220</v>
      </c>
      <c r="K5" s="278" t="s">
        <v>1226</v>
      </c>
      <c r="L5" s="280">
        <v>527000795</v>
      </c>
      <c r="M5" s="278" t="s">
        <v>1221</v>
      </c>
      <c r="N5" s="278" t="s">
        <v>1221</v>
      </c>
      <c r="O5" s="278" t="s">
        <v>1222</v>
      </c>
      <c r="P5" s="278" t="s">
        <v>1223</v>
      </c>
      <c r="Q5" s="278"/>
      <c r="T5">
        <f>SUBTOTAL(9,T7:T13)</f>
        <v>58261.116000000002</v>
      </c>
    </row>
    <row r="6" spans="1:21" x14ac:dyDescent="0.2">
      <c r="A6" s="403" t="s">
        <v>1228</v>
      </c>
      <c r="B6" s="403"/>
      <c r="C6" s="403"/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T6" s="196"/>
    </row>
    <row r="7" spans="1:21" hidden="1" x14ac:dyDescent="0.2">
      <c r="A7" s="277">
        <v>1</v>
      </c>
      <c r="B7" s="278" t="s">
        <v>1229</v>
      </c>
      <c r="C7" s="278" t="s">
        <v>1230</v>
      </c>
      <c r="D7" s="278" t="s">
        <v>69</v>
      </c>
      <c r="E7" s="279">
        <v>79573.929999999993</v>
      </c>
      <c r="F7" s="278" t="s">
        <v>1217</v>
      </c>
      <c r="G7" s="278" t="s">
        <v>1218</v>
      </c>
      <c r="H7" s="278"/>
      <c r="I7" s="278" t="s">
        <v>1219</v>
      </c>
      <c r="J7" s="278" t="s">
        <v>1231</v>
      </c>
      <c r="K7" s="278" t="s">
        <v>1232</v>
      </c>
      <c r="L7" s="280">
        <v>425051058</v>
      </c>
      <c r="M7" s="278" t="s">
        <v>1221</v>
      </c>
      <c r="N7" s="278" t="s">
        <v>1221</v>
      </c>
      <c r="O7" s="278" t="s">
        <v>1233</v>
      </c>
      <c r="P7" s="278" t="s">
        <v>1223</v>
      </c>
      <c r="Q7" s="278"/>
      <c r="S7" s="310" t="s">
        <v>1345</v>
      </c>
      <c r="T7" s="313">
        <v>19653.396000000001</v>
      </c>
      <c r="U7" t="s">
        <v>1346</v>
      </c>
    </row>
    <row r="8" spans="1:21" hidden="1" x14ac:dyDescent="0.2">
      <c r="A8" s="277">
        <v>1</v>
      </c>
      <c r="B8" s="278" t="s">
        <v>1229</v>
      </c>
      <c r="C8" s="278" t="s">
        <v>1234</v>
      </c>
      <c r="D8" s="278" t="s">
        <v>69</v>
      </c>
      <c r="E8" s="279">
        <v>164452.21</v>
      </c>
      <c r="F8" s="278" t="s">
        <v>1217</v>
      </c>
      <c r="G8" s="278" t="s">
        <v>1218</v>
      </c>
      <c r="H8" s="278"/>
      <c r="I8" s="278" t="s">
        <v>1219</v>
      </c>
      <c r="J8" s="278" t="s">
        <v>1231</v>
      </c>
      <c r="K8" s="278" t="s">
        <v>1232</v>
      </c>
      <c r="L8" s="280">
        <v>425051432</v>
      </c>
      <c r="M8" s="278" t="s">
        <v>1221</v>
      </c>
      <c r="N8" s="278" t="s">
        <v>1221</v>
      </c>
      <c r="O8" s="278" t="s">
        <v>1233</v>
      </c>
      <c r="P8" s="278" t="s">
        <v>1223</v>
      </c>
      <c r="Q8" s="278"/>
      <c r="S8" t="s">
        <v>1347</v>
      </c>
      <c r="T8" s="313">
        <v>1938965.304</v>
      </c>
      <c r="U8" t="s">
        <v>1346</v>
      </c>
    </row>
    <row r="9" spans="1:21" x14ac:dyDescent="0.2">
      <c r="A9" s="277">
        <v>1</v>
      </c>
      <c r="B9" s="278" t="s">
        <v>1235</v>
      </c>
      <c r="C9" s="278" t="s">
        <v>1236</v>
      </c>
      <c r="D9" s="278" t="s">
        <v>69</v>
      </c>
      <c r="E9" s="279">
        <v>77699.320000000007</v>
      </c>
      <c r="F9" s="278" t="s">
        <v>1217</v>
      </c>
      <c r="G9" s="278" t="s">
        <v>1218</v>
      </c>
      <c r="H9" s="278"/>
      <c r="I9" s="278" t="s">
        <v>1219</v>
      </c>
      <c r="J9" s="278" t="s">
        <v>1231</v>
      </c>
      <c r="K9" s="278" t="s">
        <v>1235</v>
      </c>
      <c r="L9" s="280">
        <v>502029764</v>
      </c>
      <c r="M9" s="278" t="s">
        <v>1221</v>
      </c>
      <c r="N9" s="278" t="s">
        <v>1221</v>
      </c>
      <c r="O9" s="278" t="s">
        <v>1233</v>
      </c>
      <c r="P9" s="278" t="s">
        <v>1223</v>
      </c>
      <c r="Q9" s="278"/>
      <c r="T9" s="196">
        <v>39580.128000000004</v>
      </c>
      <c r="U9" t="s">
        <v>1348</v>
      </c>
    </row>
    <row r="10" spans="1:21" hidden="1" x14ac:dyDescent="0.2">
      <c r="A10" s="277">
        <v>1</v>
      </c>
      <c r="B10" s="278" t="s">
        <v>1235</v>
      </c>
      <c r="C10" s="278" t="s">
        <v>1237</v>
      </c>
      <c r="D10" s="278" t="s">
        <v>69</v>
      </c>
      <c r="E10" s="279">
        <v>13866</v>
      </c>
      <c r="F10" s="278" t="s">
        <v>1217</v>
      </c>
      <c r="G10" s="278" t="s">
        <v>1218</v>
      </c>
      <c r="H10" s="278"/>
      <c r="I10" s="278" t="s">
        <v>1219</v>
      </c>
      <c r="J10" s="278" t="s">
        <v>1231</v>
      </c>
      <c r="K10" s="278" t="s">
        <v>1235</v>
      </c>
      <c r="L10" s="280">
        <v>502010108</v>
      </c>
      <c r="M10" s="278" t="s">
        <v>1221</v>
      </c>
      <c r="N10" s="278" t="s">
        <v>1221</v>
      </c>
      <c r="O10" s="278" t="s">
        <v>1238</v>
      </c>
      <c r="P10" s="278" t="s">
        <v>1223</v>
      </c>
      <c r="Q10" s="278"/>
      <c r="T10" s="196">
        <v>342301.48799999995</v>
      </c>
      <c r="U10" t="s">
        <v>1349</v>
      </c>
    </row>
    <row r="11" spans="1:21" hidden="1" x14ac:dyDescent="0.2">
      <c r="A11" s="277">
        <v>1</v>
      </c>
      <c r="B11" s="278" t="s">
        <v>1235</v>
      </c>
      <c r="C11" s="278" t="s">
        <v>1239</v>
      </c>
      <c r="D11" s="278" t="s">
        <v>69</v>
      </c>
      <c r="E11" s="279">
        <v>66251.48</v>
      </c>
      <c r="F11" s="278" t="s">
        <v>1217</v>
      </c>
      <c r="G11" s="278" t="s">
        <v>1218</v>
      </c>
      <c r="H11" s="278"/>
      <c r="I11" s="278" t="s">
        <v>1219</v>
      </c>
      <c r="J11" s="278" t="s">
        <v>1231</v>
      </c>
      <c r="K11" s="278" t="s">
        <v>1235</v>
      </c>
      <c r="L11" s="280">
        <v>502010436</v>
      </c>
      <c r="M11" s="278" t="s">
        <v>1221</v>
      </c>
      <c r="N11" s="278" t="s">
        <v>1221</v>
      </c>
      <c r="O11" s="278" t="s">
        <v>1240</v>
      </c>
      <c r="P11" s="278" t="s">
        <v>1223</v>
      </c>
      <c r="Q11" s="278"/>
      <c r="S11" t="s">
        <v>1350</v>
      </c>
      <c r="T11" s="313">
        <f>374706-3020.79</f>
        <v>371685.21</v>
      </c>
      <c r="U11" t="s">
        <v>1346</v>
      </c>
    </row>
    <row r="12" spans="1:21" x14ac:dyDescent="0.2">
      <c r="A12" s="277">
        <v>1</v>
      </c>
      <c r="B12" s="278" t="s">
        <v>1235</v>
      </c>
      <c r="C12" s="278" t="s">
        <v>1241</v>
      </c>
      <c r="D12" s="278" t="s">
        <v>69</v>
      </c>
      <c r="E12" s="279">
        <v>199284.31</v>
      </c>
      <c r="F12" s="278" t="s">
        <v>1217</v>
      </c>
      <c r="G12" s="278" t="s">
        <v>1218</v>
      </c>
      <c r="H12" s="278"/>
      <c r="I12" s="278" t="s">
        <v>1219</v>
      </c>
      <c r="J12" s="278" t="s">
        <v>1231</v>
      </c>
      <c r="K12" s="278" t="s">
        <v>1235</v>
      </c>
      <c r="L12" s="280">
        <v>502030696</v>
      </c>
      <c r="M12" s="278" t="s">
        <v>1221</v>
      </c>
      <c r="N12" s="278" t="s">
        <v>1221</v>
      </c>
      <c r="O12" s="278" t="s">
        <v>1233</v>
      </c>
      <c r="P12" s="278" t="s">
        <v>1223</v>
      </c>
      <c r="Q12" s="278"/>
      <c r="T12" s="196">
        <v>18680.987999999998</v>
      </c>
      <c r="U12" t="s">
        <v>1348</v>
      </c>
    </row>
    <row r="13" spans="1:21" hidden="1" x14ac:dyDescent="0.2">
      <c r="A13" s="277">
        <v>1</v>
      </c>
      <c r="B13" s="278" t="s">
        <v>1242</v>
      </c>
      <c r="C13" s="278" t="s">
        <v>1243</v>
      </c>
      <c r="D13" s="278" t="s">
        <v>69</v>
      </c>
      <c r="E13" s="279">
        <v>10860</v>
      </c>
      <c r="F13" s="278" t="s">
        <v>1217</v>
      </c>
      <c r="G13" s="278" t="s">
        <v>1218</v>
      </c>
      <c r="H13" s="278"/>
      <c r="I13" s="278" t="s">
        <v>1219</v>
      </c>
      <c r="J13" s="278" t="s">
        <v>1231</v>
      </c>
      <c r="K13" s="278" t="s">
        <v>1242</v>
      </c>
      <c r="L13" s="280">
        <v>509002840</v>
      </c>
      <c r="M13" s="278" t="s">
        <v>1221</v>
      </c>
      <c r="N13" s="278" t="s">
        <v>1221</v>
      </c>
      <c r="O13" s="278" t="s">
        <v>1238</v>
      </c>
      <c r="P13" s="278" t="s">
        <v>1223</v>
      </c>
      <c r="Q13" s="278"/>
      <c r="T13" s="196">
        <v>62192.82</v>
      </c>
      <c r="U13" t="s">
        <v>1349</v>
      </c>
    </row>
    <row r="14" spans="1:21" hidden="1" x14ac:dyDescent="0.2">
      <c r="A14" s="277">
        <v>1</v>
      </c>
      <c r="B14" s="278" t="s">
        <v>1242</v>
      </c>
      <c r="C14" s="278" t="s">
        <v>1244</v>
      </c>
      <c r="D14" s="278" t="s">
        <v>69</v>
      </c>
      <c r="E14" s="279">
        <v>84439.51</v>
      </c>
      <c r="F14" s="278" t="s">
        <v>1217</v>
      </c>
      <c r="G14" s="278" t="s">
        <v>1218</v>
      </c>
      <c r="H14" s="278"/>
      <c r="I14" s="278" t="s">
        <v>1219</v>
      </c>
      <c r="J14" s="278" t="s">
        <v>1231</v>
      </c>
      <c r="K14" s="278" t="s">
        <v>1242</v>
      </c>
      <c r="L14" s="280">
        <v>509003186</v>
      </c>
      <c r="M14" s="278" t="s">
        <v>1221</v>
      </c>
      <c r="N14" s="278" t="s">
        <v>1221</v>
      </c>
      <c r="O14" s="278" t="s">
        <v>1240</v>
      </c>
      <c r="P14" s="278" t="s">
        <v>1223</v>
      </c>
      <c r="Q14" s="278"/>
    </row>
    <row r="15" spans="1:21" hidden="1" x14ac:dyDescent="0.2">
      <c r="A15" s="277">
        <v>1</v>
      </c>
      <c r="B15" s="278" t="s">
        <v>1242</v>
      </c>
      <c r="C15" s="278" t="s">
        <v>1245</v>
      </c>
      <c r="D15" s="278" t="s">
        <v>69</v>
      </c>
      <c r="E15" s="279">
        <v>46989.08</v>
      </c>
      <c r="F15" s="278" t="s">
        <v>1217</v>
      </c>
      <c r="G15" s="278" t="s">
        <v>1218</v>
      </c>
      <c r="H15" s="278"/>
      <c r="I15" s="278" t="s">
        <v>1219</v>
      </c>
      <c r="J15" s="278" t="s">
        <v>1231</v>
      </c>
      <c r="K15" s="278" t="s">
        <v>1242</v>
      </c>
      <c r="L15" s="280">
        <v>509023704</v>
      </c>
      <c r="M15" s="278" t="s">
        <v>1221</v>
      </c>
      <c r="N15" s="278" t="s">
        <v>1221</v>
      </c>
      <c r="O15" s="278" t="s">
        <v>1233</v>
      </c>
      <c r="P15" s="278" t="s">
        <v>1223</v>
      </c>
      <c r="Q15" s="278"/>
      <c r="T15" s="312">
        <f>SUM(T7:T14)-E29</f>
        <v>4.0000001899898052E-3</v>
      </c>
    </row>
    <row r="16" spans="1:21" hidden="1" x14ac:dyDescent="0.2">
      <c r="A16" s="277">
        <v>1</v>
      </c>
      <c r="B16" s="278" t="s">
        <v>1242</v>
      </c>
      <c r="C16" s="278" t="s">
        <v>1246</v>
      </c>
      <c r="D16" s="278" t="s">
        <v>69</v>
      </c>
      <c r="E16" s="279">
        <v>658593.34</v>
      </c>
      <c r="F16" s="278" t="s">
        <v>1217</v>
      </c>
      <c r="G16" s="278" t="s">
        <v>1218</v>
      </c>
      <c r="H16" s="278"/>
      <c r="I16" s="278" t="s">
        <v>1219</v>
      </c>
      <c r="J16" s="278" t="s">
        <v>1231</v>
      </c>
      <c r="K16" s="278" t="s">
        <v>1242</v>
      </c>
      <c r="L16" s="280">
        <v>509024565</v>
      </c>
      <c r="M16" s="278" t="s">
        <v>1221</v>
      </c>
      <c r="N16" s="278" t="s">
        <v>1221</v>
      </c>
      <c r="O16" s="278" t="s">
        <v>1233</v>
      </c>
      <c r="P16" s="278" t="s">
        <v>1223</v>
      </c>
      <c r="Q16" s="278"/>
    </row>
    <row r="17" spans="1:17" x14ac:dyDescent="0.2">
      <c r="A17" s="277">
        <v>1</v>
      </c>
      <c r="B17" s="278" t="s">
        <v>1247</v>
      </c>
      <c r="C17" s="278" t="s">
        <v>1248</v>
      </c>
      <c r="D17" s="278" t="s">
        <v>69</v>
      </c>
      <c r="E17" s="279">
        <v>14717</v>
      </c>
      <c r="F17" s="278" t="s">
        <v>1217</v>
      </c>
      <c r="G17" s="278" t="s">
        <v>1218</v>
      </c>
      <c r="H17" s="278"/>
      <c r="I17" s="278" t="s">
        <v>1219</v>
      </c>
      <c r="J17" s="278" t="s">
        <v>1231</v>
      </c>
      <c r="K17" s="278" t="s">
        <v>1247</v>
      </c>
      <c r="L17" s="280">
        <v>516000203</v>
      </c>
      <c r="M17" s="278" t="s">
        <v>1221</v>
      </c>
      <c r="N17" s="278" t="s">
        <v>1221</v>
      </c>
      <c r="O17" s="278" t="s">
        <v>1238</v>
      </c>
      <c r="P17" s="278" t="s">
        <v>1223</v>
      </c>
      <c r="Q17" s="278"/>
    </row>
    <row r="18" spans="1:17" x14ac:dyDescent="0.2">
      <c r="A18" s="277">
        <v>1</v>
      </c>
      <c r="B18" s="278" t="s">
        <v>1247</v>
      </c>
      <c r="C18" s="278" t="s">
        <v>1249</v>
      </c>
      <c r="D18" s="278" t="s">
        <v>69</v>
      </c>
      <c r="E18" s="279">
        <v>71667.66</v>
      </c>
      <c r="F18" s="278" t="s">
        <v>1217</v>
      </c>
      <c r="G18" s="278" t="s">
        <v>1218</v>
      </c>
      <c r="H18" s="278"/>
      <c r="I18" s="278" t="s">
        <v>1219</v>
      </c>
      <c r="J18" s="278" t="s">
        <v>1231</v>
      </c>
      <c r="K18" s="278" t="s">
        <v>1247</v>
      </c>
      <c r="L18" s="280">
        <v>516000434</v>
      </c>
      <c r="M18" s="278" t="s">
        <v>1221</v>
      </c>
      <c r="N18" s="278" t="s">
        <v>1221</v>
      </c>
      <c r="O18" s="278" t="s">
        <v>1240</v>
      </c>
      <c r="P18" s="278" t="s">
        <v>1223</v>
      </c>
      <c r="Q18" s="278"/>
    </row>
    <row r="19" spans="1:17" x14ac:dyDescent="0.2">
      <c r="A19" s="277">
        <v>1</v>
      </c>
      <c r="B19" s="278" t="s">
        <v>1247</v>
      </c>
      <c r="C19" s="278" t="s">
        <v>1250</v>
      </c>
      <c r="D19" s="278" t="s">
        <v>69</v>
      </c>
      <c r="E19" s="279">
        <v>56895.94</v>
      </c>
      <c r="F19" s="278" t="s">
        <v>1217</v>
      </c>
      <c r="G19" s="278" t="s">
        <v>1218</v>
      </c>
      <c r="H19" s="278"/>
      <c r="I19" s="278" t="s">
        <v>1219</v>
      </c>
      <c r="J19" s="278" t="s">
        <v>1231</v>
      </c>
      <c r="K19" s="278" t="s">
        <v>1247</v>
      </c>
      <c r="L19" s="280">
        <v>516054781</v>
      </c>
      <c r="M19" s="278" t="s">
        <v>1221</v>
      </c>
      <c r="N19" s="278" t="s">
        <v>1221</v>
      </c>
      <c r="O19" s="278" t="s">
        <v>1233</v>
      </c>
      <c r="P19" s="278" t="s">
        <v>1223</v>
      </c>
      <c r="Q19" s="278"/>
    </row>
    <row r="20" spans="1:17" x14ac:dyDescent="0.2">
      <c r="A20" s="277">
        <v>1</v>
      </c>
      <c r="B20" s="278" t="s">
        <v>1247</v>
      </c>
      <c r="C20" s="278" t="s">
        <v>1251</v>
      </c>
      <c r="D20" s="278" t="s">
        <v>69</v>
      </c>
      <c r="E20" s="279">
        <v>471292.63</v>
      </c>
      <c r="F20" s="278" t="s">
        <v>1217</v>
      </c>
      <c r="G20" s="278" t="s">
        <v>1218</v>
      </c>
      <c r="H20" s="278"/>
      <c r="I20" s="278" t="s">
        <v>1219</v>
      </c>
      <c r="J20" s="278" t="s">
        <v>1231</v>
      </c>
      <c r="K20" s="278" t="s">
        <v>1247</v>
      </c>
      <c r="L20" s="280">
        <v>516055102</v>
      </c>
      <c r="M20" s="278" t="s">
        <v>1221</v>
      </c>
      <c r="N20" s="278" t="s">
        <v>1221</v>
      </c>
      <c r="O20" s="278" t="s">
        <v>1233</v>
      </c>
      <c r="P20" s="278" t="s">
        <v>1223</v>
      </c>
      <c r="Q20" s="278"/>
    </row>
    <row r="21" spans="1:17" x14ac:dyDescent="0.2">
      <c r="A21" s="277">
        <v>1</v>
      </c>
      <c r="B21" s="278" t="s">
        <v>1252</v>
      </c>
      <c r="C21" s="278" t="s">
        <v>1253</v>
      </c>
      <c r="D21" s="278" t="s">
        <v>69</v>
      </c>
      <c r="E21" s="279">
        <v>86813.04</v>
      </c>
      <c r="F21" s="278" t="s">
        <v>1217</v>
      </c>
      <c r="G21" s="278" t="s">
        <v>1218</v>
      </c>
      <c r="H21" s="278"/>
      <c r="I21" s="278" t="s">
        <v>1219</v>
      </c>
      <c r="J21" s="278" t="s">
        <v>1231</v>
      </c>
      <c r="K21" s="278" t="s">
        <v>1252</v>
      </c>
      <c r="L21" s="280">
        <v>523048540</v>
      </c>
      <c r="M21" s="278" t="s">
        <v>1221</v>
      </c>
      <c r="N21" s="278" t="s">
        <v>1221</v>
      </c>
      <c r="O21" s="278" t="s">
        <v>1240</v>
      </c>
      <c r="P21" s="278" t="s">
        <v>1223</v>
      </c>
      <c r="Q21" s="278"/>
    </row>
    <row r="22" spans="1:17" x14ac:dyDescent="0.2">
      <c r="A22" s="277">
        <v>1</v>
      </c>
      <c r="B22" s="278" t="s">
        <v>1252</v>
      </c>
      <c r="C22" s="278" t="s">
        <v>1254</v>
      </c>
      <c r="D22" s="278" t="s">
        <v>69</v>
      </c>
      <c r="E22" s="279">
        <v>11896</v>
      </c>
      <c r="F22" s="278" t="s">
        <v>1217</v>
      </c>
      <c r="G22" s="278" t="s">
        <v>1218</v>
      </c>
      <c r="H22" s="278"/>
      <c r="I22" s="278" t="s">
        <v>1219</v>
      </c>
      <c r="J22" s="278" t="s">
        <v>1231</v>
      </c>
      <c r="K22" s="278" t="s">
        <v>1252</v>
      </c>
      <c r="L22" s="280">
        <v>523051430</v>
      </c>
      <c r="M22" s="278" t="s">
        <v>1221</v>
      </c>
      <c r="N22" s="278" t="s">
        <v>1221</v>
      </c>
      <c r="O22" s="278" t="s">
        <v>1238</v>
      </c>
      <c r="P22" s="278" t="s">
        <v>1223</v>
      </c>
      <c r="Q22" s="278"/>
    </row>
    <row r="23" spans="1:17" x14ac:dyDescent="0.2">
      <c r="A23" s="277">
        <v>1</v>
      </c>
      <c r="B23" s="278" t="s">
        <v>1252</v>
      </c>
      <c r="C23" s="278" t="s">
        <v>1255</v>
      </c>
      <c r="D23" s="278" t="s">
        <v>69</v>
      </c>
      <c r="E23" s="279">
        <v>27286.11</v>
      </c>
      <c r="F23" s="278" t="s">
        <v>1217</v>
      </c>
      <c r="G23" s="278" t="s">
        <v>1218</v>
      </c>
      <c r="H23" s="278"/>
      <c r="I23" s="278" t="s">
        <v>1219</v>
      </c>
      <c r="J23" s="278" t="s">
        <v>1231</v>
      </c>
      <c r="K23" s="278" t="s">
        <v>1252</v>
      </c>
      <c r="L23" s="280">
        <v>523095273</v>
      </c>
      <c r="M23" s="278" t="s">
        <v>1221</v>
      </c>
      <c r="N23" s="278" t="s">
        <v>1221</v>
      </c>
      <c r="O23" s="278" t="s">
        <v>1233</v>
      </c>
      <c r="P23" s="278" t="s">
        <v>1223</v>
      </c>
      <c r="Q23" s="278"/>
    </row>
    <row r="24" spans="1:17" x14ac:dyDescent="0.2">
      <c r="A24" s="277">
        <v>1</v>
      </c>
      <c r="B24" s="278" t="s">
        <v>1252</v>
      </c>
      <c r="C24" s="278" t="s">
        <v>1256</v>
      </c>
      <c r="D24" s="278" t="s">
        <v>69</v>
      </c>
      <c r="E24" s="279">
        <v>215711.87</v>
      </c>
      <c r="F24" s="278" t="s">
        <v>1217</v>
      </c>
      <c r="G24" s="278" t="s">
        <v>1218</v>
      </c>
      <c r="H24" s="278"/>
      <c r="I24" s="278" t="s">
        <v>1219</v>
      </c>
      <c r="J24" s="278" t="s">
        <v>1231</v>
      </c>
      <c r="K24" s="278" t="s">
        <v>1252</v>
      </c>
      <c r="L24" s="280">
        <v>523095720</v>
      </c>
      <c r="M24" s="278" t="s">
        <v>1221</v>
      </c>
      <c r="N24" s="278" t="s">
        <v>1221</v>
      </c>
      <c r="O24" s="278" t="s">
        <v>1233</v>
      </c>
      <c r="P24" s="278" t="s">
        <v>1223</v>
      </c>
      <c r="Q24" s="278"/>
    </row>
    <row r="25" spans="1:17" x14ac:dyDescent="0.2">
      <c r="A25" s="277">
        <v>1</v>
      </c>
      <c r="B25" s="278" t="s">
        <v>1257</v>
      </c>
      <c r="C25" s="278" t="s">
        <v>1258</v>
      </c>
      <c r="D25" s="278" t="s">
        <v>69</v>
      </c>
      <c r="E25" s="279">
        <v>11900</v>
      </c>
      <c r="F25" s="278" t="s">
        <v>1217</v>
      </c>
      <c r="G25" s="278" t="s">
        <v>1218</v>
      </c>
      <c r="H25" s="278"/>
      <c r="I25" s="278" t="s">
        <v>1219</v>
      </c>
      <c r="J25" s="278" t="s">
        <v>1231</v>
      </c>
      <c r="K25" s="278" t="s">
        <v>1257</v>
      </c>
      <c r="L25" s="280">
        <v>530004357</v>
      </c>
      <c r="M25" s="278" t="s">
        <v>1221</v>
      </c>
      <c r="N25" s="278" t="s">
        <v>1221</v>
      </c>
      <c r="O25" s="278" t="s">
        <v>1238</v>
      </c>
      <c r="P25" s="278" t="s">
        <v>1223</v>
      </c>
      <c r="Q25" s="278"/>
    </row>
    <row r="26" spans="1:17" x14ac:dyDescent="0.2">
      <c r="A26" s="277">
        <v>1</v>
      </c>
      <c r="B26" s="278" t="s">
        <v>1257</v>
      </c>
      <c r="C26" s="278" t="s">
        <v>1259</v>
      </c>
      <c r="D26" s="278" t="s">
        <v>69</v>
      </c>
      <c r="E26" s="279">
        <v>99801.71</v>
      </c>
      <c r="F26" s="278" t="s">
        <v>1217</v>
      </c>
      <c r="G26" s="278" t="s">
        <v>1218</v>
      </c>
      <c r="H26" s="278"/>
      <c r="I26" s="278" t="s">
        <v>1219</v>
      </c>
      <c r="J26" s="278" t="s">
        <v>1231</v>
      </c>
      <c r="K26" s="278" t="s">
        <v>1257</v>
      </c>
      <c r="L26" s="280">
        <v>530004746</v>
      </c>
      <c r="M26" s="278" t="s">
        <v>1221</v>
      </c>
      <c r="N26" s="278" t="s">
        <v>1221</v>
      </c>
      <c r="O26" s="278" t="s">
        <v>1240</v>
      </c>
      <c r="P26" s="278" t="s">
        <v>1223</v>
      </c>
      <c r="Q26" s="278"/>
    </row>
    <row r="27" spans="1:17" x14ac:dyDescent="0.2">
      <c r="A27" s="277">
        <v>1</v>
      </c>
      <c r="B27" s="278" t="s">
        <v>1257</v>
      </c>
      <c r="C27" s="278" t="s">
        <v>1260</v>
      </c>
      <c r="D27" s="278" t="s">
        <v>69</v>
      </c>
      <c r="E27" s="279">
        <v>26521.01</v>
      </c>
      <c r="F27" s="278" t="s">
        <v>1217</v>
      </c>
      <c r="G27" s="278" t="s">
        <v>1218</v>
      </c>
      <c r="H27" s="278"/>
      <c r="I27" s="278" t="s">
        <v>1219</v>
      </c>
      <c r="J27" s="278" t="s">
        <v>1231</v>
      </c>
      <c r="K27" s="278" t="s">
        <v>1257</v>
      </c>
      <c r="L27" s="280">
        <v>530015203</v>
      </c>
      <c r="M27" s="278" t="s">
        <v>1221</v>
      </c>
      <c r="N27" s="278" t="s">
        <v>1221</v>
      </c>
      <c r="O27" s="278" t="s">
        <v>1233</v>
      </c>
      <c r="P27" s="278" t="s">
        <v>1223</v>
      </c>
      <c r="Q27" s="278"/>
    </row>
    <row r="28" spans="1:17" x14ac:dyDescent="0.2">
      <c r="A28" s="277">
        <v>1</v>
      </c>
      <c r="B28" s="278" t="s">
        <v>1257</v>
      </c>
      <c r="C28" s="278" t="s">
        <v>1261</v>
      </c>
      <c r="D28" s="278" t="s">
        <v>69</v>
      </c>
      <c r="E28" s="279">
        <v>296547.18</v>
      </c>
      <c r="F28" s="278" t="s">
        <v>1217</v>
      </c>
      <c r="G28" s="278" t="s">
        <v>1218</v>
      </c>
      <c r="H28" s="278"/>
      <c r="I28" s="278" t="s">
        <v>1219</v>
      </c>
      <c r="J28" s="278" t="s">
        <v>1231</v>
      </c>
      <c r="K28" s="278" t="s">
        <v>1257</v>
      </c>
      <c r="L28" s="280">
        <v>530016910</v>
      </c>
      <c r="M28" s="278" t="s">
        <v>1221</v>
      </c>
      <c r="N28" s="278" t="s">
        <v>1221</v>
      </c>
      <c r="O28" s="278" t="s">
        <v>1233</v>
      </c>
      <c r="P28" s="278" t="s">
        <v>1223</v>
      </c>
      <c r="Q28" s="278"/>
    </row>
    <row r="29" spans="1:17" x14ac:dyDescent="0.2">
      <c r="E29" s="281">
        <f>SUM(E7:E28)</f>
        <v>2793059.3299999996</v>
      </c>
    </row>
    <row r="30" spans="1:17" x14ac:dyDescent="0.2">
      <c r="K30">
        <f>SUBTOTAL(9,K32:K10300)</f>
        <v>2851580.1360000004</v>
      </c>
    </row>
    <row r="31" spans="1:17" ht="12.75" x14ac:dyDescent="0.2">
      <c r="A31" s="302" t="s">
        <v>1274</v>
      </c>
      <c r="B31" s="303" t="s">
        <v>2</v>
      </c>
      <c r="C31" s="303"/>
      <c r="D31" s="303" t="s">
        <v>1275</v>
      </c>
      <c r="E31" s="304" t="s">
        <v>1276</v>
      </c>
      <c r="F31" s="303" t="s">
        <v>779</v>
      </c>
      <c r="G31" s="303"/>
      <c r="H31" s="303"/>
      <c r="I31" s="305" t="s">
        <v>780</v>
      </c>
      <c r="J31" s="303"/>
      <c r="K31" s="3"/>
    </row>
    <row r="32" spans="1:17" ht="12" x14ac:dyDescent="0.2">
      <c r="A32" s="306" t="s">
        <v>1229</v>
      </c>
      <c r="B32" s="306" t="s">
        <v>1277</v>
      </c>
      <c r="C32" s="306"/>
      <c r="D32" s="306" t="s">
        <v>1278</v>
      </c>
      <c r="E32" s="306" t="s">
        <v>1279</v>
      </c>
      <c r="F32" s="307" t="s">
        <v>1280</v>
      </c>
      <c r="G32" s="308">
        <v>57829.07</v>
      </c>
      <c r="H32" s="308"/>
      <c r="I32" s="307" t="s">
        <v>1281</v>
      </c>
      <c r="J32" s="156" t="s">
        <v>1220</v>
      </c>
      <c r="K32" s="156">
        <v>69394.883999999991</v>
      </c>
    </row>
    <row r="33" spans="1:11" ht="12" x14ac:dyDescent="0.2">
      <c r="A33" s="306" t="s">
        <v>1229</v>
      </c>
      <c r="B33" s="306" t="s">
        <v>1277</v>
      </c>
      <c r="C33" s="306"/>
      <c r="D33" s="306" t="s">
        <v>1282</v>
      </c>
      <c r="E33" s="306" t="s">
        <v>1279</v>
      </c>
      <c r="F33" s="307" t="s">
        <v>1280</v>
      </c>
      <c r="G33" s="308">
        <v>3893.32</v>
      </c>
      <c r="H33" s="308"/>
      <c r="I33" s="307" t="s">
        <v>1281</v>
      </c>
      <c r="J33" s="156" t="s">
        <v>1283</v>
      </c>
      <c r="K33" s="156">
        <v>4671.9840000000004</v>
      </c>
    </row>
    <row r="34" spans="1:11" ht="12" x14ac:dyDescent="0.2">
      <c r="A34" s="306" t="s">
        <v>1229</v>
      </c>
      <c r="B34" s="306" t="s">
        <v>1277</v>
      </c>
      <c r="C34" s="306"/>
      <c r="D34" s="306" t="s">
        <v>1284</v>
      </c>
      <c r="E34" s="306" t="s">
        <v>1279</v>
      </c>
      <c r="F34" s="307" t="s">
        <v>1280</v>
      </c>
      <c r="G34" s="308">
        <v>4589.22</v>
      </c>
      <c r="H34" s="308"/>
      <c r="I34" s="307" t="s">
        <v>1281</v>
      </c>
      <c r="J34" s="156" t="s">
        <v>1285</v>
      </c>
      <c r="K34" s="156">
        <v>5507.0640000000003</v>
      </c>
    </row>
    <row r="35" spans="1:11" ht="12" x14ac:dyDescent="0.2">
      <c r="A35" s="306" t="s">
        <v>1229</v>
      </c>
      <c r="B35" s="306" t="s">
        <v>1286</v>
      </c>
      <c r="C35" s="306"/>
      <c r="D35" s="306" t="s">
        <v>1278</v>
      </c>
      <c r="E35" s="306" t="s">
        <v>1287</v>
      </c>
      <c r="F35" s="307" t="s">
        <v>1280</v>
      </c>
      <c r="G35" s="308">
        <v>86774.47</v>
      </c>
      <c r="H35" s="308"/>
      <c r="I35" s="307" t="s">
        <v>1281</v>
      </c>
      <c r="J35" s="156" t="s">
        <v>1220</v>
      </c>
      <c r="K35" s="156">
        <v>104129.364</v>
      </c>
    </row>
    <row r="36" spans="1:11" ht="12" x14ac:dyDescent="0.2">
      <c r="A36" s="306" t="s">
        <v>1229</v>
      </c>
      <c r="B36" s="306" t="s">
        <v>1286</v>
      </c>
      <c r="C36" s="306"/>
      <c r="D36" s="306" t="s">
        <v>1282</v>
      </c>
      <c r="E36" s="306" t="s">
        <v>1287</v>
      </c>
      <c r="F36" s="307" t="s">
        <v>1280</v>
      </c>
      <c r="G36" s="308">
        <v>1831.17</v>
      </c>
      <c r="H36" s="308"/>
      <c r="I36" s="307" t="s">
        <v>1281</v>
      </c>
      <c r="J36" s="156" t="s">
        <v>1283</v>
      </c>
      <c r="K36" s="156">
        <v>2197.404</v>
      </c>
    </row>
    <row r="37" spans="1:11" ht="12" x14ac:dyDescent="0.2">
      <c r="A37" s="306" t="s">
        <v>1229</v>
      </c>
      <c r="B37" s="306" t="s">
        <v>1286</v>
      </c>
      <c r="C37" s="306"/>
      <c r="D37" s="306" t="s">
        <v>1284</v>
      </c>
      <c r="E37" s="306" t="s">
        <v>1287</v>
      </c>
      <c r="F37" s="307" t="s">
        <v>1280</v>
      </c>
      <c r="G37" s="308">
        <v>48437.87</v>
      </c>
      <c r="H37" s="308"/>
      <c r="I37" s="307" t="s">
        <v>1281</v>
      </c>
      <c r="J37" s="156" t="s">
        <v>1285</v>
      </c>
      <c r="K37" s="156">
        <v>58125.444000000003</v>
      </c>
    </row>
    <row r="38" spans="1:11" ht="48" x14ac:dyDescent="0.2">
      <c r="A38" s="306" t="s">
        <v>1235</v>
      </c>
      <c r="B38" s="306" t="s">
        <v>1288</v>
      </c>
      <c r="C38" s="306"/>
      <c r="D38" s="311" t="s">
        <v>1278</v>
      </c>
      <c r="E38" s="306" t="s">
        <v>1289</v>
      </c>
      <c r="F38" s="307" t="s">
        <v>1280</v>
      </c>
      <c r="G38" s="308">
        <v>53388.67</v>
      </c>
      <c r="H38" s="308"/>
      <c r="I38" s="307" t="s">
        <v>1281</v>
      </c>
      <c r="J38" s="156" t="s">
        <v>1220</v>
      </c>
      <c r="K38" s="156">
        <v>64066.403999999995</v>
      </c>
    </row>
    <row r="39" spans="1:11" ht="12" x14ac:dyDescent="0.2">
      <c r="A39" s="306" t="s">
        <v>1235</v>
      </c>
      <c r="B39" s="306" t="s">
        <v>1288</v>
      </c>
      <c r="C39" s="306"/>
      <c r="D39" s="306" t="s">
        <v>1282</v>
      </c>
      <c r="E39" s="306" t="s">
        <v>1289</v>
      </c>
      <c r="F39" s="307" t="s">
        <v>1280</v>
      </c>
      <c r="G39" s="308">
        <v>3833.35</v>
      </c>
      <c r="H39" s="308"/>
      <c r="I39" s="307" t="s">
        <v>1281</v>
      </c>
      <c r="J39" s="156" t="s">
        <v>1283</v>
      </c>
      <c r="K39" s="156">
        <v>4600.0199999999995</v>
      </c>
    </row>
    <row r="40" spans="1:11" ht="12" x14ac:dyDescent="0.2">
      <c r="A40" s="306" t="s">
        <v>1235</v>
      </c>
      <c r="B40" s="306" t="s">
        <v>1288</v>
      </c>
      <c r="C40" s="306"/>
      <c r="D40" s="306" t="s">
        <v>1284</v>
      </c>
      <c r="E40" s="306" t="s">
        <v>1289</v>
      </c>
      <c r="F40" s="307" t="s">
        <v>1280</v>
      </c>
      <c r="G40" s="308">
        <v>7527.41</v>
      </c>
      <c r="H40" s="308"/>
      <c r="I40" s="307" t="s">
        <v>1281</v>
      </c>
      <c r="J40" s="156" t="s">
        <v>1285</v>
      </c>
      <c r="K40" s="156">
        <v>9032.8919999999998</v>
      </c>
    </row>
    <row r="41" spans="1:11" ht="12" x14ac:dyDescent="0.2">
      <c r="A41" s="306" t="s">
        <v>1235</v>
      </c>
      <c r="B41" s="306" t="s">
        <v>1290</v>
      </c>
      <c r="C41" s="306"/>
      <c r="D41" s="306" t="s">
        <v>1291</v>
      </c>
      <c r="E41" s="306" t="s">
        <v>1292</v>
      </c>
      <c r="F41" s="307" t="s">
        <v>1280</v>
      </c>
      <c r="G41" s="308">
        <v>8294.17</v>
      </c>
      <c r="H41" s="308"/>
      <c r="I41" s="307" t="s">
        <v>1281</v>
      </c>
      <c r="J41" s="156" t="s">
        <v>1220</v>
      </c>
      <c r="K41" s="156">
        <v>9953.003999999999</v>
      </c>
    </row>
    <row r="42" spans="1:11" ht="12" x14ac:dyDescent="0.2">
      <c r="A42" s="306" t="s">
        <v>1235</v>
      </c>
      <c r="B42" s="306" t="s">
        <v>1290</v>
      </c>
      <c r="C42" s="306"/>
      <c r="D42" s="306" t="s">
        <v>1293</v>
      </c>
      <c r="E42" s="306" t="s">
        <v>1292</v>
      </c>
      <c r="F42" s="307" t="s">
        <v>1280</v>
      </c>
      <c r="G42" s="308">
        <v>2305.83</v>
      </c>
      <c r="H42" s="308"/>
      <c r="I42" s="307" t="s">
        <v>1281</v>
      </c>
      <c r="J42" s="156" t="s">
        <v>1283</v>
      </c>
      <c r="K42" s="156">
        <v>2766.9959999999996</v>
      </c>
    </row>
    <row r="43" spans="1:11" ht="12" x14ac:dyDescent="0.2">
      <c r="A43" s="306" t="s">
        <v>1235</v>
      </c>
      <c r="B43" s="306" t="s">
        <v>1290</v>
      </c>
      <c r="C43" s="306"/>
      <c r="D43" s="306" t="s">
        <v>1294</v>
      </c>
      <c r="E43" s="306" t="s">
        <v>1292</v>
      </c>
      <c r="F43" s="307" t="s">
        <v>1280</v>
      </c>
      <c r="G43" s="308">
        <v>1035.5</v>
      </c>
      <c r="H43" s="308"/>
      <c r="I43" s="307" t="s">
        <v>1281</v>
      </c>
      <c r="J43" s="156" t="s">
        <v>1285</v>
      </c>
      <c r="K43" s="156">
        <v>1242.5999999999999</v>
      </c>
    </row>
    <row r="44" spans="1:11" ht="12" x14ac:dyDescent="0.2">
      <c r="A44" s="306" t="s">
        <v>1235</v>
      </c>
      <c r="B44" s="306" t="s">
        <v>1295</v>
      </c>
      <c r="C44" s="306"/>
      <c r="D44" s="306" t="s">
        <v>1291</v>
      </c>
      <c r="E44" s="306" t="s">
        <v>1296</v>
      </c>
      <c r="F44" s="307" t="s">
        <v>1280</v>
      </c>
      <c r="G44" s="308">
        <v>42025</v>
      </c>
      <c r="H44" s="308"/>
      <c r="I44" s="307" t="s">
        <v>1281</v>
      </c>
      <c r="J44" s="156" t="s">
        <v>1220</v>
      </c>
      <c r="K44" s="156">
        <v>50430</v>
      </c>
    </row>
    <row r="45" spans="1:11" ht="12" x14ac:dyDescent="0.2">
      <c r="A45" s="306" t="s">
        <v>1235</v>
      </c>
      <c r="B45" s="306" t="s">
        <v>1295</v>
      </c>
      <c r="C45" s="306"/>
      <c r="D45" s="306" t="s">
        <v>1293</v>
      </c>
      <c r="E45" s="306" t="s">
        <v>1296</v>
      </c>
      <c r="F45" s="307" t="s">
        <v>1280</v>
      </c>
      <c r="G45" s="309">
        <v>485</v>
      </c>
      <c r="H45" s="309"/>
      <c r="I45" s="307" t="s">
        <v>1281</v>
      </c>
      <c r="J45" s="156" t="s">
        <v>1283</v>
      </c>
      <c r="K45" s="156">
        <v>582</v>
      </c>
    </row>
    <row r="46" spans="1:11" ht="12" x14ac:dyDescent="0.2">
      <c r="A46" s="306" t="s">
        <v>1235</v>
      </c>
      <c r="B46" s="306" t="s">
        <v>1295</v>
      </c>
      <c r="C46" s="306"/>
      <c r="D46" s="306" t="s">
        <v>1294</v>
      </c>
      <c r="E46" s="306" t="s">
        <v>1296</v>
      </c>
      <c r="F46" s="307" t="s">
        <v>1280</v>
      </c>
      <c r="G46" s="308">
        <v>9600.67</v>
      </c>
      <c r="H46" s="308"/>
      <c r="I46" s="307" t="s">
        <v>1281</v>
      </c>
      <c r="J46" s="156" t="s">
        <v>1285</v>
      </c>
      <c r="K46" s="156">
        <v>11520.804</v>
      </c>
    </row>
    <row r="47" spans="1:11" ht="12" x14ac:dyDescent="0.2">
      <c r="A47" s="306" t="s">
        <v>1235</v>
      </c>
      <c r="B47" s="306" t="s">
        <v>1297</v>
      </c>
      <c r="C47" s="306"/>
      <c r="D47" s="306" t="s">
        <v>1298</v>
      </c>
      <c r="E47" s="306" t="s">
        <v>1296</v>
      </c>
      <c r="F47" s="307" t="s">
        <v>1280</v>
      </c>
      <c r="G47" s="308">
        <v>3359.57</v>
      </c>
      <c r="H47" s="308"/>
      <c r="I47" s="307" t="s">
        <v>1281</v>
      </c>
      <c r="J47" s="156" t="s">
        <v>1220</v>
      </c>
      <c r="K47" s="156">
        <v>4031.4839999999999</v>
      </c>
    </row>
    <row r="48" spans="1:11" ht="12" x14ac:dyDescent="0.2">
      <c r="A48" s="306" t="s">
        <v>1235</v>
      </c>
      <c r="B48" s="306" t="s">
        <v>1299</v>
      </c>
      <c r="C48" s="306"/>
      <c r="D48" s="306" t="s">
        <v>1278</v>
      </c>
      <c r="E48" s="306" t="s">
        <v>1300</v>
      </c>
      <c r="F48" s="307" t="s">
        <v>1280</v>
      </c>
      <c r="G48" s="308">
        <v>114722.11</v>
      </c>
      <c r="H48" s="308"/>
      <c r="I48" s="307" t="s">
        <v>1281</v>
      </c>
      <c r="J48" s="156" t="s">
        <v>1220</v>
      </c>
      <c r="K48" s="156">
        <v>137666.53200000001</v>
      </c>
    </row>
    <row r="49" spans="1:11" ht="12" x14ac:dyDescent="0.2">
      <c r="A49" s="306" t="s">
        <v>1235</v>
      </c>
      <c r="B49" s="306" t="s">
        <v>1299</v>
      </c>
      <c r="C49" s="306"/>
      <c r="D49" s="306" t="s">
        <v>1282</v>
      </c>
      <c r="E49" s="306" t="s">
        <v>1300</v>
      </c>
      <c r="F49" s="307" t="s">
        <v>1280</v>
      </c>
      <c r="G49" s="308">
        <v>1088.0899999999999</v>
      </c>
      <c r="H49" s="308"/>
      <c r="I49" s="307" t="s">
        <v>1281</v>
      </c>
      <c r="J49" s="156" t="s">
        <v>1283</v>
      </c>
      <c r="K49" s="156">
        <v>1305.7079999999999</v>
      </c>
    </row>
    <row r="50" spans="1:11" ht="12" x14ac:dyDescent="0.2">
      <c r="A50" s="306" t="s">
        <v>1235</v>
      </c>
      <c r="B50" s="306" t="s">
        <v>1299</v>
      </c>
      <c r="C50" s="306"/>
      <c r="D50" s="306" t="s">
        <v>1284</v>
      </c>
      <c r="E50" s="306" t="s">
        <v>1300</v>
      </c>
      <c r="F50" s="307" t="s">
        <v>1280</v>
      </c>
      <c r="G50" s="308">
        <v>50260.06</v>
      </c>
      <c r="H50" s="308"/>
      <c r="I50" s="307" t="s">
        <v>1281</v>
      </c>
      <c r="J50" s="156" t="s">
        <v>1285</v>
      </c>
      <c r="K50" s="156">
        <v>60312.071999999993</v>
      </c>
    </row>
    <row r="51" spans="1:11" ht="12" x14ac:dyDescent="0.2">
      <c r="A51" s="306" t="s">
        <v>1242</v>
      </c>
      <c r="B51" s="306" t="s">
        <v>1301</v>
      </c>
      <c r="C51" s="306"/>
      <c r="D51" s="306" t="s">
        <v>1291</v>
      </c>
      <c r="E51" s="306" t="s">
        <v>1302</v>
      </c>
      <c r="F51" s="307" t="s">
        <v>1280</v>
      </c>
      <c r="G51" s="308">
        <v>5793.33</v>
      </c>
      <c r="H51" s="308"/>
      <c r="I51" s="307" t="s">
        <v>1281</v>
      </c>
      <c r="J51" s="156" t="s">
        <v>1220</v>
      </c>
      <c r="K51" s="156">
        <v>6951.9960000000001</v>
      </c>
    </row>
    <row r="52" spans="1:11" ht="12" x14ac:dyDescent="0.2">
      <c r="A52" s="306" t="s">
        <v>1242</v>
      </c>
      <c r="B52" s="306" t="s">
        <v>1301</v>
      </c>
      <c r="C52" s="306"/>
      <c r="D52" s="306" t="s">
        <v>1293</v>
      </c>
      <c r="E52" s="306" t="s">
        <v>1302</v>
      </c>
      <c r="F52" s="307" t="s">
        <v>1280</v>
      </c>
      <c r="G52" s="308">
        <v>2579.17</v>
      </c>
      <c r="H52" s="308"/>
      <c r="I52" s="307" t="s">
        <v>1281</v>
      </c>
      <c r="J52" s="156" t="s">
        <v>1283</v>
      </c>
      <c r="K52" s="156">
        <v>3095.0039999999999</v>
      </c>
    </row>
    <row r="53" spans="1:11" ht="12" x14ac:dyDescent="0.2">
      <c r="A53" s="306" t="s">
        <v>1242</v>
      </c>
      <c r="B53" s="306" t="s">
        <v>1301</v>
      </c>
      <c r="C53" s="306"/>
      <c r="D53" s="306" t="s">
        <v>1294</v>
      </c>
      <c r="E53" s="306" t="s">
        <v>1302</v>
      </c>
      <c r="F53" s="307" t="s">
        <v>1280</v>
      </c>
      <c r="G53" s="309">
        <v>785.67</v>
      </c>
      <c r="H53" s="309"/>
      <c r="I53" s="307" t="s">
        <v>1281</v>
      </c>
      <c r="J53" s="156" t="s">
        <v>1285</v>
      </c>
      <c r="K53" s="156">
        <v>942.80399999999986</v>
      </c>
    </row>
    <row r="54" spans="1:11" ht="12" x14ac:dyDescent="0.2">
      <c r="A54" s="306" t="s">
        <v>1242</v>
      </c>
      <c r="B54" s="306" t="s">
        <v>1303</v>
      </c>
      <c r="C54" s="306"/>
      <c r="D54" s="306" t="s">
        <v>1291</v>
      </c>
      <c r="E54" s="306" t="s">
        <v>1304</v>
      </c>
      <c r="F54" s="307" t="s">
        <v>1280</v>
      </c>
      <c r="G54" s="308">
        <v>57766.67</v>
      </c>
      <c r="H54" s="308"/>
      <c r="I54" s="307" t="s">
        <v>1281</v>
      </c>
      <c r="J54" s="156" t="s">
        <v>1220</v>
      </c>
      <c r="K54" s="156">
        <v>69320.004000000001</v>
      </c>
    </row>
    <row r="55" spans="1:11" ht="12" x14ac:dyDescent="0.2">
      <c r="A55" s="306" t="s">
        <v>1242</v>
      </c>
      <c r="B55" s="306" t="s">
        <v>1303</v>
      </c>
      <c r="C55" s="306"/>
      <c r="D55" s="306" t="s">
        <v>1293</v>
      </c>
      <c r="E55" s="306" t="s">
        <v>1304</v>
      </c>
      <c r="F55" s="307" t="s">
        <v>1280</v>
      </c>
      <c r="G55" s="309">
        <v>652.5</v>
      </c>
      <c r="H55" s="309"/>
      <c r="I55" s="307" t="s">
        <v>1281</v>
      </c>
      <c r="J55" s="156" t="s">
        <v>1283</v>
      </c>
      <c r="K55" s="156">
        <v>783</v>
      </c>
    </row>
    <row r="56" spans="1:11" ht="12" x14ac:dyDescent="0.2">
      <c r="A56" s="306" t="s">
        <v>1242</v>
      </c>
      <c r="B56" s="306" t="s">
        <v>1303</v>
      </c>
      <c r="C56" s="306"/>
      <c r="D56" s="306" t="s">
        <v>1294</v>
      </c>
      <c r="E56" s="306" t="s">
        <v>1304</v>
      </c>
      <c r="F56" s="307" t="s">
        <v>1280</v>
      </c>
      <c r="G56" s="308">
        <v>8853</v>
      </c>
      <c r="H56" s="308"/>
      <c r="I56" s="307" t="s">
        <v>1281</v>
      </c>
      <c r="J56" s="156" t="s">
        <v>1285</v>
      </c>
      <c r="K56" s="156">
        <v>10623.6</v>
      </c>
    </row>
    <row r="57" spans="1:11" ht="12" x14ac:dyDescent="0.2">
      <c r="A57" s="306" t="s">
        <v>1242</v>
      </c>
      <c r="B57" s="306" t="s">
        <v>1305</v>
      </c>
      <c r="C57" s="306"/>
      <c r="D57" s="306" t="s">
        <v>1298</v>
      </c>
      <c r="E57" s="306" t="s">
        <v>1304</v>
      </c>
      <c r="F57" s="307" t="s">
        <v>1280</v>
      </c>
      <c r="G57" s="308">
        <v>3557.92</v>
      </c>
      <c r="H57" s="308"/>
      <c r="I57" s="307" t="s">
        <v>1281</v>
      </c>
      <c r="J57" s="156" t="s">
        <v>1220</v>
      </c>
      <c r="K57" s="156">
        <v>4269.5039999999999</v>
      </c>
    </row>
    <row r="58" spans="1:11" ht="12" x14ac:dyDescent="0.2">
      <c r="A58" s="306" t="s">
        <v>1242</v>
      </c>
      <c r="B58" s="306" t="s">
        <v>1306</v>
      </c>
      <c r="C58" s="306"/>
      <c r="D58" s="306" t="s">
        <v>1278</v>
      </c>
      <c r="E58" s="306" t="s">
        <v>1307</v>
      </c>
      <c r="F58" s="307" t="s">
        <v>1280</v>
      </c>
      <c r="G58" s="308">
        <v>31993.57</v>
      </c>
      <c r="H58" s="308"/>
      <c r="I58" s="307" t="s">
        <v>1281</v>
      </c>
      <c r="J58" s="156" t="s">
        <v>1220</v>
      </c>
      <c r="K58" s="156">
        <v>38392.284</v>
      </c>
    </row>
    <row r="59" spans="1:11" ht="12" x14ac:dyDescent="0.2">
      <c r="A59" s="306" t="s">
        <v>1242</v>
      </c>
      <c r="B59" s="306" t="s">
        <v>1306</v>
      </c>
      <c r="C59" s="306"/>
      <c r="D59" s="306" t="s">
        <v>1282</v>
      </c>
      <c r="E59" s="306" t="s">
        <v>1307</v>
      </c>
      <c r="F59" s="307" t="s">
        <v>1280</v>
      </c>
      <c r="G59" s="308">
        <v>5433.96</v>
      </c>
      <c r="H59" s="308"/>
      <c r="I59" s="307" t="s">
        <v>1281</v>
      </c>
      <c r="J59" s="156" t="s">
        <v>1283</v>
      </c>
      <c r="K59" s="156">
        <v>6520.7519999999995</v>
      </c>
    </row>
    <row r="60" spans="1:11" ht="12" x14ac:dyDescent="0.2">
      <c r="A60" s="306" t="s">
        <v>1242</v>
      </c>
      <c r="B60" s="306" t="s">
        <v>1306</v>
      </c>
      <c r="C60" s="306"/>
      <c r="D60" s="306" t="s">
        <v>1284</v>
      </c>
      <c r="E60" s="306" t="s">
        <v>1307</v>
      </c>
      <c r="F60" s="307" t="s">
        <v>1280</v>
      </c>
      <c r="G60" s="308">
        <v>1730.04</v>
      </c>
      <c r="H60" s="308"/>
      <c r="I60" s="307" t="s">
        <v>1281</v>
      </c>
      <c r="J60" s="156" t="s">
        <v>1285</v>
      </c>
      <c r="K60" s="156">
        <v>2076.0479999999998</v>
      </c>
    </row>
    <row r="61" spans="1:11" ht="12" x14ac:dyDescent="0.2">
      <c r="A61" s="306" t="s">
        <v>1242</v>
      </c>
      <c r="B61" s="306" t="s">
        <v>1308</v>
      </c>
      <c r="C61" s="306"/>
      <c r="D61" s="306" t="s">
        <v>1278</v>
      </c>
      <c r="E61" s="306" t="s">
        <v>1309</v>
      </c>
      <c r="F61" s="307" t="s">
        <v>1280</v>
      </c>
      <c r="G61" s="308">
        <v>483000.62</v>
      </c>
      <c r="H61" s="308"/>
      <c r="I61" s="307" t="s">
        <v>1281</v>
      </c>
      <c r="J61" s="156" t="s">
        <v>1220</v>
      </c>
      <c r="K61" s="156">
        <v>579600.74399999995</v>
      </c>
    </row>
    <row r="62" spans="1:11" ht="12" x14ac:dyDescent="0.2">
      <c r="A62" s="306" t="s">
        <v>1242</v>
      </c>
      <c r="B62" s="306" t="s">
        <v>1308</v>
      </c>
      <c r="C62" s="306"/>
      <c r="D62" s="306" t="s">
        <v>1282</v>
      </c>
      <c r="E62" s="306" t="s">
        <v>1309</v>
      </c>
      <c r="F62" s="307" t="s">
        <v>1280</v>
      </c>
      <c r="G62" s="308">
        <v>1741.88</v>
      </c>
      <c r="H62" s="308"/>
      <c r="I62" s="307" t="s">
        <v>1281</v>
      </c>
      <c r="J62" s="156" t="s">
        <v>1283</v>
      </c>
      <c r="K62" s="156">
        <v>2090.2559999999999</v>
      </c>
    </row>
    <row r="63" spans="1:11" ht="12" x14ac:dyDescent="0.2">
      <c r="A63" s="306" t="s">
        <v>1242</v>
      </c>
      <c r="B63" s="306" t="s">
        <v>1308</v>
      </c>
      <c r="C63" s="306"/>
      <c r="D63" s="306" t="s">
        <v>1284</v>
      </c>
      <c r="E63" s="306" t="s">
        <v>1309</v>
      </c>
      <c r="F63" s="307" t="s">
        <v>1280</v>
      </c>
      <c r="G63" s="308">
        <v>64085.279999999999</v>
      </c>
      <c r="H63" s="308"/>
      <c r="I63" s="307" t="s">
        <v>1281</v>
      </c>
      <c r="J63" s="156" t="s">
        <v>1285</v>
      </c>
      <c r="K63" s="156">
        <v>76902.335999999996</v>
      </c>
    </row>
    <row r="64" spans="1:11" ht="12" x14ac:dyDescent="0.2">
      <c r="A64" s="306" t="s">
        <v>1215</v>
      </c>
      <c r="B64" s="306" t="s">
        <v>1310</v>
      </c>
      <c r="C64" s="306"/>
      <c r="D64" s="306" t="s">
        <v>1311</v>
      </c>
      <c r="E64" s="306" t="s">
        <v>1312</v>
      </c>
      <c r="F64" s="307" t="s">
        <v>1280</v>
      </c>
      <c r="G64" s="308">
        <v>3166.67</v>
      </c>
      <c r="H64" s="308"/>
      <c r="I64" s="307" t="s">
        <v>1281</v>
      </c>
      <c r="J64" s="156" t="s">
        <v>1220</v>
      </c>
      <c r="K64" s="156">
        <v>3800.0039999999999</v>
      </c>
    </row>
    <row r="65" spans="1:11" ht="48" x14ac:dyDescent="0.2">
      <c r="A65" s="306" t="s">
        <v>1247</v>
      </c>
      <c r="B65" s="306" t="s">
        <v>1313</v>
      </c>
      <c r="C65" s="306"/>
      <c r="D65" s="311" t="s">
        <v>1291</v>
      </c>
      <c r="E65" s="306" t="s">
        <v>1314</v>
      </c>
      <c r="F65" s="307" t="s">
        <v>1280</v>
      </c>
      <c r="G65" s="308">
        <v>8603.33</v>
      </c>
      <c r="H65" s="308"/>
      <c r="I65" s="307" t="s">
        <v>1281</v>
      </c>
      <c r="J65" s="156" t="s">
        <v>1220</v>
      </c>
      <c r="K65" s="156">
        <v>10323.995999999999</v>
      </c>
    </row>
    <row r="66" spans="1:11" ht="12" x14ac:dyDescent="0.2">
      <c r="A66" s="306" t="s">
        <v>1247</v>
      </c>
      <c r="B66" s="306" t="s">
        <v>1313</v>
      </c>
      <c r="C66" s="306"/>
      <c r="D66" s="306" t="s">
        <v>1293</v>
      </c>
      <c r="E66" s="306" t="s">
        <v>1314</v>
      </c>
      <c r="F66" s="307" t="s">
        <v>1280</v>
      </c>
      <c r="G66" s="308">
        <v>2940.83</v>
      </c>
      <c r="H66" s="308"/>
      <c r="I66" s="307" t="s">
        <v>1281</v>
      </c>
      <c r="J66" s="156" t="s">
        <v>1283</v>
      </c>
      <c r="K66" s="156">
        <v>3528.9959999999996</v>
      </c>
    </row>
    <row r="67" spans="1:11" ht="12" x14ac:dyDescent="0.2">
      <c r="A67" s="306" t="s">
        <v>1247</v>
      </c>
      <c r="B67" s="306" t="s">
        <v>1313</v>
      </c>
      <c r="C67" s="306"/>
      <c r="D67" s="306" t="s">
        <v>1294</v>
      </c>
      <c r="E67" s="306" t="s">
        <v>1314</v>
      </c>
      <c r="F67" s="307" t="s">
        <v>1280</v>
      </c>
      <c r="G67" s="309">
        <v>792.67</v>
      </c>
      <c r="H67" s="309"/>
      <c r="I67" s="307" t="s">
        <v>1281</v>
      </c>
      <c r="J67" s="156" t="s">
        <v>1285</v>
      </c>
      <c r="K67" s="156">
        <v>951.20399999999995</v>
      </c>
    </row>
    <row r="68" spans="1:11" ht="12" x14ac:dyDescent="0.2">
      <c r="A68" s="306" t="s">
        <v>1247</v>
      </c>
      <c r="B68" s="306" t="s">
        <v>1315</v>
      </c>
      <c r="C68" s="306"/>
      <c r="D68" s="306" t="s">
        <v>1291</v>
      </c>
      <c r="E68" s="306" t="s">
        <v>1316</v>
      </c>
      <c r="F68" s="307" t="s">
        <v>1280</v>
      </c>
      <c r="G68" s="308">
        <v>48971.67</v>
      </c>
      <c r="H68" s="308"/>
      <c r="I68" s="307" t="s">
        <v>1281</v>
      </c>
      <c r="J68" s="156" t="s">
        <v>1220</v>
      </c>
      <c r="K68" s="156">
        <v>58766.003999999994</v>
      </c>
    </row>
    <row r="69" spans="1:11" ht="12" x14ac:dyDescent="0.2">
      <c r="A69" s="306" t="s">
        <v>1247</v>
      </c>
      <c r="B69" s="306" t="s">
        <v>1315</v>
      </c>
      <c r="C69" s="306"/>
      <c r="D69" s="306" t="s">
        <v>1293</v>
      </c>
      <c r="E69" s="306" t="s">
        <v>1316</v>
      </c>
      <c r="F69" s="307" t="s">
        <v>1280</v>
      </c>
      <c r="G69" s="309">
        <v>720.83</v>
      </c>
      <c r="H69" s="309"/>
      <c r="I69" s="307" t="s">
        <v>1281</v>
      </c>
      <c r="J69" s="156" t="s">
        <v>1283</v>
      </c>
      <c r="K69" s="156">
        <v>864.99599999999998</v>
      </c>
    </row>
    <row r="70" spans="1:11" ht="12" x14ac:dyDescent="0.2">
      <c r="A70" s="306" t="s">
        <v>1247</v>
      </c>
      <c r="B70" s="306" t="s">
        <v>1315</v>
      </c>
      <c r="C70" s="306"/>
      <c r="D70" s="306" t="s">
        <v>1294</v>
      </c>
      <c r="E70" s="306" t="s">
        <v>1316</v>
      </c>
      <c r="F70" s="307" t="s">
        <v>1280</v>
      </c>
      <c r="G70" s="308">
        <v>7264.67</v>
      </c>
      <c r="H70" s="308"/>
      <c r="I70" s="307" t="s">
        <v>1281</v>
      </c>
      <c r="J70" s="156" t="s">
        <v>1285</v>
      </c>
      <c r="K70" s="156">
        <v>8717.6039999999994</v>
      </c>
    </row>
    <row r="71" spans="1:11" ht="12" x14ac:dyDescent="0.2">
      <c r="A71" s="306" t="s">
        <v>1247</v>
      </c>
      <c r="B71" s="306" t="s">
        <v>1317</v>
      </c>
      <c r="C71" s="306"/>
      <c r="D71" s="306" t="s">
        <v>1298</v>
      </c>
      <c r="E71" s="306" t="s">
        <v>1316</v>
      </c>
      <c r="F71" s="307" t="s">
        <v>1280</v>
      </c>
      <c r="G71" s="308">
        <v>3195.55</v>
      </c>
      <c r="H71" s="308"/>
      <c r="I71" s="307" t="s">
        <v>1281</v>
      </c>
      <c r="J71" s="156" t="s">
        <v>1220</v>
      </c>
      <c r="K71" s="156">
        <v>3834.66</v>
      </c>
    </row>
    <row r="72" spans="1:11" ht="12" x14ac:dyDescent="0.2">
      <c r="A72" s="306" t="s">
        <v>1247</v>
      </c>
      <c r="B72" s="306" t="s">
        <v>1318</v>
      </c>
      <c r="C72" s="306"/>
      <c r="D72" s="306" t="s">
        <v>1278</v>
      </c>
      <c r="E72" s="306" t="s">
        <v>1319</v>
      </c>
      <c r="F72" s="307" t="s">
        <v>1280</v>
      </c>
      <c r="G72" s="308">
        <v>38801.360000000001</v>
      </c>
      <c r="H72" s="308"/>
      <c r="I72" s="307" t="s">
        <v>1281</v>
      </c>
      <c r="J72" s="156" t="s">
        <v>1220</v>
      </c>
      <c r="K72" s="156">
        <v>46561.631999999998</v>
      </c>
    </row>
    <row r="73" spans="1:11" ht="12" x14ac:dyDescent="0.2">
      <c r="A73" s="306" t="s">
        <v>1247</v>
      </c>
      <c r="B73" s="306" t="s">
        <v>1318</v>
      </c>
      <c r="C73" s="306"/>
      <c r="D73" s="306" t="s">
        <v>1282</v>
      </c>
      <c r="E73" s="306" t="s">
        <v>1319</v>
      </c>
      <c r="F73" s="307" t="s">
        <v>1280</v>
      </c>
      <c r="G73" s="308">
        <v>4486.51</v>
      </c>
      <c r="H73" s="308"/>
      <c r="I73" s="307" t="s">
        <v>1281</v>
      </c>
      <c r="J73" s="156" t="s">
        <v>1283</v>
      </c>
      <c r="K73" s="156">
        <v>5383.8119999999999</v>
      </c>
    </row>
    <row r="74" spans="1:11" ht="12" x14ac:dyDescent="0.2">
      <c r="A74" s="306" t="s">
        <v>1247</v>
      </c>
      <c r="B74" s="306" t="s">
        <v>1318</v>
      </c>
      <c r="C74" s="306"/>
      <c r="D74" s="306" t="s">
        <v>1284</v>
      </c>
      <c r="E74" s="306" t="s">
        <v>1319</v>
      </c>
      <c r="F74" s="307" t="s">
        <v>1280</v>
      </c>
      <c r="G74" s="308">
        <v>4125.41</v>
      </c>
      <c r="H74" s="308"/>
      <c r="I74" s="307" t="s">
        <v>1281</v>
      </c>
      <c r="J74" s="156" t="s">
        <v>1285</v>
      </c>
      <c r="K74" s="156">
        <v>4950.4919999999993</v>
      </c>
    </row>
    <row r="75" spans="1:11" ht="12" x14ac:dyDescent="0.2">
      <c r="A75" s="306" t="s">
        <v>1247</v>
      </c>
      <c r="B75" s="306" t="s">
        <v>1320</v>
      </c>
      <c r="C75" s="306"/>
      <c r="D75" s="306" t="s">
        <v>1278</v>
      </c>
      <c r="E75" s="306" t="s">
        <v>1321</v>
      </c>
      <c r="F75" s="307" t="s">
        <v>1280</v>
      </c>
      <c r="G75" s="308">
        <v>347511.83</v>
      </c>
      <c r="H75" s="308"/>
      <c r="I75" s="307" t="s">
        <v>1281</v>
      </c>
      <c r="J75" s="156" t="s">
        <v>1220</v>
      </c>
      <c r="K75" s="156">
        <v>417014.196</v>
      </c>
    </row>
    <row r="76" spans="1:11" ht="12" x14ac:dyDescent="0.2">
      <c r="A76" s="306" t="s">
        <v>1247</v>
      </c>
      <c r="B76" s="306" t="s">
        <v>1320</v>
      </c>
      <c r="C76" s="306"/>
      <c r="D76" s="306" t="s">
        <v>1282</v>
      </c>
      <c r="E76" s="306" t="s">
        <v>1321</v>
      </c>
      <c r="F76" s="307" t="s">
        <v>1280</v>
      </c>
      <c r="G76" s="308">
        <v>2150.1799999999998</v>
      </c>
      <c r="H76" s="308"/>
      <c r="I76" s="307" t="s">
        <v>1281</v>
      </c>
      <c r="J76" s="156" t="s">
        <v>1283</v>
      </c>
      <c r="K76" s="156">
        <v>2580.2159999999999</v>
      </c>
    </row>
    <row r="77" spans="1:11" ht="12" x14ac:dyDescent="0.2">
      <c r="A77" s="306" t="s">
        <v>1247</v>
      </c>
      <c r="B77" s="306" t="s">
        <v>1320</v>
      </c>
      <c r="C77" s="306"/>
      <c r="D77" s="306" t="s">
        <v>1284</v>
      </c>
      <c r="E77" s="306" t="s">
        <v>1321</v>
      </c>
      <c r="F77" s="307" t="s">
        <v>1280</v>
      </c>
      <c r="G77" s="308">
        <v>43081.85</v>
      </c>
      <c r="H77" s="308"/>
      <c r="I77" s="307" t="s">
        <v>1281</v>
      </c>
      <c r="J77" s="156" t="s">
        <v>1285</v>
      </c>
      <c r="K77" s="156">
        <v>51698.219999999994</v>
      </c>
    </row>
    <row r="78" spans="1:11" ht="12" x14ac:dyDescent="0.2">
      <c r="A78" s="306" t="s">
        <v>1252</v>
      </c>
      <c r="B78" s="306" t="s">
        <v>1322</v>
      </c>
      <c r="C78" s="306"/>
      <c r="D78" s="306" t="s">
        <v>1291</v>
      </c>
      <c r="E78" s="306" t="s">
        <v>1323</v>
      </c>
      <c r="F78" s="307" t="s">
        <v>1280</v>
      </c>
      <c r="G78" s="308">
        <v>61840.83</v>
      </c>
      <c r="H78" s="308"/>
      <c r="I78" s="307" t="s">
        <v>1281</v>
      </c>
      <c r="J78" s="156" t="s">
        <v>1220</v>
      </c>
      <c r="K78" s="156">
        <v>74208.995999999999</v>
      </c>
    </row>
    <row r="79" spans="1:11" ht="12" x14ac:dyDescent="0.2">
      <c r="A79" s="306" t="s">
        <v>1252</v>
      </c>
      <c r="B79" s="306" t="s">
        <v>1322</v>
      </c>
      <c r="C79" s="306"/>
      <c r="D79" s="306" t="s">
        <v>1293</v>
      </c>
      <c r="E79" s="306" t="s">
        <v>1323</v>
      </c>
      <c r="F79" s="307" t="s">
        <v>1280</v>
      </c>
      <c r="G79" s="309">
        <v>388.33</v>
      </c>
      <c r="H79" s="309"/>
      <c r="I79" s="307" t="s">
        <v>1281</v>
      </c>
      <c r="J79" s="156" t="s">
        <v>1283</v>
      </c>
      <c r="K79" s="156">
        <v>465.99599999999998</v>
      </c>
    </row>
    <row r="80" spans="1:11" ht="12" x14ac:dyDescent="0.2">
      <c r="A80" s="306" t="s">
        <v>1252</v>
      </c>
      <c r="B80" s="306" t="s">
        <v>1322</v>
      </c>
      <c r="C80" s="306"/>
      <c r="D80" s="306" t="s">
        <v>1294</v>
      </c>
      <c r="E80" s="306" t="s">
        <v>1323</v>
      </c>
      <c r="F80" s="307" t="s">
        <v>1280</v>
      </c>
      <c r="G80" s="308">
        <v>7579.67</v>
      </c>
      <c r="H80" s="308"/>
      <c r="I80" s="307" t="s">
        <v>1281</v>
      </c>
      <c r="J80" s="156" t="s">
        <v>1285</v>
      </c>
      <c r="K80" s="156">
        <v>9095.6039999999994</v>
      </c>
    </row>
    <row r="81" spans="1:11" ht="12" x14ac:dyDescent="0.2">
      <c r="A81" s="306" t="s">
        <v>1252</v>
      </c>
      <c r="B81" s="306" t="s">
        <v>1324</v>
      </c>
      <c r="C81" s="306"/>
      <c r="D81" s="306" t="s">
        <v>1298</v>
      </c>
      <c r="E81" s="306" t="s">
        <v>1323</v>
      </c>
      <c r="F81" s="307" t="s">
        <v>1280</v>
      </c>
      <c r="G81" s="308">
        <v>3077.53</v>
      </c>
      <c r="H81" s="308"/>
      <c r="I81" s="307" t="s">
        <v>1281</v>
      </c>
      <c r="J81" s="156" t="s">
        <v>1220</v>
      </c>
      <c r="K81" s="156">
        <v>3693.0360000000001</v>
      </c>
    </row>
    <row r="82" spans="1:11" ht="12" x14ac:dyDescent="0.2">
      <c r="A82" s="306" t="s">
        <v>1252</v>
      </c>
      <c r="B82" s="306" t="s">
        <v>1325</v>
      </c>
      <c r="C82" s="306"/>
      <c r="D82" s="306" t="s">
        <v>1291</v>
      </c>
      <c r="E82" s="306" t="s">
        <v>1326</v>
      </c>
      <c r="F82" s="307" t="s">
        <v>1280</v>
      </c>
      <c r="G82" s="308">
        <v>6506.67</v>
      </c>
      <c r="H82" s="308"/>
      <c r="I82" s="307" t="s">
        <v>1281</v>
      </c>
      <c r="J82" s="156" t="s">
        <v>1220</v>
      </c>
      <c r="K82" s="156">
        <v>7808.0039999999999</v>
      </c>
    </row>
    <row r="83" spans="1:11" ht="12" x14ac:dyDescent="0.2">
      <c r="A83" s="306" t="s">
        <v>1252</v>
      </c>
      <c r="B83" s="306" t="s">
        <v>1325</v>
      </c>
      <c r="C83" s="306"/>
      <c r="D83" s="306" t="s">
        <v>1293</v>
      </c>
      <c r="E83" s="306" t="s">
        <v>1326</v>
      </c>
      <c r="F83" s="307" t="s">
        <v>1280</v>
      </c>
      <c r="G83" s="308">
        <v>3005.83</v>
      </c>
      <c r="H83" s="308"/>
      <c r="I83" s="307" t="s">
        <v>1281</v>
      </c>
      <c r="J83" s="156" t="s">
        <v>1283</v>
      </c>
      <c r="K83" s="156">
        <v>3606.9959999999996</v>
      </c>
    </row>
    <row r="84" spans="1:11" ht="12" x14ac:dyDescent="0.2">
      <c r="A84" s="306" t="s">
        <v>1252</v>
      </c>
      <c r="B84" s="306" t="s">
        <v>1325</v>
      </c>
      <c r="C84" s="306"/>
      <c r="D84" s="306" t="s">
        <v>1294</v>
      </c>
      <c r="E84" s="306" t="s">
        <v>1326</v>
      </c>
      <c r="F84" s="307" t="s">
        <v>1280</v>
      </c>
      <c r="G84" s="309">
        <v>448</v>
      </c>
      <c r="H84" s="309"/>
      <c r="I84" s="307" t="s">
        <v>1281</v>
      </c>
      <c r="J84" s="156" t="s">
        <v>1285</v>
      </c>
      <c r="K84" s="156">
        <v>537.6</v>
      </c>
    </row>
    <row r="85" spans="1:11" ht="12" x14ac:dyDescent="0.2">
      <c r="A85" s="306" t="s">
        <v>1252</v>
      </c>
      <c r="B85" s="306" t="s">
        <v>1327</v>
      </c>
      <c r="C85" s="306"/>
      <c r="D85" s="306" t="s">
        <v>1278</v>
      </c>
      <c r="E85" s="306" t="s">
        <v>1328</v>
      </c>
      <c r="F85" s="307" t="s">
        <v>1280</v>
      </c>
      <c r="G85" s="308">
        <v>16109.75</v>
      </c>
      <c r="H85" s="308"/>
      <c r="I85" s="307" t="s">
        <v>1281</v>
      </c>
      <c r="J85" s="156" t="s">
        <v>1220</v>
      </c>
      <c r="K85" s="156">
        <v>19331.7</v>
      </c>
    </row>
    <row r="86" spans="1:11" ht="12" x14ac:dyDescent="0.2">
      <c r="A86" s="306" t="s">
        <v>1252</v>
      </c>
      <c r="B86" s="306" t="s">
        <v>1327</v>
      </c>
      <c r="C86" s="306"/>
      <c r="D86" s="306" t="s">
        <v>1282</v>
      </c>
      <c r="E86" s="306" t="s">
        <v>1328</v>
      </c>
      <c r="F86" s="307" t="s">
        <v>1280</v>
      </c>
      <c r="G86" s="308">
        <v>5477.47</v>
      </c>
      <c r="H86" s="308"/>
      <c r="I86" s="307" t="s">
        <v>1281</v>
      </c>
      <c r="J86" s="156" t="s">
        <v>1283</v>
      </c>
      <c r="K86" s="156">
        <v>6572.9639999999999</v>
      </c>
    </row>
    <row r="87" spans="1:11" ht="12" x14ac:dyDescent="0.2">
      <c r="A87" s="306" t="s">
        <v>1252</v>
      </c>
      <c r="B87" s="306" t="s">
        <v>1327</v>
      </c>
      <c r="C87" s="306"/>
      <c r="D87" s="306" t="s">
        <v>1284</v>
      </c>
      <c r="E87" s="306" t="s">
        <v>1328</v>
      </c>
      <c r="F87" s="307" t="s">
        <v>1280</v>
      </c>
      <c r="G87" s="308">
        <v>1151.2</v>
      </c>
      <c r="H87" s="308"/>
      <c r="I87" s="307" t="s">
        <v>1281</v>
      </c>
      <c r="J87" s="156" t="s">
        <v>1285</v>
      </c>
      <c r="K87" s="156">
        <v>1381.44</v>
      </c>
    </row>
    <row r="88" spans="1:11" ht="12" x14ac:dyDescent="0.2">
      <c r="A88" s="306" t="s">
        <v>1252</v>
      </c>
      <c r="B88" s="306" t="s">
        <v>1329</v>
      </c>
      <c r="C88" s="306"/>
      <c r="D88" s="306" t="s">
        <v>1278</v>
      </c>
      <c r="E88" s="306" t="s">
        <v>1330</v>
      </c>
      <c r="F88" s="307" t="s">
        <v>1280</v>
      </c>
      <c r="G88" s="308">
        <v>149010.42000000001</v>
      </c>
      <c r="H88" s="308"/>
      <c r="I88" s="307" t="s">
        <v>1281</v>
      </c>
      <c r="J88" s="156" t="s">
        <v>1220</v>
      </c>
      <c r="K88" s="156">
        <v>178812.50400000002</v>
      </c>
    </row>
    <row r="89" spans="1:11" ht="12" x14ac:dyDescent="0.2">
      <c r="A89" s="306" t="s">
        <v>1252</v>
      </c>
      <c r="B89" s="306" t="s">
        <v>1329</v>
      </c>
      <c r="C89" s="306"/>
      <c r="D89" s="306" t="s">
        <v>1282</v>
      </c>
      <c r="E89" s="306" t="s">
        <v>1330</v>
      </c>
      <c r="F89" s="307" t="s">
        <v>1280</v>
      </c>
      <c r="G89" s="309">
        <v>740.37</v>
      </c>
      <c r="H89" s="309"/>
      <c r="I89" s="307" t="s">
        <v>1281</v>
      </c>
      <c r="J89" s="156" t="s">
        <v>1283</v>
      </c>
      <c r="K89" s="156">
        <v>888.44399999999996</v>
      </c>
    </row>
    <row r="90" spans="1:11" ht="12" x14ac:dyDescent="0.2">
      <c r="A90" s="306" t="s">
        <v>1252</v>
      </c>
      <c r="B90" s="306" t="s">
        <v>1329</v>
      </c>
      <c r="C90" s="306"/>
      <c r="D90" s="306" t="s">
        <v>1284</v>
      </c>
      <c r="E90" s="306" t="s">
        <v>1330</v>
      </c>
      <c r="F90" s="307" t="s">
        <v>1280</v>
      </c>
      <c r="G90" s="308">
        <v>30009.1</v>
      </c>
      <c r="H90" s="308"/>
      <c r="I90" s="307" t="s">
        <v>1281</v>
      </c>
      <c r="J90" s="156" t="s">
        <v>1285</v>
      </c>
      <c r="K90" s="156">
        <v>36010.92</v>
      </c>
    </row>
    <row r="91" spans="1:11" ht="12" x14ac:dyDescent="0.2">
      <c r="A91" s="306" t="s">
        <v>1224</v>
      </c>
      <c r="B91" s="306" t="s">
        <v>1331</v>
      </c>
      <c r="C91" s="306"/>
      <c r="D91" s="306" t="s">
        <v>1332</v>
      </c>
      <c r="E91" s="306" t="s">
        <v>1333</v>
      </c>
      <c r="F91" s="307" t="s">
        <v>1280</v>
      </c>
      <c r="G91" s="308">
        <v>41666.67</v>
      </c>
      <c r="H91" s="308"/>
      <c r="I91" s="307" t="s">
        <v>1281</v>
      </c>
      <c r="J91" s="156" t="s">
        <v>1220</v>
      </c>
      <c r="K91" s="156">
        <v>50000.003999999994</v>
      </c>
    </row>
    <row r="92" spans="1:11" ht="12" x14ac:dyDescent="0.2">
      <c r="A92" s="306" t="s">
        <v>1226</v>
      </c>
      <c r="B92" s="306" t="s">
        <v>1334</v>
      </c>
      <c r="C92" s="306"/>
      <c r="D92" s="306" t="s">
        <v>1311</v>
      </c>
      <c r="E92" s="306" t="s">
        <v>1335</v>
      </c>
      <c r="F92" s="307" t="s">
        <v>1280</v>
      </c>
      <c r="G92" s="308">
        <v>1416.67</v>
      </c>
      <c r="H92" s="308"/>
      <c r="I92" s="307" t="s">
        <v>1281</v>
      </c>
      <c r="J92" s="156" t="s">
        <v>1220</v>
      </c>
      <c r="K92" s="156">
        <v>1700.0040000000001</v>
      </c>
    </row>
    <row r="93" spans="1:11" ht="12" x14ac:dyDescent="0.2">
      <c r="A93" s="306" t="s">
        <v>1257</v>
      </c>
      <c r="B93" s="306" t="s">
        <v>1336</v>
      </c>
      <c r="C93" s="306"/>
      <c r="D93" s="306" t="s">
        <v>1291</v>
      </c>
      <c r="E93" s="306" t="s">
        <v>1337</v>
      </c>
      <c r="F93" s="307" t="s">
        <v>1280</v>
      </c>
      <c r="G93" s="308">
        <v>6850.83</v>
      </c>
      <c r="H93" s="308"/>
      <c r="I93" s="307" t="s">
        <v>1281</v>
      </c>
      <c r="J93" s="156" t="s">
        <v>1220</v>
      </c>
      <c r="K93" s="156">
        <v>8220.9959999999992</v>
      </c>
    </row>
    <row r="94" spans="1:11" ht="12" x14ac:dyDescent="0.2">
      <c r="A94" s="306" t="s">
        <v>1257</v>
      </c>
      <c r="B94" s="306" t="s">
        <v>1336</v>
      </c>
      <c r="C94" s="306"/>
      <c r="D94" s="306" t="s">
        <v>1293</v>
      </c>
      <c r="E94" s="306" t="s">
        <v>1337</v>
      </c>
      <c r="F94" s="307" t="s">
        <v>1280</v>
      </c>
      <c r="G94" s="308">
        <v>2336.67</v>
      </c>
      <c r="H94" s="308"/>
      <c r="I94" s="307" t="s">
        <v>1281</v>
      </c>
      <c r="J94" s="156" t="s">
        <v>1283</v>
      </c>
      <c r="K94" s="156">
        <v>2804.0039999999999</v>
      </c>
    </row>
    <row r="95" spans="1:11" ht="12" x14ac:dyDescent="0.2">
      <c r="A95" s="306" t="s">
        <v>1257</v>
      </c>
      <c r="B95" s="306" t="s">
        <v>1336</v>
      </c>
      <c r="C95" s="306"/>
      <c r="D95" s="306" t="s">
        <v>1294</v>
      </c>
      <c r="E95" s="306" t="s">
        <v>1337</v>
      </c>
      <c r="F95" s="307" t="s">
        <v>1280</v>
      </c>
      <c r="G95" s="309">
        <v>805.83</v>
      </c>
      <c r="H95" s="309"/>
      <c r="I95" s="307" t="s">
        <v>1281</v>
      </c>
      <c r="J95" s="156" t="s">
        <v>1285</v>
      </c>
      <c r="K95" s="156">
        <v>966.99599999999998</v>
      </c>
    </row>
    <row r="96" spans="1:11" ht="12" x14ac:dyDescent="0.2">
      <c r="A96" s="306" t="s">
        <v>1257</v>
      </c>
      <c r="B96" s="306" t="s">
        <v>1338</v>
      </c>
      <c r="C96" s="306"/>
      <c r="D96" s="306" t="s">
        <v>1291</v>
      </c>
      <c r="E96" s="306" t="s">
        <v>1339</v>
      </c>
      <c r="F96" s="307" t="s">
        <v>1280</v>
      </c>
      <c r="G96" s="308">
        <v>65602.5</v>
      </c>
      <c r="H96" s="308"/>
      <c r="I96" s="307" t="s">
        <v>1281</v>
      </c>
      <c r="J96" s="156" t="s">
        <v>1220</v>
      </c>
      <c r="K96" s="156">
        <v>78723</v>
      </c>
    </row>
    <row r="97" spans="1:11" ht="12" x14ac:dyDescent="0.2">
      <c r="A97" s="306" t="s">
        <v>1257</v>
      </c>
      <c r="B97" s="306" t="s">
        <v>1338</v>
      </c>
      <c r="C97" s="306"/>
      <c r="D97" s="306" t="s">
        <v>1293</v>
      </c>
      <c r="E97" s="306" t="s">
        <v>1339</v>
      </c>
      <c r="F97" s="307" t="s">
        <v>1280</v>
      </c>
      <c r="G97" s="309">
        <v>152.5</v>
      </c>
      <c r="H97" s="309"/>
      <c r="I97" s="307" t="s">
        <v>1281</v>
      </c>
      <c r="J97" s="156" t="s">
        <v>1283</v>
      </c>
      <c r="K97" s="156">
        <v>183</v>
      </c>
    </row>
    <row r="98" spans="1:11" ht="12" x14ac:dyDescent="0.2">
      <c r="A98" s="306" t="s">
        <v>1257</v>
      </c>
      <c r="B98" s="306" t="s">
        <v>1338</v>
      </c>
      <c r="C98" s="306"/>
      <c r="D98" s="306" t="s">
        <v>1294</v>
      </c>
      <c r="E98" s="306" t="s">
        <v>1339</v>
      </c>
      <c r="F98" s="307" t="s">
        <v>1280</v>
      </c>
      <c r="G98" s="308">
        <v>14661.67</v>
      </c>
      <c r="H98" s="308"/>
      <c r="I98" s="307" t="s">
        <v>1281</v>
      </c>
      <c r="J98" s="156" t="s">
        <v>1285</v>
      </c>
      <c r="K98" s="156">
        <v>17594.004000000001</v>
      </c>
    </row>
    <row r="99" spans="1:11" ht="12" x14ac:dyDescent="0.2">
      <c r="A99" s="306" t="s">
        <v>1257</v>
      </c>
      <c r="B99" s="306" t="s">
        <v>1340</v>
      </c>
      <c r="C99" s="306"/>
      <c r="D99" s="306" t="s">
        <v>1298</v>
      </c>
      <c r="E99" s="306" t="s">
        <v>1339</v>
      </c>
      <c r="F99" s="307" t="s">
        <v>1280</v>
      </c>
      <c r="G99" s="308">
        <v>3187.26</v>
      </c>
      <c r="H99" s="308"/>
      <c r="I99" s="307" t="s">
        <v>1281</v>
      </c>
      <c r="J99" s="156" t="s">
        <v>1220</v>
      </c>
      <c r="K99" s="156">
        <v>3824.712</v>
      </c>
    </row>
    <row r="100" spans="1:11" ht="12" x14ac:dyDescent="0.2">
      <c r="A100" s="306" t="s">
        <v>1257</v>
      </c>
      <c r="B100" s="306" t="s">
        <v>1341</v>
      </c>
      <c r="C100" s="306"/>
      <c r="D100" s="306" t="s">
        <v>1278</v>
      </c>
      <c r="E100" s="306" t="s">
        <v>1342</v>
      </c>
      <c r="F100" s="307" t="s">
        <v>1280</v>
      </c>
      <c r="G100" s="308">
        <v>20300.23</v>
      </c>
      <c r="H100" s="308"/>
      <c r="I100" s="307" t="s">
        <v>1281</v>
      </c>
      <c r="J100" s="156" t="s">
        <v>1220</v>
      </c>
      <c r="K100" s="156">
        <v>24360.275999999998</v>
      </c>
    </row>
    <row r="101" spans="1:11" ht="12" x14ac:dyDescent="0.2">
      <c r="A101" s="306" t="s">
        <v>1257</v>
      </c>
      <c r="B101" s="306" t="s">
        <v>1341</v>
      </c>
      <c r="C101" s="306"/>
      <c r="D101" s="306" t="s">
        <v>1282</v>
      </c>
      <c r="E101" s="306" t="s">
        <v>1342</v>
      </c>
      <c r="F101" s="307" t="s">
        <v>1280</v>
      </c>
      <c r="G101" s="308">
        <v>1669.36</v>
      </c>
      <c r="H101" s="308"/>
      <c r="I101" s="307" t="s">
        <v>1281</v>
      </c>
      <c r="J101" s="156" t="s">
        <v>1283</v>
      </c>
      <c r="K101" s="156">
        <v>2003.2319999999997</v>
      </c>
    </row>
    <row r="102" spans="1:11" ht="12" x14ac:dyDescent="0.2">
      <c r="A102" s="306" t="s">
        <v>1257</v>
      </c>
      <c r="B102" s="306" t="s">
        <v>1341</v>
      </c>
      <c r="C102" s="306"/>
      <c r="D102" s="306" t="s">
        <v>1284</v>
      </c>
      <c r="E102" s="306" t="s">
        <v>1342</v>
      </c>
      <c r="F102" s="307" t="s">
        <v>1280</v>
      </c>
      <c r="G102" s="309">
        <v>131.25</v>
      </c>
      <c r="H102" s="309"/>
      <c r="I102" s="307" t="s">
        <v>1281</v>
      </c>
      <c r="J102" s="156" t="s">
        <v>1285</v>
      </c>
      <c r="K102" s="156">
        <v>157.5</v>
      </c>
    </row>
    <row r="103" spans="1:11" ht="12" x14ac:dyDescent="0.2">
      <c r="A103" s="306" t="s">
        <v>1257</v>
      </c>
      <c r="B103" s="306" t="s">
        <v>1343</v>
      </c>
      <c r="C103" s="306"/>
      <c r="D103" s="306" t="s">
        <v>1278</v>
      </c>
      <c r="E103" s="306" t="s">
        <v>1344</v>
      </c>
      <c r="F103" s="307" t="s">
        <v>1280</v>
      </c>
      <c r="G103" s="308">
        <v>216362.32</v>
      </c>
      <c r="H103" s="308"/>
      <c r="I103" s="307" t="s">
        <v>1281</v>
      </c>
      <c r="J103" s="156" t="s">
        <v>1220</v>
      </c>
      <c r="K103" s="156">
        <v>259634.78399999999</v>
      </c>
    </row>
    <row r="104" spans="1:11" ht="12" x14ac:dyDescent="0.2">
      <c r="A104" s="306" t="s">
        <v>1257</v>
      </c>
      <c r="B104" s="306" t="s">
        <v>1343</v>
      </c>
      <c r="C104" s="306"/>
      <c r="D104" s="306" t="s">
        <v>1282</v>
      </c>
      <c r="E104" s="306" t="s">
        <v>1344</v>
      </c>
      <c r="F104" s="307" t="s">
        <v>1280</v>
      </c>
      <c r="G104" s="309">
        <v>637.78</v>
      </c>
      <c r="H104" s="309"/>
      <c r="I104" s="307" t="s">
        <v>1281</v>
      </c>
      <c r="J104" s="156" t="s">
        <v>1283</v>
      </c>
      <c r="K104" s="156">
        <v>765.3359999999999</v>
      </c>
    </row>
    <row r="105" spans="1:11" ht="12" x14ac:dyDescent="0.2">
      <c r="A105" s="306" t="s">
        <v>1257</v>
      </c>
      <c r="B105" s="306" t="s">
        <v>1343</v>
      </c>
      <c r="C105" s="306"/>
      <c r="D105" s="306" t="s">
        <v>1284</v>
      </c>
      <c r="E105" s="306" t="s">
        <v>1344</v>
      </c>
      <c r="F105" s="307" t="s">
        <v>1280</v>
      </c>
      <c r="G105" s="308">
        <v>30122.55</v>
      </c>
      <c r="H105" s="308"/>
      <c r="I105" s="307" t="s">
        <v>1281</v>
      </c>
      <c r="J105" s="156" t="s">
        <v>1285</v>
      </c>
      <c r="K105" s="156">
        <v>36147.06</v>
      </c>
    </row>
  </sheetData>
  <autoFilter ref="S6:U16">
    <filterColumn colId="2">
      <filters>
        <filter val="Хав"/>
      </filters>
    </filterColumn>
  </autoFilter>
  <mergeCells count="2">
    <mergeCell ref="A2:Q2"/>
    <mergeCell ref="A6:Q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81"/>
  <sheetViews>
    <sheetView topLeftCell="A13" workbookViewId="0">
      <selection activeCell="C20" sqref="C20"/>
    </sheetView>
  </sheetViews>
  <sheetFormatPr defaultColWidth="9.1640625" defaultRowHeight="11.25" x14ac:dyDescent="0.2"/>
  <cols>
    <col min="1" max="1" width="39.5" style="3" customWidth="1"/>
    <col min="2" max="2" width="39.6640625" style="3" customWidth="1"/>
    <col min="3" max="3" width="19.33203125" style="3" bestFit="1" customWidth="1"/>
    <col min="4" max="4" width="20.1640625" style="3" bestFit="1" customWidth="1"/>
    <col min="5" max="5" width="26.33203125" style="3" bestFit="1" customWidth="1"/>
    <col min="6" max="6" width="37.33203125" style="3" bestFit="1" customWidth="1"/>
    <col min="7" max="7" width="17.83203125" style="3" bestFit="1" customWidth="1"/>
    <col min="8" max="8" width="16.5" style="19" bestFit="1" customWidth="1"/>
    <col min="9" max="9" width="15.1640625" style="19" bestFit="1" customWidth="1"/>
    <col min="10" max="10" width="13" style="19" bestFit="1" customWidth="1"/>
    <col min="11" max="11" width="16.5" style="19" bestFit="1" customWidth="1"/>
    <col min="12" max="12" width="16" style="19" bestFit="1" customWidth="1"/>
    <col min="13" max="13" width="17.33203125" style="19" bestFit="1" customWidth="1"/>
    <col min="14" max="14" width="17.83203125" style="19" bestFit="1" customWidth="1"/>
    <col min="15" max="15" width="13.83203125" style="19" customWidth="1"/>
    <col min="16" max="16" width="9.1640625" style="19"/>
    <col min="17" max="16384" width="9.1640625" style="3"/>
  </cols>
  <sheetData>
    <row r="1" spans="1:15" ht="12.75" x14ac:dyDescent="0.2">
      <c r="A1" s="404" t="s">
        <v>2</v>
      </c>
      <c r="B1" s="404" t="s">
        <v>3</v>
      </c>
      <c r="C1" s="404" t="s">
        <v>4</v>
      </c>
      <c r="D1" s="404" t="s">
        <v>5</v>
      </c>
      <c r="E1" s="404" t="s">
        <v>6</v>
      </c>
      <c r="F1" s="404" t="s">
        <v>7</v>
      </c>
      <c r="G1" s="404" t="s">
        <v>421</v>
      </c>
      <c r="H1" s="404" t="s">
        <v>8</v>
      </c>
      <c r="I1" s="404" t="s">
        <v>9</v>
      </c>
      <c r="J1" s="404" t="s">
        <v>10</v>
      </c>
      <c r="K1" s="404" t="s">
        <v>11</v>
      </c>
      <c r="L1" s="404" t="s">
        <v>12</v>
      </c>
      <c r="M1" s="404" t="s">
        <v>13</v>
      </c>
      <c r="N1" s="79"/>
      <c r="O1" s="404" t="s">
        <v>14</v>
      </c>
    </row>
    <row r="2" spans="1:15" ht="12.75" x14ac:dyDescent="0.2">
      <c r="A2" s="406"/>
      <c r="B2" s="406"/>
      <c r="C2" s="406"/>
      <c r="D2" s="406"/>
      <c r="E2" s="406"/>
      <c r="F2" s="406"/>
      <c r="G2" s="405"/>
      <c r="H2" s="405"/>
      <c r="I2" s="405"/>
      <c r="J2" s="405"/>
      <c r="K2" s="405"/>
      <c r="L2" s="405"/>
      <c r="M2" s="405"/>
      <c r="N2" s="79"/>
      <c r="O2" s="405"/>
    </row>
    <row r="3" spans="1:15" ht="12.75" x14ac:dyDescent="0.2">
      <c r="A3" s="405"/>
      <c r="B3" s="405"/>
      <c r="C3" s="405"/>
      <c r="D3" s="405"/>
      <c r="E3" s="405"/>
      <c r="F3" s="405"/>
      <c r="G3" s="79" t="s">
        <v>15</v>
      </c>
      <c r="H3" s="79" t="s">
        <v>15</v>
      </c>
      <c r="I3" s="79" t="s">
        <v>15</v>
      </c>
      <c r="J3" s="79" t="s">
        <v>15</v>
      </c>
      <c r="K3" s="79" t="s">
        <v>15</v>
      </c>
      <c r="L3" s="79" t="s">
        <v>15</v>
      </c>
      <c r="M3" s="79" t="s">
        <v>15</v>
      </c>
      <c r="N3" s="79" t="s">
        <v>15</v>
      </c>
      <c r="O3" s="79" t="s">
        <v>15</v>
      </c>
    </row>
    <row r="4" spans="1:15" x14ac:dyDescent="0.2">
      <c r="A4" s="80" t="s">
        <v>211</v>
      </c>
      <c r="B4" s="95" t="s">
        <v>212</v>
      </c>
      <c r="C4" s="80" t="s">
        <v>213</v>
      </c>
      <c r="D4" s="80" t="s">
        <v>20</v>
      </c>
      <c r="E4" s="80"/>
      <c r="F4" s="80" t="s">
        <v>214</v>
      </c>
      <c r="G4" s="81"/>
      <c r="H4" s="81"/>
      <c r="I4" s="81"/>
      <c r="J4" s="81"/>
      <c r="K4" s="82">
        <v>207729.97</v>
      </c>
      <c r="L4" s="81"/>
      <c r="M4" s="81"/>
      <c r="N4" s="82">
        <v>207729.97</v>
      </c>
      <c r="O4" s="82">
        <v>207729.97</v>
      </c>
    </row>
    <row r="5" spans="1:15" x14ac:dyDescent="0.2">
      <c r="A5" s="80" t="s">
        <v>215</v>
      </c>
      <c r="B5" s="95" t="s">
        <v>212</v>
      </c>
      <c r="C5" s="80" t="s">
        <v>216</v>
      </c>
      <c r="D5" s="80" t="s">
        <v>20</v>
      </c>
      <c r="E5" s="80"/>
      <c r="F5" s="80" t="s">
        <v>214</v>
      </c>
      <c r="G5" s="81"/>
      <c r="H5" s="81"/>
      <c r="I5" s="81"/>
      <c r="J5" s="81"/>
      <c r="K5" s="82">
        <v>2315832.5</v>
      </c>
      <c r="L5" s="81"/>
      <c r="M5" s="81"/>
      <c r="N5" s="82">
        <v>2315832.5</v>
      </c>
      <c r="O5" s="82">
        <v>2315832.5</v>
      </c>
    </row>
    <row r="6" spans="1:15" x14ac:dyDescent="0.2">
      <c r="A6" s="80" t="s">
        <v>217</v>
      </c>
      <c r="B6" s="95" t="s">
        <v>212</v>
      </c>
      <c r="C6" s="80" t="s">
        <v>218</v>
      </c>
      <c r="D6" s="80" t="s">
        <v>20</v>
      </c>
      <c r="E6" s="80"/>
      <c r="F6" s="80" t="s">
        <v>214</v>
      </c>
      <c r="G6" s="81"/>
      <c r="H6" s="81"/>
      <c r="I6" s="81"/>
      <c r="J6" s="81"/>
      <c r="K6" s="82">
        <v>815563.75</v>
      </c>
      <c r="L6" s="81"/>
      <c r="M6" s="81"/>
      <c r="N6" s="82">
        <v>815563.75</v>
      </c>
      <c r="O6" s="82">
        <v>815563.75</v>
      </c>
    </row>
    <row r="7" spans="1:15" x14ac:dyDescent="0.2">
      <c r="A7" s="80" t="s">
        <v>219</v>
      </c>
      <c r="B7" s="95" t="s">
        <v>212</v>
      </c>
      <c r="C7" s="80" t="s">
        <v>220</v>
      </c>
      <c r="D7" s="80" t="s">
        <v>20</v>
      </c>
      <c r="E7" s="80"/>
      <c r="F7" s="80" t="s">
        <v>214</v>
      </c>
      <c r="G7" s="81"/>
      <c r="H7" s="81"/>
      <c r="I7" s="81"/>
      <c r="J7" s="81"/>
      <c r="K7" s="82">
        <v>144445.12</v>
      </c>
      <c r="L7" s="81"/>
      <c r="M7" s="81"/>
      <c r="N7" s="82">
        <v>144445.12</v>
      </c>
      <c r="O7" s="82">
        <v>144445.12</v>
      </c>
    </row>
    <row r="8" spans="1:15" x14ac:dyDescent="0.2">
      <c r="A8" s="80" t="s">
        <v>317</v>
      </c>
      <c r="B8" s="95" t="s">
        <v>318</v>
      </c>
      <c r="C8" s="80" t="s">
        <v>319</v>
      </c>
      <c r="D8" s="80"/>
      <c r="E8" s="80"/>
      <c r="F8" s="80" t="s">
        <v>17</v>
      </c>
      <c r="G8" s="81"/>
      <c r="H8" s="81"/>
      <c r="I8" s="81"/>
      <c r="J8" s="81"/>
      <c r="K8" s="82">
        <v>562855.30000000005</v>
      </c>
      <c r="L8" s="81"/>
      <c r="M8" s="81"/>
      <c r="N8" s="82">
        <v>562855.30000000005</v>
      </c>
      <c r="O8" s="82">
        <v>562855.30000000005</v>
      </c>
    </row>
    <row r="9" spans="1:15" x14ac:dyDescent="0.2">
      <c r="A9" s="80" t="s">
        <v>221</v>
      </c>
      <c r="B9" s="95" t="s">
        <v>212</v>
      </c>
      <c r="C9" s="80" t="s">
        <v>222</v>
      </c>
      <c r="D9" s="80" t="s">
        <v>20</v>
      </c>
      <c r="E9" s="80"/>
      <c r="F9" s="80" t="s">
        <v>214</v>
      </c>
      <c r="G9" s="81"/>
      <c r="H9" s="81"/>
      <c r="I9" s="81"/>
      <c r="J9" s="81"/>
      <c r="K9" s="82">
        <v>583564</v>
      </c>
      <c r="L9" s="81"/>
      <c r="M9" s="81"/>
      <c r="N9" s="82">
        <v>583564</v>
      </c>
      <c r="O9" s="82">
        <v>583564</v>
      </c>
    </row>
    <row r="10" spans="1:15" x14ac:dyDescent="0.2">
      <c r="A10" s="80" t="s">
        <v>223</v>
      </c>
      <c r="B10" s="95" t="s">
        <v>212</v>
      </c>
      <c r="C10" s="80" t="s">
        <v>224</v>
      </c>
      <c r="D10" s="80" t="s">
        <v>20</v>
      </c>
      <c r="E10" s="80"/>
      <c r="F10" s="80" t="s">
        <v>214</v>
      </c>
      <c r="G10" s="81"/>
      <c r="H10" s="81"/>
      <c r="I10" s="81"/>
      <c r="J10" s="81"/>
      <c r="K10" s="82">
        <v>830341.52</v>
      </c>
      <c r="L10" s="81"/>
      <c r="M10" s="81"/>
      <c r="N10" s="82">
        <v>830341.52</v>
      </c>
      <c r="O10" s="82">
        <v>830341.52</v>
      </c>
    </row>
    <row r="11" spans="1:15" x14ac:dyDescent="0.2">
      <c r="A11" s="80" t="s">
        <v>225</v>
      </c>
      <c r="B11" s="95" t="s">
        <v>212</v>
      </c>
      <c r="C11" s="80" t="s">
        <v>226</v>
      </c>
      <c r="D11" s="80" t="s">
        <v>20</v>
      </c>
      <c r="E11" s="80"/>
      <c r="F11" s="80" t="s">
        <v>214</v>
      </c>
      <c r="G11" s="81"/>
      <c r="H11" s="81"/>
      <c r="I11" s="81"/>
      <c r="J11" s="81"/>
      <c r="K11" s="82">
        <v>1270782</v>
      </c>
      <c r="L11" s="81"/>
      <c r="M11" s="81"/>
      <c r="N11" s="82">
        <v>1270782</v>
      </c>
      <c r="O11" s="82">
        <v>1270782</v>
      </c>
    </row>
    <row r="12" spans="1:15" x14ac:dyDescent="0.2">
      <c r="A12" s="80" t="s">
        <v>227</v>
      </c>
      <c r="B12" s="95" t="s">
        <v>212</v>
      </c>
      <c r="C12" s="80" t="s">
        <v>228</v>
      </c>
      <c r="D12" s="80" t="s">
        <v>20</v>
      </c>
      <c r="E12" s="80"/>
      <c r="F12" s="80" t="s">
        <v>214</v>
      </c>
      <c r="G12" s="81"/>
      <c r="H12" s="81"/>
      <c r="I12" s="81"/>
      <c r="J12" s="81"/>
      <c r="K12" s="82">
        <v>782895</v>
      </c>
      <c r="L12" s="81"/>
      <c r="M12" s="81"/>
      <c r="N12" s="82">
        <v>782895</v>
      </c>
      <c r="O12" s="82">
        <v>782895</v>
      </c>
    </row>
    <row r="13" spans="1:15" x14ac:dyDescent="0.2">
      <c r="A13" s="80" t="s">
        <v>320</v>
      </c>
      <c r="B13" s="95" t="s">
        <v>318</v>
      </c>
      <c r="C13" s="80" t="s">
        <v>321</v>
      </c>
      <c r="D13" s="80"/>
      <c r="E13" s="80" t="s">
        <v>322</v>
      </c>
      <c r="F13" s="80" t="s">
        <v>323</v>
      </c>
      <c r="G13" s="81"/>
      <c r="H13" s="81"/>
      <c r="I13" s="81"/>
      <c r="J13" s="81"/>
      <c r="K13" s="81"/>
      <c r="L13" s="82">
        <v>-562855.30000000005</v>
      </c>
      <c r="M13" s="81"/>
      <c r="N13" s="82">
        <v>-562855.30000000005</v>
      </c>
      <c r="O13" s="82">
        <v>-562855.30000000005</v>
      </c>
    </row>
    <row r="14" spans="1:15" x14ac:dyDescent="0.2">
      <c r="A14" s="80" t="s">
        <v>229</v>
      </c>
      <c r="B14" s="95" t="s">
        <v>212</v>
      </c>
      <c r="C14" s="80" t="s">
        <v>230</v>
      </c>
      <c r="D14" s="80"/>
      <c r="E14" s="80" t="s">
        <v>231</v>
      </c>
      <c r="F14" s="80" t="s">
        <v>214</v>
      </c>
      <c r="G14" s="81"/>
      <c r="H14" s="81"/>
      <c r="I14" s="81"/>
      <c r="J14" s="81"/>
      <c r="K14" s="81"/>
      <c r="L14" s="82">
        <v>-1434373.85</v>
      </c>
      <c r="M14" s="81"/>
      <c r="N14" s="82">
        <v>-1434373.85</v>
      </c>
      <c r="O14" s="82">
        <v>-1434373.85</v>
      </c>
    </row>
    <row r="15" spans="1:15" x14ac:dyDescent="0.2">
      <c r="A15" s="80" t="s">
        <v>232</v>
      </c>
      <c r="B15" s="95" t="s">
        <v>212</v>
      </c>
      <c r="C15" s="80" t="s">
        <v>233</v>
      </c>
      <c r="D15" s="80"/>
      <c r="E15" s="80" t="s">
        <v>36</v>
      </c>
      <c r="F15" s="80" t="s">
        <v>214</v>
      </c>
      <c r="G15" s="81"/>
      <c r="H15" s="81"/>
      <c r="I15" s="81"/>
      <c r="J15" s="81"/>
      <c r="K15" s="81"/>
      <c r="L15" s="82">
        <v>-41061.68</v>
      </c>
      <c r="M15" s="81"/>
      <c r="N15" s="82">
        <v>-41061.68</v>
      </c>
      <c r="O15" s="82">
        <v>-41061.68</v>
      </c>
    </row>
    <row r="16" spans="1:15" x14ac:dyDescent="0.2">
      <c r="A16" s="80" t="s">
        <v>234</v>
      </c>
      <c r="B16" s="95" t="s">
        <v>212</v>
      </c>
      <c r="C16" s="80" t="s">
        <v>235</v>
      </c>
      <c r="D16" s="80"/>
      <c r="E16" s="80" t="s">
        <v>36</v>
      </c>
      <c r="F16" s="80" t="s">
        <v>214</v>
      </c>
      <c r="G16" s="81"/>
      <c r="H16" s="81"/>
      <c r="I16" s="81"/>
      <c r="J16" s="81"/>
      <c r="K16" s="81"/>
      <c r="L16" s="82">
        <v>-120000</v>
      </c>
      <c r="M16" s="81"/>
      <c r="N16" s="82">
        <v>-120000</v>
      </c>
      <c r="O16" s="82">
        <v>-120000</v>
      </c>
    </row>
    <row r="17" spans="1:15" x14ac:dyDescent="0.2">
      <c r="A17" s="80" t="s">
        <v>236</v>
      </c>
      <c r="B17" s="95" t="s">
        <v>212</v>
      </c>
      <c r="C17" s="80" t="s">
        <v>237</v>
      </c>
      <c r="D17" s="80"/>
      <c r="E17" s="80" t="s">
        <v>36</v>
      </c>
      <c r="F17" s="80" t="s">
        <v>214</v>
      </c>
      <c r="G17" s="81"/>
      <c r="H17" s="81"/>
      <c r="I17" s="81"/>
      <c r="J17" s="81"/>
      <c r="K17" s="81"/>
      <c r="L17" s="82">
        <v>-140000</v>
      </c>
      <c r="M17" s="81"/>
      <c r="N17" s="82">
        <v>-140000</v>
      </c>
      <c r="O17" s="82">
        <v>-140000</v>
      </c>
    </row>
    <row r="18" spans="1:15" x14ac:dyDescent="0.2">
      <c r="A18" s="80" t="s">
        <v>93</v>
      </c>
      <c r="B18" s="95" t="s">
        <v>94</v>
      </c>
      <c r="C18" s="80" t="s">
        <v>95</v>
      </c>
      <c r="D18" s="80" t="s">
        <v>96</v>
      </c>
      <c r="E18" s="80" t="s">
        <v>36</v>
      </c>
      <c r="F18" s="80" t="s">
        <v>97</v>
      </c>
      <c r="G18" s="81"/>
      <c r="H18" s="81"/>
      <c r="I18" s="81"/>
      <c r="J18" s="81"/>
      <c r="K18" s="81"/>
      <c r="L18" s="82">
        <v>-7495</v>
      </c>
      <c r="M18" s="81"/>
      <c r="N18" s="82">
        <v>-7495</v>
      </c>
      <c r="O18" s="82">
        <v>-7495</v>
      </c>
    </row>
    <row r="19" spans="1:15" x14ac:dyDescent="0.2">
      <c r="A19" s="80" t="s">
        <v>174</v>
      </c>
      <c r="B19" s="95" t="s">
        <v>175</v>
      </c>
      <c r="C19" s="80" t="s">
        <v>176</v>
      </c>
      <c r="D19" s="80" t="s">
        <v>52</v>
      </c>
      <c r="E19" s="80" t="s">
        <v>36</v>
      </c>
      <c r="F19" s="80" t="s">
        <v>177</v>
      </c>
      <c r="G19" s="81"/>
      <c r="H19" s="81"/>
      <c r="I19" s="81"/>
      <c r="J19" s="81"/>
      <c r="K19" s="81"/>
      <c r="L19" s="82">
        <v>-1583.98</v>
      </c>
      <c r="M19" s="81"/>
      <c r="N19" s="82">
        <v>-1583.98</v>
      </c>
      <c r="O19" s="82">
        <v>-1583.98</v>
      </c>
    </row>
    <row r="20" spans="1:15" x14ac:dyDescent="0.2">
      <c r="A20" s="80" t="s">
        <v>261</v>
      </c>
      <c r="B20" s="95" t="s">
        <v>262</v>
      </c>
      <c r="C20" s="80" t="s">
        <v>263</v>
      </c>
      <c r="D20" s="80" t="s">
        <v>52</v>
      </c>
      <c r="E20" s="80" t="s">
        <v>36</v>
      </c>
      <c r="F20" s="80" t="s">
        <v>264</v>
      </c>
      <c r="G20" s="81"/>
      <c r="H20" s="81"/>
      <c r="I20" s="81"/>
      <c r="J20" s="81"/>
      <c r="K20" s="81"/>
      <c r="L20" s="82">
        <v>-118621.49</v>
      </c>
      <c r="M20" s="81"/>
      <c r="N20" s="82">
        <v>-118621.49</v>
      </c>
      <c r="O20" s="82">
        <v>-118621.49</v>
      </c>
    </row>
    <row r="21" spans="1:15" x14ac:dyDescent="0.2">
      <c r="A21" s="80" t="s">
        <v>129</v>
      </c>
      <c r="B21" s="95" t="s">
        <v>130</v>
      </c>
      <c r="C21" s="80" t="s">
        <v>131</v>
      </c>
      <c r="D21" s="80" t="s">
        <v>88</v>
      </c>
      <c r="E21" s="80"/>
      <c r="F21" s="80" t="s">
        <v>132</v>
      </c>
      <c r="G21" s="81"/>
      <c r="H21" s="81"/>
      <c r="I21" s="81"/>
      <c r="J21" s="81"/>
      <c r="K21" s="81"/>
      <c r="L21" s="82">
        <v>-9548</v>
      </c>
      <c r="M21" s="81"/>
      <c r="N21" s="82">
        <v>-9548</v>
      </c>
      <c r="O21" s="82">
        <v>-9548</v>
      </c>
    </row>
    <row r="22" spans="1:15" x14ac:dyDescent="0.2">
      <c r="A22" s="80" t="s">
        <v>422</v>
      </c>
      <c r="B22" s="95" t="s">
        <v>349</v>
      </c>
      <c r="C22" s="80" t="s">
        <v>423</v>
      </c>
      <c r="D22" s="80" t="s">
        <v>107</v>
      </c>
      <c r="E22" s="80" t="s">
        <v>28</v>
      </c>
      <c r="F22" s="80" t="s">
        <v>424</v>
      </c>
      <c r="G22" s="81"/>
      <c r="H22" s="81"/>
      <c r="I22" s="81"/>
      <c r="J22" s="81"/>
      <c r="K22" s="81"/>
      <c r="L22" s="82">
        <v>-2700</v>
      </c>
      <c r="M22" s="81"/>
      <c r="N22" s="82">
        <v>-2700</v>
      </c>
      <c r="O22" s="82">
        <v>-2700</v>
      </c>
    </row>
    <row r="23" spans="1:15" x14ac:dyDescent="0.2">
      <c r="A23" s="80" t="s">
        <v>32</v>
      </c>
      <c r="B23" s="95" t="s">
        <v>33</v>
      </c>
      <c r="C23" s="80" t="s">
        <v>34</v>
      </c>
      <c r="D23" s="80" t="s">
        <v>35</v>
      </c>
      <c r="E23" s="80" t="s">
        <v>36</v>
      </c>
      <c r="F23" s="80" t="s">
        <v>37</v>
      </c>
      <c r="G23" s="81"/>
      <c r="H23" s="81"/>
      <c r="I23" s="81"/>
      <c r="J23" s="81"/>
      <c r="K23" s="81"/>
      <c r="L23" s="82">
        <v>-34032</v>
      </c>
      <c r="M23" s="81"/>
      <c r="N23" s="82">
        <v>-34032</v>
      </c>
      <c r="O23" s="82">
        <v>-34032</v>
      </c>
    </row>
    <row r="24" spans="1:15" x14ac:dyDescent="0.2">
      <c r="A24" s="80" t="s">
        <v>25</v>
      </c>
      <c r="B24" s="95" t="s">
        <v>24</v>
      </c>
      <c r="C24" s="80" t="s">
        <v>26</v>
      </c>
      <c r="D24" s="80" t="s">
        <v>27</v>
      </c>
      <c r="E24" s="80" t="s">
        <v>28</v>
      </c>
      <c r="F24" s="80" t="s">
        <v>19</v>
      </c>
      <c r="G24" s="81"/>
      <c r="H24" s="81"/>
      <c r="I24" s="81"/>
      <c r="J24" s="81"/>
      <c r="K24" s="82">
        <v>19879005.25</v>
      </c>
      <c r="L24" s="81"/>
      <c r="M24" s="81"/>
      <c r="N24" s="82">
        <v>19879005.25</v>
      </c>
      <c r="O24" s="82">
        <v>19879005.25</v>
      </c>
    </row>
    <row r="25" spans="1:15" x14ac:dyDescent="0.2">
      <c r="A25" s="80" t="s">
        <v>29</v>
      </c>
      <c r="B25" s="95" t="s">
        <v>24</v>
      </c>
      <c r="C25" s="80" t="s">
        <v>30</v>
      </c>
      <c r="D25" s="80" t="s">
        <v>27</v>
      </c>
      <c r="E25" s="80" t="s">
        <v>28</v>
      </c>
      <c r="F25" s="80" t="s">
        <v>19</v>
      </c>
      <c r="G25" s="81"/>
      <c r="H25" s="81"/>
      <c r="I25" s="81"/>
      <c r="J25" s="81"/>
      <c r="K25" s="82">
        <v>292764.5</v>
      </c>
      <c r="L25" s="81"/>
      <c r="M25" s="81"/>
      <c r="N25" s="82">
        <v>292764.5</v>
      </c>
      <c r="O25" s="82">
        <v>292764.5</v>
      </c>
    </row>
    <row r="26" spans="1:15" x14ac:dyDescent="0.2">
      <c r="A26" s="80" t="s">
        <v>157</v>
      </c>
      <c r="B26" s="95" t="s">
        <v>158</v>
      </c>
      <c r="C26" s="80" t="s">
        <v>159</v>
      </c>
      <c r="D26" s="80" t="s">
        <v>52</v>
      </c>
      <c r="E26" s="80" t="s">
        <v>36</v>
      </c>
      <c r="F26" s="80" t="s">
        <v>160</v>
      </c>
      <c r="G26" s="81"/>
      <c r="H26" s="81"/>
      <c r="I26" s="81"/>
      <c r="J26" s="81"/>
      <c r="K26" s="81"/>
      <c r="L26" s="82">
        <v>-145.97</v>
      </c>
      <c r="M26" s="81"/>
      <c r="N26" s="82">
        <v>-145.97</v>
      </c>
      <c r="O26" s="82">
        <v>-145.97</v>
      </c>
    </row>
    <row r="27" spans="1:15" x14ac:dyDescent="0.2">
      <c r="A27" s="80" t="s">
        <v>425</v>
      </c>
      <c r="B27" s="95" t="s">
        <v>349</v>
      </c>
      <c r="C27" s="80" t="s">
        <v>426</v>
      </c>
      <c r="D27" s="80" t="s">
        <v>102</v>
      </c>
      <c r="E27" s="80" t="s">
        <v>28</v>
      </c>
      <c r="F27" s="80" t="s">
        <v>424</v>
      </c>
      <c r="G27" s="81"/>
      <c r="H27" s="81"/>
      <c r="I27" s="81"/>
      <c r="J27" s="81"/>
      <c r="K27" s="81"/>
      <c r="L27" s="82">
        <v>-9405</v>
      </c>
      <c r="M27" s="81"/>
      <c r="N27" s="82">
        <v>-9405</v>
      </c>
      <c r="O27" s="82">
        <v>-9405</v>
      </c>
    </row>
    <row r="28" spans="1:15" x14ac:dyDescent="0.2">
      <c r="A28" s="80" t="s">
        <v>161</v>
      </c>
      <c r="B28" s="95" t="s">
        <v>158</v>
      </c>
      <c r="C28" s="80" t="s">
        <v>162</v>
      </c>
      <c r="D28" s="80" t="s">
        <v>20</v>
      </c>
      <c r="E28" s="80" t="s">
        <v>36</v>
      </c>
      <c r="F28" s="80" t="s">
        <v>160</v>
      </c>
      <c r="G28" s="81"/>
      <c r="H28" s="81"/>
      <c r="I28" s="81"/>
      <c r="J28" s="81"/>
      <c r="K28" s="81"/>
      <c r="L28" s="82">
        <v>-100</v>
      </c>
      <c r="M28" s="81"/>
      <c r="N28" s="82">
        <v>-100</v>
      </c>
      <c r="O28" s="82">
        <v>-100</v>
      </c>
    </row>
    <row r="29" spans="1:15" x14ac:dyDescent="0.2">
      <c r="A29" s="80" t="s">
        <v>252</v>
      </c>
      <c r="B29" s="95" t="s">
        <v>253</v>
      </c>
      <c r="C29" s="80" t="s">
        <v>254</v>
      </c>
      <c r="D29" s="80" t="s">
        <v>52</v>
      </c>
      <c r="E29" s="80" t="s">
        <v>36</v>
      </c>
      <c r="F29" s="80" t="s">
        <v>255</v>
      </c>
      <c r="G29" s="81"/>
      <c r="H29" s="81"/>
      <c r="I29" s="81"/>
      <c r="J29" s="81"/>
      <c r="K29" s="81"/>
      <c r="L29" s="82">
        <v>-6813.74</v>
      </c>
      <c r="M29" s="81"/>
      <c r="N29" s="82">
        <v>-6813.74</v>
      </c>
      <c r="O29" s="82">
        <v>-6813.74</v>
      </c>
    </row>
    <row r="30" spans="1:15" x14ac:dyDescent="0.2">
      <c r="A30" s="80" t="s">
        <v>122</v>
      </c>
      <c r="B30" s="95" t="s">
        <v>121</v>
      </c>
      <c r="C30" s="80" t="s">
        <v>123</v>
      </c>
      <c r="D30" s="80" t="s">
        <v>52</v>
      </c>
      <c r="E30" s="80" t="s">
        <v>36</v>
      </c>
      <c r="F30" s="80" t="s">
        <v>124</v>
      </c>
      <c r="G30" s="81"/>
      <c r="H30" s="81"/>
      <c r="I30" s="81"/>
      <c r="J30" s="81"/>
      <c r="K30" s="81"/>
      <c r="L30" s="82">
        <v>-1000</v>
      </c>
      <c r="M30" s="81"/>
      <c r="N30" s="82">
        <v>-1000</v>
      </c>
      <c r="O30" s="82">
        <v>-1000</v>
      </c>
    </row>
    <row r="31" spans="1:15" x14ac:dyDescent="0.2">
      <c r="A31" s="80" t="s">
        <v>427</v>
      </c>
      <c r="B31" s="95" t="s">
        <v>349</v>
      </c>
      <c r="C31" s="80" t="s">
        <v>428</v>
      </c>
      <c r="D31" s="80" t="s">
        <v>102</v>
      </c>
      <c r="E31" s="80" t="s">
        <v>28</v>
      </c>
      <c r="F31" s="80" t="s">
        <v>424</v>
      </c>
      <c r="G31" s="81"/>
      <c r="H31" s="81"/>
      <c r="I31" s="81"/>
      <c r="J31" s="81"/>
      <c r="K31" s="81"/>
      <c r="L31" s="82">
        <v>-39825</v>
      </c>
      <c r="M31" s="81"/>
      <c r="N31" s="82">
        <v>-39825</v>
      </c>
      <c r="O31" s="82">
        <v>-39825</v>
      </c>
    </row>
    <row r="32" spans="1:15" x14ac:dyDescent="0.2">
      <c r="A32" s="80" t="s">
        <v>43</v>
      </c>
      <c r="B32" s="95" t="s">
        <v>44</v>
      </c>
      <c r="C32" s="80" t="s">
        <v>45</v>
      </c>
      <c r="D32" s="80" t="s">
        <v>46</v>
      </c>
      <c r="E32" s="80" t="s">
        <v>36</v>
      </c>
      <c r="F32" s="80" t="s">
        <v>47</v>
      </c>
      <c r="G32" s="81"/>
      <c r="H32" s="81"/>
      <c r="I32" s="81"/>
      <c r="J32" s="81"/>
      <c r="K32" s="81"/>
      <c r="L32" s="82">
        <v>-700</v>
      </c>
      <c r="M32" s="81"/>
      <c r="N32" s="82">
        <v>-700</v>
      </c>
      <c r="O32" s="82">
        <v>-700</v>
      </c>
    </row>
    <row r="33" spans="1:15" x14ac:dyDescent="0.2">
      <c r="A33" s="80" t="s">
        <v>53</v>
      </c>
      <c r="B33" s="95" t="s">
        <v>54</v>
      </c>
      <c r="C33" s="80" t="s">
        <v>55</v>
      </c>
      <c r="D33" s="80" t="s">
        <v>56</v>
      </c>
      <c r="E33" s="80" t="s">
        <v>36</v>
      </c>
      <c r="F33" s="80" t="s">
        <v>57</v>
      </c>
      <c r="G33" s="81"/>
      <c r="H33" s="81"/>
      <c r="I33" s="81"/>
      <c r="J33" s="81"/>
      <c r="K33" s="81"/>
      <c r="L33" s="82">
        <v>-30000.3</v>
      </c>
      <c r="M33" s="81"/>
      <c r="N33" s="82">
        <v>-30000.3</v>
      </c>
      <c r="O33" s="82">
        <v>-30000.3</v>
      </c>
    </row>
    <row r="34" spans="1:15" x14ac:dyDescent="0.2">
      <c r="A34" s="80" t="s">
        <v>309</v>
      </c>
      <c r="B34" s="95" t="s">
        <v>310</v>
      </c>
      <c r="C34" s="80" t="s">
        <v>311</v>
      </c>
      <c r="D34" s="80" t="s">
        <v>88</v>
      </c>
      <c r="E34" s="80" t="s">
        <v>36</v>
      </c>
      <c r="F34" s="80" t="s">
        <v>312</v>
      </c>
      <c r="G34" s="81"/>
      <c r="H34" s="81"/>
      <c r="I34" s="81"/>
      <c r="J34" s="81"/>
      <c r="K34" s="81"/>
      <c r="L34" s="82">
        <v>-0.01</v>
      </c>
      <c r="M34" s="81"/>
      <c r="N34" s="82">
        <v>-0.01</v>
      </c>
      <c r="O34" s="82">
        <v>-0.01</v>
      </c>
    </row>
    <row r="35" spans="1:15" x14ac:dyDescent="0.2">
      <c r="A35" s="80" t="s">
        <v>179</v>
      </c>
      <c r="B35" s="95" t="s">
        <v>180</v>
      </c>
      <c r="C35" s="80" t="s">
        <v>181</v>
      </c>
      <c r="D35" s="80" t="s">
        <v>52</v>
      </c>
      <c r="E35" s="80" t="s">
        <v>28</v>
      </c>
      <c r="F35" s="80" t="s">
        <v>182</v>
      </c>
      <c r="G35" s="81"/>
      <c r="H35" s="81"/>
      <c r="I35" s="81"/>
      <c r="J35" s="81"/>
      <c r="K35" s="82">
        <v>224122.5</v>
      </c>
      <c r="L35" s="81"/>
      <c r="M35" s="81"/>
      <c r="N35" s="82">
        <v>224122.5</v>
      </c>
      <c r="O35" s="82">
        <v>224122.5</v>
      </c>
    </row>
    <row r="36" spans="1:15" x14ac:dyDescent="0.2">
      <c r="A36" s="80" t="s">
        <v>286</v>
      </c>
      <c r="B36" s="95" t="s">
        <v>285</v>
      </c>
      <c r="C36" s="80" t="s">
        <v>287</v>
      </c>
      <c r="D36" s="80" t="s">
        <v>20</v>
      </c>
      <c r="E36" s="80" t="s">
        <v>28</v>
      </c>
      <c r="F36" s="80" t="s">
        <v>288</v>
      </c>
      <c r="G36" s="81"/>
      <c r="H36" s="81"/>
      <c r="I36" s="81"/>
      <c r="J36" s="81"/>
      <c r="K36" s="81"/>
      <c r="L36" s="82">
        <v>-419448.7</v>
      </c>
      <c r="M36" s="81"/>
      <c r="N36" s="82">
        <v>-419448.7</v>
      </c>
      <c r="O36" s="82">
        <v>-419448.7</v>
      </c>
    </row>
    <row r="37" spans="1:15" x14ac:dyDescent="0.2">
      <c r="A37" s="80" t="s">
        <v>68</v>
      </c>
      <c r="B37" s="95" t="s">
        <v>69</v>
      </c>
      <c r="C37" s="80" t="s">
        <v>70</v>
      </c>
      <c r="D37" s="80" t="s">
        <v>20</v>
      </c>
      <c r="E37" s="80" t="s">
        <v>36</v>
      </c>
      <c r="F37" s="80" t="s">
        <v>71</v>
      </c>
      <c r="G37" s="81"/>
      <c r="H37" s="81"/>
      <c r="I37" s="81"/>
      <c r="J37" s="81"/>
      <c r="K37" s="81"/>
      <c r="L37" s="82">
        <v>-119148.5</v>
      </c>
      <c r="M37" s="81"/>
      <c r="N37" s="82">
        <v>-119148.5</v>
      </c>
      <c r="O37" s="82">
        <v>-119148.5</v>
      </c>
    </row>
    <row r="38" spans="1:15" x14ac:dyDescent="0.2">
      <c r="A38" s="80" t="s">
        <v>72</v>
      </c>
      <c r="B38" s="95" t="s">
        <v>69</v>
      </c>
      <c r="C38" s="80" t="s">
        <v>73</v>
      </c>
      <c r="D38" s="80" t="s">
        <v>52</v>
      </c>
      <c r="E38" s="80" t="s">
        <v>28</v>
      </c>
      <c r="F38" s="80" t="s">
        <v>74</v>
      </c>
      <c r="G38" s="81"/>
      <c r="H38" s="81"/>
      <c r="I38" s="81"/>
      <c r="J38" s="81"/>
      <c r="K38" s="81"/>
      <c r="L38" s="82">
        <v>-1537454.2</v>
      </c>
      <c r="M38" s="81"/>
      <c r="N38" s="82">
        <v>-1537454.2</v>
      </c>
      <c r="O38" s="82">
        <v>-1537454.2</v>
      </c>
    </row>
    <row r="39" spans="1:15" x14ac:dyDescent="0.2">
      <c r="A39" s="80" t="s">
        <v>77</v>
      </c>
      <c r="B39" s="95" t="s">
        <v>69</v>
      </c>
      <c r="C39" s="80" t="s">
        <v>78</v>
      </c>
      <c r="D39" s="80" t="s">
        <v>56</v>
      </c>
      <c r="E39" s="80"/>
      <c r="F39" s="80" t="s">
        <v>75</v>
      </c>
      <c r="G39" s="81"/>
      <c r="H39" s="81"/>
      <c r="I39" s="81"/>
      <c r="J39" s="82">
        <v>5308.59</v>
      </c>
      <c r="K39" s="81"/>
      <c r="L39" s="81"/>
      <c r="M39" s="81"/>
      <c r="N39" s="82">
        <v>5308.59</v>
      </c>
      <c r="O39" s="82">
        <v>5308.59</v>
      </c>
    </row>
    <row r="40" spans="1:15" x14ac:dyDescent="0.2">
      <c r="A40" s="80" t="s">
        <v>79</v>
      </c>
      <c r="B40" s="95" t="s">
        <v>69</v>
      </c>
      <c r="C40" s="80" t="s">
        <v>80</v>
      </c>
      <c r="D40" s="80" t="s">
        <v>18</v>
      </c>
      <c r="E40" s="80"/>
      <c r="F40" s="80" t="s">
        <v>75</v>
      </c>
      <c r="G40" s="81"/>
      <c r="H40" s="81"/>
      <c r="I40" s="81"/>
      <c r="J40" s="82">
        <v>180832.96</v>
      </c>
      <c r="K40" s="81"/>
      <c r="L40" s="81"/>
      <c r="M40" s="81"/>
      <c r="N40" s="82">
        <v>180832.96</v>
      </c>
      <c r="O40" s="82">
        <v>180832.96</v>
      </c>
    </row>
    <row r="41" spans="1:15" x14ac:dyDescent="0.2">
      <c r="A41" s="80" t="s">
        <v>167</v>
      </c>
      <c r="B41" s="95" t="s">
        <v>168</v>
      </c>
      <c r="C41" s="80" t="s">
        <v>169</v>
      </c>
      <c r="D41" s="80" t="s">
        <v>20</v>
      </c>
      <c r="E41" s="80" t="s">
        <v>36</v>
      </c>
      <c r="F41" s="80" t="s">
        <v>170</v>
      </c>
      <c r="G41" s="81"/>
      <c r="H41" s="81"/>
      <c r="I41" s="81"/>
      <c r="J41" s="81"/>
      <c r="K41" s="81"/>
      <c r="L41" s="82">
        <v>-1200</v>
      </c>
      <c r="M41" s="81"/>
      <c r="N41" s="82">
        <v>-1200</v>
      </c>
      <c r="O41" s="82">
        <v>-1200</v>
      </c>
    </row>
    <row r="42" spans="1:15" x14ac:dyDescent="0.2">
      <c r="A42" s="80" t="s">
        <v>299</v>
      </c>
      <c r="B42" s="95" t="s">
        <v>300</v>
      </c>
      <c r="C42" s="80" t="s">
        <v>301</v>
      </c>
      <c r="D42" s="80" t="s">
        <v>56</v>
      </c>
      <c r="E42" s="80" t="s">
        <v>36</v>
      </c>
      <c r="F42" s="80" t="s">
        <v>302</v>
      </c>
      <c r="G42" s="81"/>
      <c r="H42" s="81"/>
      <c r="I42" s="81"/>
      <c r="J42" s="81"/>
      <c r="K42" s="81"/>
      <c r="L42" s="82">
        <v>-5829.19</v>
      </c>
      <c r="M42" s="81"/>
      <c r="N42" s="82">
        <v>-5829.19</v>
      </c>
      <c r="O42" s="82">
        <v>-5829.19</v>
      </c>
    </row>
    <row r="43" spans="1:15" x14ac:dyDescent="0.2">
      <c r="A43" s="80" t="s">
        <v>163</v>
      </c>
      <c r="B43" s="95" t="s">
        <v>164</v>
      </c>
      <c r="C43" s="80" t="s">
        <v>165</v>
      </c>
      <c r="D43" s="80" t="s">
        <v>102</v>
      </c>
      <c r="E43" s="80" t="s">
        <v>28</v>
      </c>
      <c r="F43" s="80" t="s">
        <v>166</v>
      </c>
      <c r="G43" s="81"/>
      <c r="H43" s="81"/>
      <c r="I43" s="82">
        <v>0.2</v>
      </c>
      <c r="J43" s="81"/>
      <c r="K43" s="81"/>
      <c r="L43" s="81"/>
      <c r="M43" s="81"/>
      <c r="N43" s="82">
        <v>0.2</v>
      </c>
      <c r="O43" s="82">
        <v>0.2</v>
      </c>
    </row>
    <row r="44" spans="1:15" x14ac:dyDescent="0.2">
      <c r="A44" s="80" t="s">
        <v>303</v>
      </c>
      <c r="B44" s="95" t="s">
        <v>300</v>
      </c>
      <c r="C44" s="80" t="s">
        <v>304</v>
      </c>
      <c r="D44" s="80" t="s">
        <v>56</v>
      </c>
      <c r="E44" s="80" t="s">
        <v>36</v>
      </c>
      <c r="F44" s="80" t="s">
        <v>302</v>
      </c>
      <c r="G44" s="81"/>
      <c r="H44" s="81"/>
      <c r="I44" s="81"/>
      <c r="J44" s="81"/>
      <c r="K44" s="81"/>
      <c r="L44" s="82">
        <v>-19583.349999999999</v>
      </c>
      <c r="M44" s="81"/>
      <c r="N44" s="82">
        <v>-19583.349999999999</v>
      </c>
      <c r="O44" s="82">
        <v>-19583.349999999999</v>
      </c>
    </row>
    <row r="45" spans="1:15" x14ac:dyDescent="0.2">
      <c r="A45" s="80" t="s">
        <v>313</v>
      </c>
      <c r="B45" s="95" t="s">
        <v>310</v>
      </c>
      <c r="C45" s="80" t="s">
        <v>314</v>
      </c>
      <c r="D45" s="80" t="s">
        <v>56</v>
      </c>
      <c r="E45" s="80" t="s">
        <v>28</v>
      </c>
      <c r="F45" s="80" t="s">
        <v>312</v>
      </c>
      <c r="G45" s="81"/>
      <c r="H45" s="81"/>
      <c r="I45" s="82">
        <v>5358</v>
      </c>
      <c r="J45" s="81"/>
      <c r="K45" s="81"/>
      <c r="L45" s="81"/>
      <c r="M45" s="81"/>
      <c r="N45" s="82">
        <v>5358</v>
      </c>
      <c r="O45" s="82">
        <v>5358</v>
      </c>
    </row>
    <row r="46" spans="1:15" x14ac:dyDescent="0.2">
      <c r="A46" s="80" t="s">
        <v>81</v>
      </c>
      <c r="B46" s="95" t="s">
        <v>69</v>
      </c>
      <c r="C46" s="80" t="s">
        <v>82</v>
      </c>
      <c r="D46" s="80" t="s">
        <v>56</v>
      </c>
      <c r="E46" s="80" t="s">
        <v>28</v>
      </c>
      <c r="F46" s="80" t="s">
        <v>74</v>
      </c>
      <c r="G46" s="81"/>
      <c r="H46" s="81"/>
      <c r="I46" s="82">
        <v>37149.919999999998</v>
      </c>
      <c r="J46" s="81"/>
      <c r="K46" s="81"/>
      <c r="L46" s="81"/>
      <c r="M46" s="81"/>
      <c r="N46" s="82">
        <v>37149.919999999998</v>
      </c>
      <c r="O46" s="82">
        <v>37149.919999999998</v>
      </c>
    </row>
    <row r="47" spans="1:15" x14ac:dyDescent="0.2">
      <c r="A47" s="80" t="s">
        <v>58</v>
      </c>
      <c r="B47" s="95" t="s">
        <v>54</v>
      </c>
      <c r="C47" s="80" t="s">
        <v>59</v>
      </c>
      <c r="D47" s="80" t="s">
        <v>20</v>
      </c>
      <c r="E47" s="80" t="s">
        <v>36</v>
      </c>
      <c r="F47" s="80" t="s">
        <v>57</v>
      </c>
      <c r="G47" s="81"/>
      <c r="H47" s="81"/>
      <c r="I47" s="81"/>
      <c r="J47" s="81"/>
      <c r="K47" s="81"/>
      <c r="L47" s="82">
        <v>-12.07</v>
      </c>
      <c r="M47" s="81"/>
      <c r="N47" s="82">
        <v>-12.07</v>
      </c>
      <c r="O47" s="82">
        <v>-12.07</v>
      </c>
    </row>
    <row r="48" spans="1:15" x14ac:dyDescent="0.2">
      <c r="A48" s="80" t="s">
        <v>740</v>
      </c>
      <c r="B48" s="95" t="s">
        <v>292</v>
      </c>
      <c r="C48" s="80" t="s">
        <v>741</v>
      </c>
      <c r="D48" s="80" t="s">
        <v>107</v>
      </c>
      <c r="E48" s="80" t="s">
        <v>28</v>
      </c>
      <c r="F48" s="80" t="s">
        <v>293</v>
      </c>
      <c r="G48" s="81"/>
      <c r="H48" s="81"/>
      <c r="I48" s="81"/>
      <c r="J48" s="81"/>
      <c r="K48" s="81"/>
      <c r="L48" s="82">
        <v>-4662</v>
      </c>
      <c r="M48" s="81"/>
      <c r="N48" s="82">
        <v>-4662</v>
      </c>
      <c r="O48" s="82">
        <v>-4662</v>
      </c>
    </row>
    <row r="49" spans="1:15" x14ac:dyDescent="0.2">
      <c r="A49" s="80" t="s">
        <v>171</v>
      </c>
      <c r="B49" s="95" t="s">
        <v>168</v>
      </c>
      <c r="C49" s="80" t="s">
        <v>172</v>
      </c>
      <c r="D49" s="80" t="s">
        <v>107</v>
      </c>
      <c r="E49" s="80" t="s">
        <v>28</v>
      </c>
      <c r="F49" s="80" t="s">
        <v>170</v>
      </c>
      <c r="G49" s="81"/>
      <c r="H49" s="81"/>
      <c r="I49" s="82">
        <v>0.05</v>
      </c>
      <c r="J49" s="81"/>
      <c r="K49" s="81"/>
      <c r="L49" s="81"/>
      <c r="M49" s="81"/>
      <c r="N49" s="82">
        <v>0.05</v>
      </c>
      <c r="O49" s="82">
        <v>0.05</v>
      </c>
    </row>
    <row r="50" spans="1:15" x14ac:dyDescent="0.2">
      <c r="A50" s="80" t="s">
        <v>742</v>
      </c>
      <c r="B50" s="95" t="s">
        <v>292</v>
      </c>
      <c r="C50" s="80" t="s">
        <v>743</v>
      </c>
      <c r="D50" s="80" t="s">
        <v>107</v>
      </c>
      <c r="E50" s="80" t="s">
        <v>28</v>
      </c>
      <c r="F50" s="80" t="s">
        <v>293</v>
      </c>
      <c r="G50" s="81"/>
      <c r="H50" s="81"/>
      <c r="I50" s="81"/>
      <c r="J50" s="81"/>
      <c r="K50" s="81"/>
      <c r="L50" s="82">
        <v>-23850</v>
      </c>
      <c r="M50" s="81"/>
      <c r="N50" s="82">
        <v>-23850</v>
      </c>
      <c r="O50" s="82">
        <v>-23850</v>
      </c>
    </row>
    <row r="51" spans="1:15" x14ac:dyDescent="0.2">
      <c r="A51" s="80" t="s">
        <v>83</v>
      </c>
      <c r="B51" s="95" t="s">
        <v>69</v>
      </c>
      <c r="C51" s="80" t="s">
        <v>84</v>
      </c>
      <c r="D51" s="80"/>
      <c r="E51" s="80"/>
      <c r="F51" s="80" t="s">
        <v>71</v>
      </c>
      <c r="G51" s="81"/>
      <c r="H51" s="81"/>
      <c r="I51" s="81"/>
      <c r="J51" s="81"/>
      <c r="K51" s="81"/>
      <c r="L51" s="82">
        <v>-113627.8</v>
      </c>
      <c r="M51" s="81"/>
      <c r="N51" s="82">
        <v>-113627.8</v>
      </c>
      <c r="O51" s="82">
        <v>-113627.8</v>
      </c>
    </row>
    <row r="52" spans="1:15" x14ac:dyDescent="0.2">
      <c r="A52" s="80" t="s">
        <v>244</v>
      </c>
      <c r="B52" s="95" t="s">
        <v>240</v>
      </c>
      <c r="C52" s="80" t="s">
        <v>245</v>
      </c>
      <c r="D52" s="80" t="s">
        <v>76</v>
      </c>
      <c r="E52" s="80" t="s">
        <v>28</v>
      </c>
      <c r="F52" s="80" t="s">
        <v>243</v>
      </c>
      <c r="G52" s="81"/>
      <c r="H52" s="81"/>
      <c r="I52" s="81"/>
      <c r="J52" s="81"/>
      <c r="K52" s="81"/>
      <c r="L52" s="82">
        <v>-259848.09</v>
      </c>
      <c r="M52" s="81"/>
      <c r="N52" s="82">
        <v>-259848.09</v>
      </c>
      <c r="O52" s="82">
        <v>-259848.09</v>
      </c>
    </row>
    <row r="53" spans="1:15" x14ac:dyDescent="0.2">
      <c r="A53" s="80" t="s">
        <v>249</v>
      </c>
      <c r="B53" s="95" t="s">
        <v>250</v>
      </c>
      <c r="C53" s="80" t="s">
        <v>251</v>
      </c>
      <c r="D53" s="80" t="s">
        <v>35</v>
      </c>
      <c r="E53" s="80" t="s">
        <v>36</v>
      </c>
      <c r="F53" s="80" t="s">
        <v>17</v>
      </c>
      <c r="G53" s="81"/>
      <c r="H53" s="81"/>
      <c r="I53" s="81"/>
      <c r="J53" s="81"/>
      <c r="K53" s="81"/>
      <c r="L53" s="82">
        <v>-3775.8</v>
      </c>
      <c r="M53" s="81"/>
      <c r="N53" s="82">
        <v>-3775.8</v>
      </c>
      <c r="O53" s="82">
        <v>-3775.8</v>
      </c>
    </row>
    <row r="54" spans="1:15" x14ac:dyDescent="0.2">
      <c r="A54" s="80" t="s">
        <v>270</v>
      </c>
      <c r="B54" s="95" t="s">
        <v>271</v>
      </c>
      <c r="C54" s="80" t="s">
        <v>272</v>
      </c>
      <c r="D54" s="80" t="s">
        <v>88</v>
      </c>
      <c r="E54" s="80" t="s">
        <v>28</v>
      </c>
      <c r="F54" s="80" t="s">
        <v>429</v>
      </c>
      <c r="G54" s="81"/>
      <c r="H54" s="81"/>
      <c r="I54" s="82">
        <v>0.01</v>
      </c>
      <c r="J54" s="81"/>
      <c r="K54" s="81"/>
      <c r="L54" s="81"/>
      <c r="M54" s="81"/>
      <c r="N54" s="82">
        <v>0.01</v>
      </c>
      <c r="O54" s="82">
        <v>0.01</v>
      </c>
    </row>
    <row r="55" spans="1:15" x14ac:dyDescent="0.2">
      <c r="A55" s="80" t="s">
        <v>187</v>
      </c>
      <c r="B55" s="95" t="s">
        <v>185</v>
      </c>
      <c r="C55" s="80" t="s">
        <v>188</v>
      </c>
      <c r="D55" s="80" t="s">
        <v>107</v>
      </c>
      <c r="E55" s="80" t="s">
        <v>28</v>
      </c>
      <c r="F55" s="80" t="s">
        <v>186</v>
      </c>
      <c r="G55" s="81"/>
      <c r="H55" s="81"/>
      <c r="I55" s="82">
        <v>126474.9</v>
      </c>
      <c r="J55" s="81"/>
      <c r="K55" s="81"/>
      <c r="L55" s="81"/>
      <c r="M55" s="81"/>
      <c r="N55" s="82">
        <v>126474.9</v>
      </c>
      <c r="O55" s="82">
        <v>126474.9</v>
      </c>
    </row>
    <row r="56" spans="1:15" x14ac:dyDescent="0.2">
      <c r="A56" s="80" t="s">
        <v>189</v>
      </c>
      <c r="B56" s="95" t="s">
        <v>185</v>
      </c>
      <c r="C56" s="80" t="s">
        <v>190</v>
      </c>
      <c r="D56" s="80" t="s">
        <v>88</v>
      </c>
      <c r="E56" s="80" t="s">
        <v>28</v>
      </c>
      <c r="F56" s="80" t="s">
        <v>186</v>
      </c>
      <c r="G56" s="81"/>
      <c r="H56" s="81"/>
      <c r="I56" s="82">
        <v>64208</v>
      </c>
      <c r="J56" s="81"/>
      <c r="K56" s="81"/>
      <c r="L56" s="81"/>
      <c r="M56" s="81"/>
      <c r="N56" s="82">
        <v>64208</v>
      </c>
      <c r="O56" s="82">
        <v>64208</v>
      </c>
    </row>
    <row r="57" spans="1:15" x14ac:dyDescent="0.2">
      <c r="A57" s="80" t="s">
        <v>50</v>
      </c>
      <c r="B57" s="95" t="s">
        <v>48</v>
      </c>
      <c r="C57" s="80" t="s">
        <v>51</v>
      </c>
      <c r="D57" s="80" t="s">
        <v>52</v>
      </c>
      <c r="E57" s="80" t="s">
        <v>28</v>
      </c>
      <c r="F57" s="80" t="s">
        <v>49</v>
      </c>
      <c r="G57" s="81"/>
      <c r="H57" s="81"/>
      <c r="I57" s="82">
        <v>0.01</v>
      </c>
      <c r="J57" s="81"/>
      <c r="K57" s="81"/>
      <c r="L57" s="81"/>
      <c r="M57" s="81"/>
      <c r="N57" s="82">
        <v>0.01</v>
      </c>
      <c r="O57" s="82">
        <v>0.01</v>
      </c>
    </row>
    <row r="58" spans="1:15" x14ac:dyDescent="0.2">
      <c r="A58" s="80" t="s">
        <v>86</v>
      </c>
      <c r="B58" s="95" t="s">
        <v>69</v>
      </c>
      <c r="C58" s="80" t="s">
        <v>87</v>
      </c>
      <c r="D58" s="80" t="s">
        <v>88</v>
      </c>
      <c r="E58" s="80" t="s">
        <v>28</v>
      </c>
      <c r="F58" s="80" t="s">
        <v>74</v>
      </c>
      <c r="G58" s="81"/>
      <c r="H58" s="81"/>
      <c r="I58" s="82">
        <v>252797.5</v>
      </c>
      <c r="J58" s="81"/>
      <c r="K58" s="81"/>
      <c r="L58" s="81"/>
      <c r="M58" s="81"/>
      <c r="N58" s="82">
        <v>252797.5</v>
      </c>
      <c r="O58" s="82">
        <v>252797.5</v>
      </c>
    </row>
    <row r="59" spans="1:15" x14ac:dyDescent="0.2">
      <c r="A59" s="80" t="s">
        <v>305</v>
      </c>
      <c r="B59" s="95" t="s">
        <v>300</v>
      </c>
      <c r="C59" s="80" t="s">
        <v>306</v>
      </c>
      <c r="D59" s="80" t="s">
        <v>56</v>
      </c>
      <c r="E59" s="80" t="s">
        <v>36</v>
      </c>
      <c r="F59" s="80" t="s">
        <v>302</v>
      </c>
      <c r="G59" s="81"/>
      <c r="H59" s="81"/>
      <c r="I59" s="81"/>
      <c r="J59" s="81"/>
      <c r="K59" s="81"/>
      <c r="L59" s="82">
        <v>-44658.36</v>
      </c>
      <c r="M59" s="81"/>
      <c r="N59" s="82">
        <v>-44658.36</v>
      </c>
      <c r="O59" s="82">
        <v>-44658.36</v>
      </c>
    </row>
    <row r="60" spans="1:15" x14ac:dyDescent="0.2">
      <c r="A60" s="80" t="s">
        <v>191</v>
      </c>
      <c r="B60" s="95" t="s">
        <v>185</v>
      </c>
      <c r="C60" s="80" t="s">
        <v>192</v>
      </c>
      <c r="D60" s="80" t="s">
        <v>107</v>
      </c>
      <c r="E60" s="80" t="s">
        <v>28</v>
      </c>
      <c r="F60" s="80" t="s">
        <v>186</v>
      </c>
      <c r="G60" s="81"/>
      <c r="H60" s="81"/>
      <c r="I60" s="82">
        <v>606347.6</v>
      </c>
      <c r="J60" s="81"/>
      <c r="K60" s="81"/>
      <c r="L60" s="81"/>
      <c r="M60" s="81"/>
      <c r="N60" s="82">
        <v>606347.6</v>
      </c>
      <c r="O60" s="82">
        <v>606347.6</v>
      </c>
    </row>
    <row r="61" spans="1:15" x14ac:dyDescent="0.2">
      <c r="A61" s="80" t="s">
        <v>193</v>
      </c>
      <c r="B61" s="95" t="s">
        <v>185</v>
      </c>
      <c r="C61" s="80" t="s">
        <v>194</v>
      </c>
      <c r="D61" s="80" t="s">
        <v>88</v>
      </c>
      <c r="E61" s="80" t="s">
        <v>28</v>
      </c>
      <c r="F61" s="80" t="s">
        <v>186</v>
      </c>
      <c r="G61" s="81"/>
      <c r="H61" s="81"/>
      <c r="I61" s="82">
        <v>641184</v>
      </c>
      <c r="J61" s="81"/>
      <c r="K61" s="81"/>
      <c r="L61" s="81"/>
      <c r="M61" s="81"/>
      <c r="N61" s="82">
        <v>641184</v>
      </c>
      <c r="O61" s="82">
        <v>641184</v>
      </c>
    </row>
    <row r="62" spans="1:15" x14ac:dyDescent="0.2">
      <c r="A62" s="80" t="s">
        <v>195</v>
      </c>
      <c r="B62" s="95" t="s">
        <v>185</v>
      </c>
      <c r="C62" s="80" t="s">
        <v>196</v>
      </c>
      <c r="D62" s="80" t="s">
        <v>107</v>
      </c>
      <c r="E62" s="80" t="s">
        <v>28</v>
      </c>
      <c r="F62" s="80" t="s">
        <v>186</v>
      </c>
      <c r="G62" s="81"/>
      <c r="H62" s="81"/>
      <c r="I62" s="82">
        <v>106718</v>
      </c>
      <c r="J62" s="81"/>
      <c r="K62" s="81"/>
      <c r="L62" s="81"/>
      <c r="M62" s="81"/>
      <c r="N62" s="82">
        <v>106718</v>
      </c>
      <c r="O62" s="82">
        <v>106718</v>
      </c>
    </row>
    <row r="63" spans="1:15" x14ac:dyDescent="0.2">
      <c r="A63" s="80" t="s">
        <v>197</v>
      </c>
      <c r="B63" s="95" t="s">
        <v>185</v>
      </c>
      <c r="C63" s="80" t="s">
        <v>198</v>
      </c>
      <c r="D63" s="80" t="s">
        <v>88</v>
      </c>
      <c r="E63" s="80" t="s">
        <v>28</v>
      </c>
      <c r="F63" s="80" t="s">
        <v>186</v>
      </c>
      <c r="G63" s="81"/>
      <c r="H63" s="81"/>
      <c r="I63" s="82">
        <v>95336</v>
      </c>
      <c r="J63" s="81"/>
      <c r="K63" s="81"/>
      <c r="L63" s="81"/>
      <c r="M63" s="81"/>
      <c r="N63" s="82">
        <v>95336</v>
      </c>
      <c r="O63" s="82">
        <v>95336</v>
      </c>
    </row>
    <row r="64" spans="1:15" x14ac:dyDescent="0.2">
      <c r="A64" s="80" t="s">
        <v>199</v>
      </c>
      <c r="B64" s="95" t="s">
        <v>185</v>
      </c>
      <c r="C64" s="80" t="s">
        <v>200</v>
      </c>
      <c r="D64" s="80" t="s">
        <v>35</v>
      </c>
      <c r="E64" s="80" t="s">
        <v>28</v>
      </c>
      <c r="F64" s="80" t="s">
        <v>186</v>
      </c>
      <c r="G64" s="81"/>
      <c r="H64" s="81"/>
      <c r="I64" s="82">
        <v>37764</v>
      </c>
      <c r="J64" s="81"/>
      <c r="K64" s="81"/>
      <c r="L64" s="81"/>
      <c r="M64" s="81"/>
      <c r="N64" s="82">
        <v>37764</v>
      </c>
      <c r="O64" s="82">
        <v>37764</v>
      </c>
    </row>
    <row r="65" spans="1:15" x14ac:dyDescent="0.2">
      <c r="A65" s="80" t="s">
        <v>201</v>
      </c>
      <c r="B65" s="95" t="s">
        <v>185</v>
      </c>
      <c r="C65" s="80" t="s">
        <v>202</v>
      </c>
      <c r="D65" s="80" t="s">
        <v>35</v>
      </c>
      <c r="E65" s="80" t="s">
        <v>28</v>
      </c>
      <c r="F65" s="80" t="s">
        <v>186</v>
      </c>
      <c r="G65" s="81"/>
      <c r="H65" s="81"/>
      <c r="I65" s="82">
        <v>78712</v>
      </c>
      <c r="J65" s="81"/>
      <c r="K65" s="81"/>
      <c r="L65" s="81"/>
      <c r="M65" s="81"/>
      <c r="N65" s="82">
        <v>78712</v>
      </c>
      <c r="O65" s="82">
        <v>78712</v>
      </c>
    </row>
    <row r="66" spans="1:15" x14ac:dyDescent="0.2">
      <c r="A66" s="80" t="s">
        <v>203</v>
      </c>
      <c r="B66" s="95" t="s">
        <v>185</v>
      </c>
      <c r="C66" s="80" t="s">
        <v>204</v>
      </c>
      <c r="D66" s="80" t="s">
        <v>88</v>
      </c>
      <c r="E66" s="80" t="s">
        <v>28</v>
      </c>
      <c r="F66" s="80" t="s">
        <v>186</v>
      </c>
      <c r="G66" s="81"/>
      <c r="H66" s="81"/>
      <c r="I66" s="82">
        <v>328332</v>
      </c>
      <c r="J66" s="81"/>
      <c r="K66" s="81"/>
      <c r="L66" s="81"/>
      <c r="M66" s="81"/>
      <c r="N66" s="82">
        <v>328332</v>
      </c>
      <c r="O66" s="82">
        <v>328332</v>
      </c>
    </row>
    <row r="67" spans="1:15" x14ac:dyDescent="0.2">
      <c r="A67" s="80" t="s">
        <v>205</v>
      </c>
      <c r="B67" s="95" t="s">
        <v>185</v>
      </c>
      <c r="C67" s="80" t="s">
        <v>206</v>
      </c>
      <c r="D67" s="80" t="s">
        <v>107</v>
      </c>
      <c r="E67" s="80" t="s">
        <v>28</v>
      </c>
      <c r="F67" s="80" t="s">
        <v>186</v>
      </c>
      <c r="G67" s="81"/>
      <c r="H67" s="81"/>
      <c r="I67" s="82">
        <v>35880</v>
      </c>
      <c r="J67" s="81"/>
      <c r="K67" s="81"/>
      <c r="L67" s="81"/>
      <c r="M67" s="81"/>
      <c r="N67" s="82">
        <v>35880</v>
      </c>
      <c r="O67" s="82">
        <v>35880</v>
      </c>
    </row>
    <row r="68" spans="1:15" x14ac:dyDescent="0.2">
      <c r="A68" s="80" t="s">
        <v>307</v>
      </c>
      <c r="B68" s="95" t="s">
        <v>300</v>
      </c>
      <c r="C68" s="80" t="s">
        <v>308</v>
      </c>
      <c r="D68" s="80" t="s">
        <v>56</v>
      </c>
      <c r="E68" s="80" t="s">
        <v>36</v>
      </c>
      <c r="F68" s="80" t="s">
        <v>302</v>
      </c>
      <c r="G68" s="81"/>
      <c r="H68" s="81"/>
      <c r="I68" s="81"/>
      <c r="J68" s="81"/>
      <c r="K68" s="81"/>
      <c r="L68" s="82">
        <v>-11658.34</v>
      </c>
      <c r="M68" s="81"/>
      <c r="N68" s="82">
        <v>-11658.34</v>
      </c>
      <c r="O68" s="82">
        <v>-11658.34</v>
      </c>
    </row>
    <row r="69" spans="1:15" x14ac:dyDescent="0.2">
      <c r="A69" s="80" t="s">
        <v>207</v>
      </c>
      <c r="B69" s="95" t="s">
        <v>185</v>
      </c>
      <c r="C69" s="80" t="s">
        <v>208</v>
      </c>
      <c r="D69" s="80" t="s">
        <v>107</v>
      </c>
      <c r="E69" s="80" t="s">
        <v>28</v>
      </c>
      <c r="F69" s="80" t="s">
        <v>186</v>
      </c>
      <c r="G69" s="81"/>
      <c r="H69" s="82">
        <v>226617.60000000001</v>
      </c>
      <c r="I69" s="81"/>
      <c r="J69" s="81"/>
      <c r="K69" s="81"/>
      <c r="L69" s="81"/>
      <c r="M69" s="81"/>
      <c r="N69" s="82">
        <v>226617.60000000001</v>
      </c>
      <c r="O69" s="82">
        <v>226617.60000000001</v>
      </c>
    </row>
    <row r="70" spans="1:15" x14ac:dyDescent="0.2">
      <c r="A70" s="80" t="s">
        <v>209</v>
      </c>
      <c r="B70" s="95" t="s">
        <v>185</v>
      </c>
      <c r="C70" s="80" t="s">
        <v>210</v>
      </c>
      <c r="D70" s="80" t="s">
        <v>107</v>
      </c>
      <c r="E70" s="80" t="s">
        <v>28</v>
      </c>
      <c r="F70" s="80" t="s">
        <v>186</v>
      </c>
      <c r="G70" s="81"/>
      <c r="H70" s="82">
        <v>35518.800000000003</v>
      </c>
      <c r="I70" s="81"/>
      <c r="J70" s="81"/>
      <c r="K70" s="81"/>
      <c r="L70" s="81"/>
      <c r="M70" s="81"/>
      <c r="N70" s="82">
        <v>35518.800000000003</v>
      </c>
      <c r="O70" s="82">
        <v>35518.800000000003</v>
      </c>
    </row>
    <row r="71" spans="1:15" x14ac:dyDescent="0.2">
      <c r="A71" s="80" t="s">
        <v>246</v>
      </c>
      <c r="B71" s="95" t="s">
        <v>240</v>
      </c>
      <c r="C71" s="80" t="s">
        <v>146</v>
      </c>
      <c r="D71" s="80" t="s">
        <v>20</v>
      </c>
      <c r="E71" s="80" t="s">
        <v>36</v>
      </c>
      <c r="F71" s="80" t="s">
        <v>243</v>
      </c>
      <c r="G71" s="81"/>
      <c r="H71" s="81"/>
      <c r="I71" s="81"/>
      <c r="J71" s="81"/>
      <c r="K71" s="81"/>
      <c r="L71" s="82">
        <v>-170975</v>
      </c>
      <c r="M71" s="81"/>
      <c r="N71" s="82">
        <v>-170975</v>
      </c>
      <c r="O71" s="82">
        <v>-170975</v>
      </c>
    </row>
    <row r="72" spans="1:15" x14ac:dyDescent="0.2">
      <c r="A72" s="80" t="s">
        <v>247</v>
      </c>
      <c r="B72" s="95" t="s">
        <v>240</v>
      </c>
      <c r="C72" s="80" t="s">
        <v>248</v>
      </c>
      <c r="D72" s="80" t="s">
        <v>102</v>
      </c>
      <c r="E72" s="80" t="s">
        <v>28</v>
      </c>
      <c r="F72" s="80" t="s">
        <v>243</v>
      </c>
      <c r="G72" s="81"/>
      <c r="H72" s="82">
        <v>510300</v>
      </c>
      <c r="I72" s="81"/>
      <c r="J72" s="81"/>
      <c r="K72" s="81"/>
      <c r="L72" s="81"/>
      <c r="M72" s="81"/>
      <c r="N72" s="82">
        <v>510300</v>
      </c>
      <c r="O72" s="82">
        <v>510300</v>
      </c>
    </row>
    <row r="73" spans="1:15" x14ac:dyDescent="0.2">
      <c r="A73" s="80" t="s">
        <v>89</v>
      </c>
      <c r="B73" s="95" t="s">
        <v>69</v>
      </c>
      <c r="C73" s="80" t="s">
        <v>90</v>
      </c>
      <c r="D73" s="80" t="s">
        <v>52</v>
      </c>
      <c r="E73" s="80"/>
      <c r="F73" s="80" t="s">
        <v>75</v>
      </c>
      <c r="G73" s="81"/>
      <c r="H73" s="82">
        <v>67822.149999999994</v>
      </c>
      <c r="I73" s="81"/>
      <c r="J73" s="81"/>
      <c r="K73" s="81"/>
      <c r="L73" s="81"/>
      <c r="M73" s="81"/>
      <c r="N73" s="82">
        <v>67822.149999999994</v>
      </c>
      <c r="O73" s="82">
        <v>67822.149999999994</v>
      </c>
    </row>
    <row r="74" spans="1:15" x14ac:dyDescent="0.2">
      <c r="A74" s="80" t="s">
        <v>91</v>
      </c>
      <c r="B74" s="95" t="s">
        <v>69</v>
      </c>
      <c r="C74" s="80" t="s">
        <v>92</v>
      </c>
      <c r="D74" s="80" t="s">
        <v>85</v>
      </c>
      <c r="E74" s="80"/>
      <c r="F74" s="80" t="s">
        <v>75</v>
      </c>
      <c r="G74" s="81"/>
      <c r="H74" s="82">
        <v>16404.41</v>
      </c>
      <c r="I74" s="81"/>
      <c r="J74" s="81"/>
      <c r="K74" s="81"/>
      <c r="L74" s="81"/>
      <c r="M74" s="81"/>
      <c r="N74" s="82">
        <v>16404.41</v>
      </c>
      <c r="O74" s="82">
        <v>16404.41</v>
      </c>
    </row>
    <row r="75" spans="1:15" x14ac:dyDescent="0.2">
      <c r="A75" s="80" t="s">
        <v>744</v>
      </c>
      <c r="B75" s="95" t="s">
        <v>310</v>
      </c>
      <c r="C75" s="80" t="s">
        <v>745</v>
      </c>
      <c r="D75" s="80" t="s">
        <v>88</v>
      </c>
      <c r="E75" s="80" t="s">
        <v>28</v>
      </c>
      <c r="F75" s="80" t="s">
        <v>312</v>
      </c>
      <c r="G75" s="81"/>
      <c r="H75" s="82">
        <v>1016051.6</v>
      </c>
      <c r="I75" s="81"/>
      <c r="J75" s="81"/>
      <c r="K75" s="81"/>
      <c r="L75" s="81"/>
      <c r="M75" s="81"/>
      <c r="N75" s="82">
        <v>1016051.6</v>
      </c>
      <c r="O75" s="82">
        <v>1016051.6</v>
      </c>
    </row>
    <row r="76" spans="1:15" x14ac:dyDescent="0.2">
      <c r="A76" s="80" t="s">
        <v>430</v>
      </c>
      <c r="B76" s="95" t="s">
        <v>69</v>
      </c>
      <c r="C76" s="80" t="s">
        <v>431</v>
      </c>
      <c r="D76" s="80" t="s">
        <v>20</v>
      </c>
      <c r="E76" s="80" t="s">
        <v>28</v>
      </c>
      <c r="F76" s="80" t="s">
        <v>74</v>
      </c>
      <c r="G76" s="81"/>
      <c r="H76" s="82">
        <v>567939</v>
      </c>
      <c r="I76" s="81"/>
      <c r="J76" s="81"/>
      <c r="K76" s="81"/>
      <c r="L76" s="81"/>
      <c r="M76" s="81"/>
      <c r="N76" s="82">
        <v>567939</v>
      </c>
      <c r="O76" s="82">
        <v>567939</v>
      </c>
    </row>
    <row r="77" spans="1:15" x14ac:dyDescent="0.2">
      <c r="A77" s="80" t="s">
        <v>432</v>
      </c>
      <c r="B77" s="95" t="s">
        <v>69</v>
      </c>
      <c r="C77" s="80" t="s">
        <v>433</v>
      </c>
      <c r="D77" s="80" t="s">
        <v>20</v>
      </c>
      <c r="E77" s="80" t="s">
        <v>28</v>
      </c>
      <c r="F77" s="80" t="s">
        <v>74</v>
      </c>
      <c r="G77" s="81"/>
      <c r="H77" s="82">
        <v>2156078</v>
      </c>
      <c r="I77" s="81"/>
      <c r="J77" s="81"/>
      <c r="K77" s="81"/>
      <c r="L77" s="81"/>
      <c r="M77" s="81"/>
      <c r="N77" s="82">
        <v>2156078</v>
      </c>
      <c r="O77" s="82">
        <v>2156078</v>
      </c>
    </row>
    <row r="78" spans="1:15" x14ac:dyDescent="0.2">
      <c r="A78" s="80" t="s">
        <v>434</v>
      </c>
      <c r="B78" s="95" t="s">
        <v>69</v>
      </c>
      <c r="C78" s="80" t="s">
        <v>435</v>
      </c>
      <c r="D78" s="80" t="s">
        <v>20</v>
      </c>
      <c r="E78" s="80" t="s">
        <v>28</v>
      </c>
      <c r="F78" s="80" t="s">
        <v>74</v>
      </c>
      <c r="G78" s="81"/>
      <c r="H78" s="82">
        <v>1549821</v>
      </c>
      <c r="I78" s="81"/>
      <c r="J78" s="81"/>
      <c r="K78" s="81"/>
      <c r="L78" s="81"/>
      <c r="M78" s="81"/>
      <c r="N78" s="82">
        <v>1549821</v>
      </c>
      <c r="O78" s="82">
        <v>1549821</v>
      </c>
    </row>
    <row r="79" spans="1:15" x14ac:dyDescent="0.2">
      <c r="A79" s="80" t="s">
        <v>436</v>
      </c>
      <c r="B79" s="95" t="s">
        <v>292</v>
      </c>
      <c r="C79" s="80" t="s">
        <v>437</v>
      </c>
      <c r="D79" s="80" t="s">
        <v>76</v>
      </c>
      <c r="E79" s="80" t="s">
        <v>28</v>
      </c>
      <c r="F79" s="80" t="s">
        <v>293</v>
      </c>
      <c r="G79" s="81"/>
      <c r="H79" s="82">
        <v>169420</v>
      </c>
      <c r="I79" s="81"/>
      <c r="J79" s="81"/>
      <c r="K79" s="81"/>
      <c r="L79" s="81"/>
      <c r="M79" s="81"/>
      <c r="N79" s="82">
        <v>169420</v>
      </c>
      <c r="O79" s="82">
        <v>169420</v>
      </c>
    </row>
    <row r="80" spans="1:15" x14ac:dyDescent="0.2">
      <c r="A80" s="80" t="s">
        <v>438</v>
      </c>
      <c r="B80" s="95" t="s">
        <v>185</v>
      </c>
      <c r="C80" s="80" t="s">
        <v>439</v>
      </c>
      <c r="D80" s="80" t="s">
        <v>107</v>
      </c>
      <c r="E80" s="80" t="s">
        <v>28</v>
      </c>
      <c r="F80" s="80" t="s">
        <v>186</v>
      </c>
      <c r="G80" s="81"/>
      <c r="H80" s="82">
        <v>341725.5</v>
      </c>
      <c r="I80" s="81"/>
      <c r="J80" s="81"/>
      <c r="K80" s="81"/>
      <c r="L80" s="81"/>
      <c r="M80" s="81"/>
      <c r="N80" s="82">
        <v>341725.5</v>
      </c>
      <c r="O80" s="82">
        <v>341725.5</v>
      </c>
    </row>
    <row r="81" spans="1:15" x14ac:dyDescent="0.2">
      <c r="A81" s="80" t="s">
        <v>440</v>
      </c>
      <c r="B81" s="95" t="s">
        <v>185</v>
      </c>
      <c r="C81" s="80" t="s">
        <v>441</v>
      </c>
      <c r="D81" s="80" t="s">
        <v>107</v>
      </c>
      <c r="E81" s="80" t="s">
        <v>28</v>
      </c>
      <c r="F81" s="80" t="s">
        <v>186</v>
      </c>
      <c r="G81" s="81"/>
      <c r="H81" s="82">
        <v>273735</v>
      </c>
      <c r="I81" s="81"/>
      <c r="J81" s="81"/>
      <c r="K81" s="81"/>
      <c r="L81" s="81"/>
      <c r="M81" s="81"/>
      <c r="N81" s="82">
        <v>273735</v>
      </c>
      <c r="O81" s="82">
        <v>273735</v>
      </c>
    </row>
    <row r="82" spans="1:15" x14ac:dyDescent="0.2">
      <c r="A82" s="80" t="s">
        <v>442</v>
      </c>
      <c r="B82" s="95" t="s">
        <v>285</v>
      </c>
      <c r="C82" s="80" t="s">
        <v>443</v>
      </c>
      <c r="D82" s="80" t="s">
        <v>20</v>
      </c>
      <c r="E82" s="80" t="s">
        <v>28</v>
      </c>
      <c r="F82" s="80" t="s">
        <v>288</v>
      </c>
      <c r="G82" s="81"/>
      <c r="H82" s="82">
        <v>1914991</v>
      </c>
      <c r="I82" s="81"/>
      <c r="J82" s="81"/>
      <c r="K82" s="81"/>
      <c r="L82" s="81"/>
      <c r="M82" s="81"/>
      <c r="N82" s="82">
        <v>1914991</v>
      </c>
      <c r="O82" s="82">
        <v>1914991</v>
      </c>
    </row>
    <row r="83" spans="1:15" x14ac:dyDescent="0.2">
      <c r="A83" s="80" t="s">
        <v>444</v>
      </c>
      <c r="B83" s="95" t="s">
        <v>285</v>
      </c>
      <c r="C83" s="80" t="s">
        <v>445</v>
      </c>
      <c r="D83" s="80" t="s">
        <v>20</v>
      </c>
      <c r="E83" s="80" t="s">
        <v>28</v>
      </c>
      <c r="F83" s="80" t="s">
        <v>288</v>
      </c>
      <c r="G83" s="81"/>
      <c r="H83" s="82">
        <v>100125</v>
      </c>
      <c r="I83" s="81"/>
      <c r="J83" s="81"/>
      <c r="K83" s="81"/>
      <c r="L83" s="81"/>
      <c r="M83" s="81"/>
      <c r="N83" s="82">
        <v>100125</v>
      </c>
      <c r="O83" s="82">
        <v>100125</v>
      </c>
    </row>
    <row r="84" spans="1:15" x14ac:dyDescent="0.2">
      <c r="A84" s="80" t="s">
        <v>446</v>
      </c>
      <c r="B84" s="95" t="s">
        <v>240</v>
      </c>
      <c r="C84" s="80" t="s">
        <v>447</v>
      </c>
      <c r="D84" s="80" t="s">
        <v>20</v>
      </c>
      <c r="E84" s="80" t="s">
        <v>28</v>
      </c>
      <c r="F84" s="80" t="s">
        <v>243</v>
      </c>
      <c r="G84" s="81"/>
      <c r="H84" s="82">
        <v>1379340</v>
      </c>
      <c r="I84" s="81"/>
      <c r="J84" s="81"/>
      <c r="K84" s="81"/>
      <c r="L84" s="81"/>
      <c r="M84" s="81"/>
      <c r="N84" s="82">
        <v>1379340</v>
      </c>
      <c r="O84" s="82">
        <v>1379340</v>
      </c>
    </row>
    <row r="85" spans="1:15" x14ac:dyDescent="0.2">
      <c r="A85" s="80" t="s">
        <v>448</v>
      </c>
      <c r="B85" s="95" t="s">
        <v>240</v>
      </c>
      <c r="C85" s="80" t="s">
        <v>449</v>
      </c>
      <c r="D85" s="80" t="s">
        <v>20</v>
      </c>
      <c r="E85" s="80" t="s">
        <v>28</v>
      </c>
      <c r="F85" s="80" t="s">
        <v>243</v>
      </c>
      <c r="G85" s="81"/>
      <c r="H85" s="82">
        <v>1667160</v>
      </c>
      <c r="I85" s="81"/>
      <c r="J85" s="81"/>
      <c r="K85" s="81"/>
      <c r="L85" s="81"/>
      <c r="M85" s="81"/>
      <c r="N85" s="82">
        <v>1667160</v>
      </c>
      <c r="O85" s="82">
        <v>1667160</v>
      </c>
    </row>
    <row r="86" spans="1:15" x14ac:dyDescent="0.2">
      <c r="A86" s="80" t="s">
        <v>450</v>
      </c>
      <c r="B86" s="95" t="s">
        <v>240</v>
      </c>
      <c r="C86" s="80" t="s">
        <v>451</v>
      </c>
      <c r="D86" s="80" t="s">
        <v>20</v>
      </c>
      <c r="E86" s="80" t="s">
        <v>28</v>
      </c>
      <c r="F86" s="80" t="s">
        <v>243</v>
      </c>
      <c r="G86" s="81"/>
      <c r="H86" s="82">
        <v>617220</v>
      </c>
      <c r="I86" s="81"/>
      <c r="J86" s="81"/>
      <c r="K86" s="81"/>
      <c r="L86" s="81"/>
      <c r="M86" s="81"/>
      <c r="N86" s="82">
        <v>617220</v>
      </c>
      <c r="O86" s="82">
        <v>617220</v>
      </c>
    </row>
    <row r="87" spans="1:15" x14ac:dyDescent="0.2">
      <c r="A87" s="80" t="s">
        <v>452</v>
      </c>
      <c r="B87" s="95" t="s">
        <v>240</v>
      </c>
      <c r="C87" s="80" t="s">
        <v>453</v>
      </c>
      <c r="D87" s="80" t="s">
        <v>102</v>
      </c>
      <c r="E87" s="80" t="s">
        <v>28</v>
      </c>
      <c r="F87" s="80" t="s">
        <v>243</v>
      </c>
      <c r="G87" s="81"/>
      <c r="H87" s="82">
        <v>376485.62</v>
      </c>
      <c r="I87" s="81"/>
      <c r="J87" s="81"/>
      <c r="K87" s="81"/>
      <c r="L87" s="81"/>
      <c r="M87" s="81"/>
      <c r="N87" s="82">
        <v>376485.62</v>
      </c>
      <c r="O87" s="82">
        <v>376485.62</v>
      </c>
    </row>
    <row r="88" spans="1:15" x14ac:dyDescent="0.2">
      <c r="A88" s="80" t="s">
        <v>454</v>
      </c>
      <c r="B88" s="95" t="s">
        <v>240</v>
      </c>
      <c r="C88" s="80" t="s">
        <v>455</v>
      </c>
      <c r="D88" s="80" t="s">
        <v>76</v>
      </c>
      <c r="E88" s="80" t="s">
        <v>28</v>
      </c>
      <c r="F88" s="80" t="s">
        <v>243</v>
      </c>
      <c r="G88" s="81"/>
      <c r="H88" s="82">
        <v>3607438.5</v>
      </c>
      <c r="I88" s="81"/>
      <c r="J88" s="81"/>
      <c r="K88" s="81"/>
      <c r="L88" s="81"/>
      <c r="M88" s="81"/>
      <c r="N88" s="82">
        <v>3607438.5</v>
      </c>
      <c r="O88" s="82">
        <v>3607438.5</v>
      </c>
    </row>
    <row r="89" spans="1:15" x14ac:dyDescent="0.2">
      <c r="A89" s="80" t="s">
        <v>456</v>
      </c>
      <c r="B89" s="95" t="s">
        <v>240</v>
      </c>
      <c r="C89" s="80" t="s">
        <v>457</v>
      </c>
      <c r="D89" s="80" t="s">
        <v>102</v>
      </c>
      <c r="E89" s="80" t="s">
        <v>28</v>
      </c>
      <c r="F89" s="80" t="s">
        <v>243</v>
      </c>
      <c r="G89" s="81"/>
      <c r="H89" s="82">
        <v>862335</v>
      </c>
      <c r="I89" s="81"/>
      <c r="J89" s="81"/>
      <c r="K89" s="81"/>
      <c r="L89" s="81"/>
      <c r="M89" s="81"/>
      <c r="N89" s="82">
        <v>862335</v>
      </c>
      <c r="O89" s="82">
        <v>862335</v>
      </c>
    </row>
    <row r="90" spans="1:15" x14ac:dyDescent="0.2">
      <c r="A90" s="80" t="s">
        <v>458</v>
      </c>
      <c r="B90" s="95" t="s">
        <v>240</v>
      </c>
      <c r="C90" s="80" t="s">
        <v>459</v>
      </c>
      <c r="D90" s="80" t="s">
        <v>102</v>
      </c>
      <c r="E90" s="80" t="s">
        <v>28</v>
      </c>
      <c r="F90" s="80" t="s">
        <v>243</v>
      </c>
      <c r="G90" s="81"/>
      <c r="H90" s="82">
        <v>526500</v>
      </c>
      <c r="I90" s="81"/>
      <c r="J90" s="81"/>
      <c r="K90" s="81"/>
      <c r="L90" s="81"/>
      <c r="M90" s="81"/>
      <c r="N90" s="82">
        <v>526500</v>
      </c>
      <c r="O90" s="82">
        <v>526500</v>
      </c>
    </row>
    <row r="91" spans="1:15" x14ac:dyDescent="0.2">
      <c r="A91" s="80" t="s">
        <v>460</v>
      </c>
      <c r="B91" s="95" t="s">
        <v>240</v>
      </c>
      <c r="C91" s="80" t="s">
        <v>461</v>
      </c>
      <c r="D91" s="80" t="s">
        <v>20</v>
      </c>
      <c r="E91" s="80" t="s">
        <v>36</v>
      </c>
      <c r="F91" s="80" t="s">
        <v>243</v>
      </c>
      <c r="G91" s="81"/>
      <c r="H91" s="81"/>
      <c r="I91" s="81"/>
      <c r="J91" s="81"/>
      <c r="K91" s="81"/>
      <c r="L91" s="82">
        <v>-263025</v>
      </c>
      <c r="M91" s="81"/>
      <c r="N91" s="82">
        <v>-263025</v>
      </c>
      <c r="O91" s="82">
        <v>-263025</v>
      </c>
    </row>
    <row r="92" spans="1:15" x14ac:dyDescent="0.2">
      <c r="A92" s="80" t="s">
        <v>462</v>
      </c>
      <c r="B92" s="95" t="s">
        <v>285</v>
      </c>
      <c r="C92" s="80" t="s">
        <v>463</v>
      </c>
      <c r="D92" s="80" t="s">
        <v>20</v>
      </c>
      <c r="E92" s="80" t="s">
        <v>28</v>
      </c>
      <c r="F92" s="80" t="s">
        <v>288</v>
      </c>
      <c r="G92" s="81"/>
      <c r="H92" s="82">
        <v>2998575</v>
      </c>
      <c r="I92" s="81"/>
      <c r="J92" s="81"/>
      <c r="K92" s="81"/>
      <c r="L92" s="81"/>
      <c r="M92" s="81"/>
      <c r="N92" s="82">
        <v>2998575</v>
      </c>
      <c r="O92" s="82">
        <v>2998575</v>
      </c>
    </row>
    <row r="93" spans="1:15" x14ac:dyDescent="0.2">
      <c r="A93" s="80" t="s">
        <v>464</v>
      </c>
      <c r="B93" s="95" t="s">
        <v>285</v>
      </c>
      <c r="C93" s="80" t="s">
        <v>465</v>
      </c>
      <c r="D93" s="80" t="s">
        <v>20</v>
      </c>
      <c r="E93" s="80" t="s">
        <v>28</v>
      </c>
      <c r="F93" s="80" t="s">
        <v>288</v>
      </c>
      <c r="G93" s="81"/>
      <c r="H93" s="82">
        <v>457425</v>
      </c>
      <c r="I93" s="81"/>
      <c r="J93" s="81"/>
      <c r="K93" s="81"/>
      <c r="L93" s="81"/>
      <c r="M93" s="81"/>
      <c r="N93" s="82">
        <v>457425</v>
      </c>
      <c r="O93" s="82">
        <v>457425</v>
      </c>
    </row>
    <row r="94" spans="1:15" x14ac:dyDescent="0.2">
      <c r="A94" s="80" t="s">
        <v>466</v>
      </c>
      <c r="B94" s="95" t="s">
        <v>285</v>
      </c>
      <c r="C94" s="80" t="s">
        <v>467</v>
      </c>
      <c r="D94" s="80" t="s">
        <v>20</v>
      </c>
      <c r="E94" s="80" t="s">
        <v>28</v>
      </c>
      <c r="F94" s="80" t="s">
        <v>288</v>
      </c>
      <c r="G94" s="81"/>
      <c r="H94" s="82">
        <v>478800</v>
      </c>
      <c r="I94" s="81"/>
      <c r="J94" s="81"/>
      <c r="K94" s="81"/>
      <c r="L94" s="81"/>
      <c r="M94" s="81"/>
      <c r="N94" s="82">
        <v>478800</v>
      </c>
      <c r="O94" s="82">
        <v>478800</v>
      </c>
    </row>
    <row r="95" spans="1:15" x14ac:dyDescent="0.2">
      <c r="A95" s="80" t="s">
        <v>468</v>
      </c>
      <c r="B95" s="95" t="s">
        <v>69</v>
      </c>
      <c r="C95" s="80" t="s">
        <v>469</v>
      </c>
      <c r="D95" s="80" t="s">
        <v>20</v>
      </c>
      <c r="E95" s="80" t="s">
        <v>28</v>
      </c>
      <c r="F95" s="80" t="s">
        <v>74</v>
      </c>
      <c r="G95" s="81"/>
      <c r="H95" s="82">
        <v>1005382</v>
      </c>
      <c r="I95" s="81"/>
      <c r="J95" s="81"/>
      <c r="K95" s="81"/>
      <c r="L95" s="81"/>
      <c r="M95" s="81"/>
      <c r="N95" s="82">
        <v>1005382</v>
      </c>
      <c r="O95" s="82">
        <v>1005382</v>
      </c>
    </row>
    <row r="96" spans="1:15" x14ac:dyDescent="0.2">
      <c r="A96" s="80" t="s">
        <v>470</v>
      </c>
      <c r="B96" s="95" t="s">
        <v>60</v>
      </c>
      <c r="C96" s="80" t="s">
        <v>471</v>
      </c>
      <c r="D96" s="80" t="s">
        <v>102</v>
      </c>
      <c r="E96" s="80" t="s">
        <v>36</v>
      </c>
      <c r="F96" s="80" t="s">
        <v>67</v>
      </c>
      <c r="G96" s="81"/>
      <c r="H96" s="81"/>
      <c r="I96" s="81"/>
      <c r="J96" s="81"/>
      <c r="K96" s="81"/>
      <c r="L96" s="82">
        <v>-10622</v>
      </c>
      <c r="M96" s="81"/>
      <c r="N96" s="82">
        <v>-10622</v>
      </c>
      <c r="O96" s="82">
        <v>-10622</v>
      </c>
    </row>
    <row r="97" spans="1:15" x14ac:dyDescent="0.2">
      <c r="A97" s="80" t="s">
        <v>472</v>
      </c>
      <c r="B97" s="95" t="s">
        <v>240</v>
      </c>
      <c r="C97" s="80" t="s">
        <v>473</v>
      </c>
      <c r="D97" s="80" t="s">
        <v>20</v>
      </c>
      <c r="E97" s="80" t="s">
        <v>28</v>
      </c>
      <c r="F97" s="80" t="s">
        <v>243</v>
      </c>
      <c r="G97" s="81"/>
      <c r="H97" s="82">
        <v>5401530</v>
      </c>
      <c r="I97" s="81"/>
      <c r="J97" s="81"/>
      <c r="K97" s="81"/>
      <c r="L97" s="81"/>
      <c r="M97" s="81"/>
      <c r="N97" s="82">
        <v>5401530</v>
      </c>
      <c r="O97" s="82">
        <v>5401530</v>
      </c>
    </row>
    <row r="98" spans="1:15" x14ac:dyDescent="0.2">
      <c r="A98" s="80" t="s">
        <v>474</v>
      </c>
      <c r="B98" s="95" t="s">
        <v>69</v>
      </c>
      <c r="C98" s="80" t="s">
        <v>475</v>
      </c>
      <c r="D98" s="80" t="s">
        <v>20</v>
      </c>
      <c r="E98" s="80" t="s">
        <v>28</v>
      </c>
      <c r="F98" s="80" t="s">
        <v>74</v>
      </c>
      <c r="G98" s="81"/>
      <c r="H98" s="82">
        <v>1792518</v>
      </c>
      <c r="I98" s="81"/>
      <c r="J98" s="81"/>
      <c r="K98" s="81"/>
      <c r="L98" s="81"/>
      <c r="M98" s="81"/>
      <c r="N98" s="82">
        <v>1792518</v>
      </c>
      <c r="O98" s="82">
        <v>1792518</v>
      </c>
    </row>
    <row r="99" spans="1:15" x14ac:dyDescent="0.2">
      <c r="A99" s="80" t="s">
        <v>476</v>
      </c>
      <c r="B99" s="95" t="s">
        <v>240</v>
      </c>
      <c r="C99" s="80" t="s">
        <v>477</v>
      </c>
      <c r="D99" s="80" t="s">
        <v>102</v>
      </c>
      <c r="E99" s="80" t="s">
        <v>28</v>
      </c>
      <c r="F99" s="80" t="s">
        <v>243</v>
      </c>
      <c r="G99" s="81"/>
      <c r="H99" s="81"/>
      <c r="I99" s="81"/>
      <c r="J99" s="81"/>
      <c r="K99" s="81"/>
      <c r="L99" s="82">
        <v>-7605</v>
      </c>
      <c r="M99" s="81"/>
      <c r="N99" s="82">
        <v>-7605</v>
      </c>
      <c r="O99" s="82">
        <v>-7605</v>
      </c>
    </row>
    <row r="100" spans="1:15" x14ac:dyDescent="0.2">
      <c r="A100" s="80" t="s">
        <v>478</v>
      </c>
      <c r="B100" s="95" t="s">
        <v>285</v>
      </c>
      <c r="C100" s="80" t="s">
        <v>479</v>
      </c>
      <c r="D100" s="80" t="s">
        <v>20</v>
      </c>
      <c r="E100" s="80" t="s">
        <v>28</v>
      </c>
      <c r="F100" s="80" t="s">
        <v>288</v>
      </c>
      <c r="G100" s="81"/>
      <c r="H100" s="82">
        <v>7011855</v>
      </c>
      <c r="I100" s="81"/>
      <c r="J100" s="81"/>
      <c r="K100" s="81"/>
      <c r="L100" s="81"/>
      <c r="M100" s="81"/>
      <c r="N100" s="82">
        <v>7011855</v>
      </c>
      <c r="O100" s="82">
        <v>7011855</v>
      </c>
    </row>
    <row r="101" spans="1:15" x14ac:dyDescent="0.2">
      <c r="A101" s="80" t="s">
        <v>480</v>
      </c>
      <c r="B101" s="95" t="s">
        <v>285</v>
      </c>
      <c r="C101" s="80" t="s">
        <v>481</v>
      </c>
      <c r="D101" s="80" t="s">
        <v>20</v>
      </c>
      <c r="E101" s="80" t="s">
        <v>28</v>
      </c>
      <c r="F101" s="80" t="s">
        <v>288</v>
      </c>
      <c r="G101" s="81"/>
      <c r="H101" s="82">
        <v>870480</v>
      </c>
      <c r="I101" s="81"/>
      <c r="J101" s="81"/>
      <c r="K101" s="81"/>
      <c r="L101" s="81"/>
      <c r="M101" s="81"/>
      <c r="N101" s="82">
        <v>870480</v>
      </c>
      <c r="O101" s="82">
        <v>870480</v>
      </c>
    </row>
    <row r="102" spans="1:15" x14ac:dyDescent="0.2">
      <c r="A102" s="80" t="s">
        <v>482</v>
      </c>
      <c r="B102" s="95" t="s">
        <v>285</v>
      </c>
      <c r="C102" s="80" t="s">
        <v>483</v>
      </c>
      <c r="D102" s="80" t="s">
        <v>102</v>
      </c>
      <c r="E102" s="80" t="s">
        <v>28</v>
      </c>
      <c r="F102" s="80" t="s">
        <v>288</v>
      </c>
      <c r="G102" s="81"/>
      <c r="H102" s="82">
        <v>1003590</v>
      </c>
      <c r="I102" s="81"/>
      <c r="J102" s="81"/>
      <c r="K102" s="81"/>
      <c r="L102" s="81"/>
      <c r="M102" s="81"/>
      <c r="N102" s="82">
        <v>1003590</v>
      </c>
      <c r="O102" s="82">
        <v>1003590</v>
      </c>
    </row>
    <row r="103" spans="1:15" x14ac:dyDescent="0.2">
      <c r="A103" s="80" t="s">
        <v>484</v>
      </c>
      <c r="B103" s="95" t="s">
        <v>99</v>
      </c>
      <c r="C103" s="80" t="s">
        <v>485</v>
      </c>
      <c r="D103" s="80" t="s">
        <v>76</v>
      </c>
      <c r="E103" s="80" t="s">
        <v>28</v>
      </c>
      <c r="F103" s="80" t="s">
        <v>101</v>
      </c>
      <c r="G103" s="81"/>
      <c r="H103" s="82">
        <v>1541222.3999999999</v>
      </c>
      <c r="I103" s="81"/>
      <c r="J103" s="81"/>
      <c r="K103" s="81"/>
      <c r="L103" s="81"/>
      <c r="M103" s="81"/>
      <c r="N103" s="82">
        <v>1541222.3999999999</v>
      </c>
      <c r="O103" s="82">
        <v>1541222.3999999999</v>
      </c>
    </row>
    <row r="104" spans="1:15" x14ac:dyDescent="0.2">
      <c r="A104" s="80" t="s">
        <v>486</v>
      </c>
      <c r="B104" s="95" t="s">
        <v>99</v>
      </c>
      <c r="C104" s="80" t="s">
        <v>487</v>
      </c>
      <c r="D104" s="80" t="s">
        <v>20</v>
      </c>
      <c r="E104" s="80" t="s">
        <v>28</v>
      </c>
      <c r="F104" s="80" t="s">
        <v>101</v>
      </c>
      <c r="G104" s="81"/>
      <c r="H104" s="82">
        <v>1482580</v>
      </c>
      <c r="I104" s="81"/>
      <c r="J104" s="81"/>
      <c r="K104" s="81"/>
      <c r="L104" s="81"/>
      <c r="M104" s="81"/>
      <c r="N104" s="82">
        <v>1482580</v>
      </c>
      <c r="O104" s="82">
        <v>1482580</v>
      </c>
    </row>
    <row r="105" spans="1:15" x14ac:dyDescent="0.2">
      <c r="A105" s="80" t="s">
        <v>488</v>
      </c>
      <c r="B105" s="95" t="s">
        <v>99</v>
      </c>
      <c r="C105" s="80" t="s">
        <v>489</v>
      </c>
      <c r="D105" s="80" t="s">
        <v>20</v>
      </c>
      <c r="E105" s="80" t="s">
        <v>28</v>
      </c>
      <c r="F105" s="80" t="s">
        <v>101</v>
      </c>
      <c r="G105" s="81"/>
      <c r="H105" s="82">
        <v>243432</v>
      </c>
      <c r="I105" s="81"/>
      <c r="J105" s="81"/>
      <c r="K105" s="81"/>
      <c r="L105" s="81"/>
      <c r="M105" s="81"/>
      <c r="N105" s="82">
        <v>243432</v>
      </c>
      <c r="O105" s="82">
        <v>243432</v>
      </c>
    </row>
    <row r="106" spans="1:15" x14ac:dyDescent="0.2">
      <c r="A106" s="80" t="s">
        <v>490</v>
      </c>
      <c r="B106" s="95" t="s">
        <v>324</v>
      </c>
      <c r="C106" s="80" t="s">
        <v>491</v>
      </c>
      <c r="D106" s="80" t="s">
        <v>102</v>
      </c>
      <c r="E106" s="80" t="s">
        <v>28</v>
      </c>
      <c r="F106" s="80" t="s">
        <v>492</v>
      </c>
      <c r="G106" s="82">
        <v>314750</v>
      </c>
      <c r="H106" s="81"/>
      <c r="I106" s="81"/>
      <c r="J106" s="81"/>
      <c r="K106" s="81"/>
      <c r="L106" s="81"/>
      <c r="M106" s="81"/>
      <c r="N106" s="82">
        <v>314750</v>
      </c>
      <c r="O106" s="82">
        <v>314750</v>
      </c>
    </row>
    <row r="107" spans="1:15" x14ac:dyDescent="0.2">
      <c r="A107" s="80" t="s">
        <v>493</v>
      </c>
      <c r="B107" s="95" t="s">
        <v>324</v>
      </c>
      <c r="C107" s="80" t="s">
        <v>494</v>
      </c>
      <c r="D107" s="80" t="s">
        <v>20</v>
      </c>
      <c r="E107" s="80" t="s">
        <v>28</v>
      </c>
      <c r="F107" s="80" t="s">
        <v>492</v>
      </c>
      <c r="G107" s="82">
        <v>186151</v>
      </c>
      <c r="H107" s="81"/>
      <c r="I107" s="81"/>
      <c r="J107" s="81"/>
      <c r="K107" s="81"/>
      <c r="L107" s="81"/>
      <c r="M107" s="81"/>
      <c r="N107" s="82">
        <v>186151</v>
      </c>
      <c r="O107" s="82">
        <v>186151</v>
      </c>
    </row>
    <row r="108" spans="1:15" x14ac:dyDescent="0.2">
      <c r="A108" s="80" t="s">
        <v>495</v>
      </c>
      <c r="B108" s="95" t="s">
        <v>285</v>
      </c>
      <c r="C108" s="80" t="s">
        <v>496</v>
      </c>
      <c r="D108" s="80" t="s">
        <v>20</v>
      </c>
      <c r="E108" s="80" t="s">
        <v>28</v>
      </c>
      <c r="F108" s="80" t="s">
        <v>288</v>
      </c>
      <c r="G108" s="82">
        <v>1987290</v>
      </c>
      <c r="H108" s="81"/>
      <c r="I108" s="81"/>
      <c r="J108" s="81"/>
      <c r="K108" s="81"/>
      <c r="L108" s="81"/>
      <c r="M108" s="81"/>
      <c r="N108" s="82">
        <v>1987290</v>
      </c>
      <c r="O108" s="82">
        <v>1987290</v>
      </c>
    </row>
    <row r="109" spans="1:15" x14ac:dyDescent="0.2">
      <c r="A109" s="80" t="s">
        <v>497</v>
      </c>
      <c r="B109" s="95" t="s">
        <v>99</v>
      </c>
      <c r="C109" s="80" t="s">
        <v>498</v>
      </c>
      <c r="D109" s="80" t="s">
        <v>20</v>
      </c>
      <c r="E109" s="80" t="s">
        <v>28</v>
      </c>
      <c r="F109" s="80" t="s">
        <v>101</v>
      </c>
      <c r="G109" s="82">
        <v>3878628</v>
      </c>
      <c r="H109" s="81"/>
      <c r="I109" s="81"/>
      <c r="J109" s="81"/>
      <c r="K109" s="81"/>
      <c r="L109" s="81"/>
      <c r="M109" s="81"/>
      <c r="N109" s="82">
        <v>3878628</v>
      </c>
      <c r="O109" s="82">
        <v>3878628</v>
      </c>
    </row>
    <row r="110" spans="1:15" x14ac:dyDescent="0.2">
      <c r="A110" s="80" t="s">
        <v>499</v>
      </c>
      <c r="B110" s="95" t="s">
        <v>106</v>
      </c>
      <c r="C110" s="80" t="s">
        <v>500</v>
      </c>
      <c r="D110" s="80" t="s">
        <v>20</v>
      </c>
      <c r="E110" s="80" t="s">
        <v>36</v>
      </c>
      <c r="F110" s="80" t="s">
        <v>108</v>
      </c>
      <c r="G110" s="81"/>
      <c r="H110" s="81"/>
      <c r="I110" s="81"/>
      <c r="J110" s="81"/>
      <c r="K110" s="81"/>
      <c r="L110" s="82">
        <v>-67520</v>
      </c>
      <c r="M110" s="81"/>
      <c r="N110" s="82">
        <v>-67520</v>
      </c>
      <c r="O110" s="82">
        <v>-67520</v>
      </c>
    </row>
    <row r="111" spans="1:15" x14ac:dyDescent="0.2">
      <c r="A111" s="80" t="s">
        <v>501</v>
      </c>
      <c r="B111" s="95" t="s">
        <v>185</v>
      </c>
      <c r="C111" s="80" t="s">
        <v>502</v>
      </c>
      <c r="D111" s="80" t="s">
        <v>107</v>
      </c>
      <c r="E111" s="80" t="s">
        <v>28</v>
      </c>
      <c r="F111" s="80" t="s">
        <v>186</v>
      </c>
      <c r="G111" s="82">
        <v>64532</v>
      </c>
      <c r="H111" s="81"/>
      <c r="I111" s="81"/>
      <c r="J111" s="81"/>
      <c r="K111" s="81"/>
      <c r="L111" s="81"/>
      <c r="M111" s="81"/>
      <c r="N111" s="82">
        <v>64532</v>
      </c>
      <c r="O111" s="82">
        <v>64532</v>
      </c>
    </row>
    <row r="112" spans="1:15" x14ac:dyDescent="0.2">
      <c r="A112" s="80" t="s">
        <v>503</v>
      </c>
      <c r="B112" s="95" t="s">
        <v>185</v>
      </c>
      <c r="C112" s="80" t="s">
        <v>504</v>
      </c>
      <c r="D112" s="80" t="s">
        <v>107</v>
      </c>
      <c r="E112" s="80" t="s">
        <v>28</v>
      </c>
      <c r="F112" s="80" t="s">
        <v>186</v>
      </c>
      <c r="G112" s="82">
        <v>18980</v>
      </c>
      <c r="H112" s="81"/>
      <c r="I112" s="81"/>
      <c r="J112" s="81"/>
      <c r="K112" s="81"/>
      <c r="L112" s="81"/>
      <c r="M112" s="81"/>
      <c r="N112" s="82">
        <v>18980</v>
      </c>
      <c r="O112" s="82">
        <v>18980</v>
      </c>
    </row>
    <row r="113" spans="1:15" x14ac:dyDescent="0.2">
      <c r="A113" s="80" t="s">
        <v>505</v>
      </c>
      <c r="B113" s="95" t="s">
        <v>185</v>
      </c>
      <c r="C113" s="80" t="s">
        <v>506</v>
      </c>
      <c r="D113" s="80" t="s">
        <v>76</v>
      </c>
      <c r="E113" s="80" t="s">
        <v>28</v>
      </c>
      <c r="F113" s="80" t="s">
        <v>186</v>
      </c>
      <c r="G113" s="82">
        <v>253132</v>
      </c>
      <c r="H113" s="81"/>
      <c r="I113" s="81"/>
      <c r="J113" s="81"/>
      <c r="K113" s="81"/>
      <c r="L113" s="81"/>
      <c r="M113" s="81"/>
      <c r="N113" s="82">
        <v>253132</v>
      </c>
      <c r="O113" s="82">
        <v>253132</v>
      </c>
    </row>
    <row r="114" spans="1:15" x14ac:dyDescent="0.2">
      <c r="A114" s="80" t="s">
        <v>507</v>
      </c>
      <c r="B114" s="95" t="s">
        <v>185</v>
      </c>
      <c r="C114" s="80" t="s">
        <v>508</v>
      </c>
      <c r="D114" s="80" t="s">
        <v>76</v>
      </c>
      <c r="E114" s="80" t="s">
        <v>28</v>
      </c>
      <c r="F114" s="80" t="s">
        <v>186</v>
      </c>
      <c r="G114" s="82">
        <v>276408</v>
      </c>
      <c r="H114" s="81"/>
      <c r="I114" s="81"/>
      <c r="J114" s="81"/>
      <c r="K114" s="81"/>
      <c r="L114" s="81"/>
      <c r="M114" s="81"/>
      <c r="N114" s="82">
        <v>276408</v>
      </c>
      <c r="O114" s="82">
        <v>276408</v>
      </c>
    </row>
    <row r="115" spans="1:15" x14ac:dyDescent="0.2">
      <c r="A115" s="80" t="s">
        <v>509</v>
      </c>
      <c r="B115" s="95" t="s">
        <v>185</v>
      </c>
      <c r="C115" s="80" t="s">
        <v>510</v>
      </c>
      <c r="D115" s="80" t="s">
        <v>102</v>
      </c>
      <c r="E115" s="80" t="s">
        <v>28</v>
      </c>
      <c r="F115" s="80" t="s">
        <v>186</v>
      </c>
      <c r="G115" s="82">
        <v>99440</v>
      </c>
      <c r="H115" s="81"/>
      <c r="I115" s="81"/>
      <c r="J115" s="81"/>
      <c r="K115" s="81"/>
      <c r="L115" s="81"/>
      <c r="M115" s="81"/>
      <c r="N115" s="82">
        <v>99440</v>
      </c>
      <c r="O115" s="82">
        <v>99440</v>
      </c>
    </row>
    <row r="116" spans="1:15" x14ac:dyDescent="0.2">
      <c r="A116" s="80" t="s">
        <v>511</v>
      </c>
      <c r="B116" s="95" t="s">
        <v>185</v>
      </c>
      <c r="C116" s="80" t="s">
        <v>512</v>
      </c>
      <c r="D116" s="80" t="s">
        <v>102</v>
      </c>
      <c r="E116" s="80" t="s">
        <v>28</v>
      </c>
      <c r="F116" s="80" t="s">
        <v>186</v>
      </c>
      <c r="G116" s="82">
        <v>65240</v>
      </c>
      <c r="H116" s="81"/>
      <c r="I116" s="81"/>
      <c r="J116" s="81"/>
      <c r="K116" s="81"/>
      <c r="L116" s="81"/>
      <c r="M116" s="81"/>
      <c r="N116" s="82">
        <v>65240</v>
      </c>
      <c r="O116" s="82">
        <v>65240</v>
      </c>
    </row>
    <row r="117" spans="1:15" x14ac:dyDescent="0.2">
      <c r="A117" s="80" t="s">
        <v>513</v>
      </c>
      <c r="B117" s="95" t="s">
        <v>185</v>
      </c>
      <c r="C117" s="80" t="s">
        <v>514</v>
      </c>
      <c r="D117" s="80" t="s">
        <v>102</v>
      </c>
      <c r="E117" s="80" t="s">
        <v>28</v>
      </c>
      <c r="F117" s="80" t="s">
        <v>186</v>
      </c>
      <c r="G117" s="82">
        <v>65240</v>
      </c>
      <c r="H117" s="81"/>
      <c r="I117" s="81"/>
      <c r="J117" s="81"/>
      <c r="K117" s="81"/>
      <c r="L117" s="81"/>
      <c r="M117" s="81"/>
      <c r="N117" s="82">
        <v>65240</v>
      </c>
      <c r="O117" s="82">
        <v>65240</v>
      </c>
    </row>
    <row r="118" spans="1:15" x14ac:dyDescent="0.2">
      <c r="A118" s="80" t="s">
        <v>515</v>
      </c>
      <c r="B118" s="95" t="s">
        <v>69</v>
      </c>
      <c r="C118" s="80" t="s">
        <v>516</v>
      </c>
      <c r="D118" s="80" t="s">
        <v>20</v>
      </c>
      <c r="E118" s="80" t="s">
        <v>28</v>
      </c>
      <c r="F118" s="80" t="s">
        <v>74</v>
      </c>
      <c r="G118" s="82">
        <v>1844066</v>
      </c>
      <c r="H118" s="81"/>
      <c r="I118" s="81"/>
      <c r="J118" s="81"/>
      <c r="K118" s="81"/>
      <c r="L118" s="81"/>
      <c r="M118" s="81"/>
      <c r="N118" s="82">
        <v>1844066</v>
      </c>
      <c r="O118" s="82">
        <v>1844066</v>
      </c>
    </row>
    <row r="119" spans="1:15" x14ac:dyDescent="0.2">
      <c r="A119" s="80" t="s">
        <v>517</v>
      </c>
      <c r="B119" s="95" t="s">
        <v>69</v>
      </c>
      <c r="C119" s="80" t="s">
        <v>518</v>
      </c>
      <c r="D119" s="80" t="s">
        <v>52</v>
      </c>
      <c r="E119" s="80"/>
      <c r="F119" s="80" t="s">
        <v>75</v>
      </c>
      <c r="G119" s="82">
        <v>923768.6</v>
      </c>
      <c r="H119" s="81"/>
      <c r="I119" s="81"/>
      <c r="J119" s="81"/>
      <c r="K119" s="81"/>
      <c r="L119" s="81"/>
      <c r="M119" s="81"/>
      <c r="N119" s="82">
        <v>923768.6</v>
      </c>
      <c r="O119" s="82">
        <v>923768.6</v>
      </c>
    </row>
    <row r="120" spans="1:15" x14ac:dyDescent="0.2">
      <c r="A120" s="80" t="s">
        <v>519</v>
      </c>
      <c r="B120" s="95" t="s">
        <v>69</v>
      </c>
      <c r="C120" s="80" t="s">
        <v>518</v>
      </c>
      <c r="D120" s="80" t="s">
        <v>85</v>
      </c>
      <c r="E120" s="80"/>
      <c r="F120" s="80" t="s">
        <v>75</v>
      </c>
      <c r="G120" s="82">
        <v>23802.71</v>
      </c>
      <c r="H120" s="81"/>
      <c r="I120" s="81"/>
      <c r="J120" s="81"/>
      <c r="K120" s="81"/>
      <c r="L120" s="81"/>
      <c r="M120" s="81"/>
      <c r="N120" s="82">
        <v>23802.71</v>
      </c>
      <c r="O120" s="82">
        <v>23802.71</v>
      </c>
    </row>
    <row r="121" spans="1:15" x14ac:dyDescent="0.2">
      <c r="A121" s="80" t="s">
        <v>520</v>
      </c>
      <c r="B121" s="95" t="s">
        <v>69</v>
      </c>
      <c r="C121" s="80" t="s">
        <v>521</v>
      </c>
      <c r="D121" s="80" t="s">
        <v>52</v>
      </c>
      <c r="E121" s="80"/>
      <c r="F121" s="80" t="s">
        <v>75</v>
      </c>
      <c r="G121" s="82">
        <v>878087.11</v>
      </c>
      <c r="H121" s="81"/>
      <c r="I121" s="81"/>
      <c r="J121" s="81"/>
      <c r="K121" s="81"/>
      <c r="L121" s="81"/>
      <c r="M121" s="81"/>
      <c r="N121" s="82">
        <v>878087.11</v>
      </c>
      <c r="O121" s="82">
        <v>878087.11</v>
      </c>
    </row>
    <row r="122" spans="1:15" x14ac:dyDescent="0.2">
      <c r="A122" s="80" t="s">
        <v>522</v>
      </c>
      <c r="B122" s="95" t="s">
        <v>69</v>
      </c>
      <c r="C122" s="80" t="s">
        <v>523</v>
      </c>
      <c r="D122" s="80" t="s">
        <v>85</v>
      </c>
      <c r="E122" s="80"/>
      <c r="F122" s="80" t="s">
        <v>75</v>
      </c>
      <c r="G122" s="82">
        <v>33832.06</v>
      </c>
      <c r="H122" s="81"/>
      <c r="I122" s="81"/>
      <c r="J122" s="81"/>
      <c r="K122" s="81"/>
      <c r="L122" s="81"/>
      <c r="M122" s="81"/>
      <c r="N122" s="82">
        <v>33832.06</v>
      </c>
      <c r="O122" s="82">
        <v>33832.06</v>
      </c>
    </row>
    <row r="123" spans="1:15" x14ac:dyDescent="0.2">
      <c r="A123" s="80" t="s">
        <v>524</v>
      </c>
      <c r="B123" s="95" t="s">
        <v>69</v>
      </c>
      <c r="C123" s="80" t="s">
        <v>525</v>
      </c>
      <c r="D123" s="80" t="s">
        <v>52</v>
      </c>
      <c r="E123" s="80"/>
      <c r="F123" s="80" t="s">
        <v>75</v>
      </c>
      <c r="G123" s="82">
        <v>751138.42</v>
      </c>
      <c r="H123" s="81"/>
      <c r="I123" s="81"/>
      <c r="J123" s="81"/>
      <c r="K123" s="81"/>
      <c r="L123" s="81"/>
      <c r="M123" s="81"/>
      <c r="N123" s="82">
        <v>751138.42</v>
      </c>
      <c r="O123" s="82">
        <v>751138.42</v>
      </c>
    </row>
    <row r="124" spans="1:15" x14ac:dyDescent="0.2">
      <c r="A124" s="80" t="s">
        <v>526</v>
      </c>
      <c r="B124" s="95" t="s">
        <v>69</v>
      </c>
      <c r="C124" s="80" t="s">
        <v>527</v>
      </c>
      <c r="D124" s="80" t="s">
        <v>85</v>
      </c>
      <c r="E124" s="80"/>
      <c r="F124" s="80" t="s">
        <v>75</v>
      </c>
      <c r="G124" s="82">
        <v>25677.56</v>
      </c>
      <c r="H124" s="81"/>
      <c r="I124" s="81"/>
      <c r="J124" s="81"/>
      <c r="K124" s="81"/>
      <c r="L124" s="81"/>
      <c r="M124" s="81"/>
      <c r="N124" s="82">
        <v>25677.56</v>
      </c>
      <c r="O124" s="82">
        <v>25677.56</v>
      </c>
    </row>
    <row r="125" spans="1:15" x14ac:dyDescent="0.2">
      <c r="A125" s="80" t="s">
        <v>528</v>
      </c>
      <c r="B125" s="95" t="s">
        <v>69</v>
      </c>
      <c r="C125" s="80" t="s">
        <v>529</v>
      </c>
      <c r="D125" s="80" t="s">
        <v>52</v>
      </c>
      <c r="E125" s="80"/>
      <c r="F125" s="80" t="s">
        <v>75</v>
      </c>
      <c r="G125" s="82">
        <v>604625.13</v>
      </c>
      <c r="H125" s="81"/>
      <c r="I125" s="81"/>
      <c r="J125" s="81"/>
      <c r="K125" s="81"/>
      <c r="L125" s="81"/>
      <c r="M125" s="81"/>
      <c r="N125" s="82">
        <v>604625.13</v>
      </c>
      <c r="O125" s="82">
        <v>604625.13</v>
      </c>
    </row>
    <row r="126" spans="1:15" x14ac:dyDescent="0.2">
      <c r="A126" s="80" t="s">
        <v>530</v>
      </c>
      <c r="B126" s="95" t="s">
        <v>69</v>
      </c>
      <c r="C126" s="80" t="s">
        <v>531</v>
      </c>
      <c r="D126" s="80" t="s">
        <v>85</v>
      </c>
      <c r="E126" s="80"/>
      <c r="F126" s="80" t="s">
        <v>75</v>
      </c>
      <c r="G126" s="82">
        <v>30349.22</v>
      </c>
      <c r="H126" s="81"/>
      <c r="I126" s="81"/>
      <c r="J126" s="81"/>
      <c r="K126" s="81"/>
      <c r="L126" s="81"/>
      <c r="M126" s="81"/>
      <c r="N126" s="82">
        <v>30349.22</v>
      </c>
      <c r="O126" s="82">
        <v>30349.22</v>
      </c>
    </row>
    <row r="127" spans="1:15" x14ac:dyDescent="0.2">
      <c r="A127" s="80" t="s">
        <v>532</v>
      </c>
      <c r="B127" s="95" t="s">
        <v>240</v>
      </c>
      <c r="C127" s="80" t="s">
        <v>533</v>
      </c>
      <c r="D127" s="80" t="s">
        <v>20</v>
      </c>
      <c r="E127" s="80" t="s">
        <v>28</v>
      </c>
      <c r="F127" s="80" t="s">
        <v>243</v>
      </c>
      <c r="G127" s="82">
        <v>6396345</v>
      </c>
      <c r="H127" s="81"/>
      <c r="I127" s="81"/>
      <c r="J127" s="81"/>
      <c r="K127" s="81"/>
      <c r="L127" s="81"/>
      <c r="M127" s="81"/>
      <c r="N127" s="82">
        <v>6396345</v>
      </c>
      <c r="O127" s="82">
        <v>6396345</v>
      </c>
    </row>
    <row r="128" spans="1:15" x14ac:dyDescent="0.2">
      <c r="A128" s="80" t="s">
        <v>534</v>
      </c>
      <c r="B128" s="95" t="s">
        <v>240</v>
      </c>
      <c r="C128" s="80" t="s">
        <v>535</v>
      </c>
      <c r="D128" s="80" t="s">
        <v>102</v>
      </c>
      <c r="E128" s="80" t="s">
        <v>28</v>
      </c>
      <c r="F128" s="80" t="s">
        <v>243</v>
      </c>
      <c r="G128" s="82">
        <v>590760</v>
      </c>
      <c r="H128" s="81"/>
      <c r="I128" s="81"/>
      <c r="J128" s="81"/>
      <c r="K128" s="81"/>
      <c r="L128" s="81"/>
      <c r="M128" s="81"/>
      <c r="N128" s="82">
        <v>590760</v>
      </c>
      <c r="O128" s="82">
        <v>590760</v>
      </c>
    </row>
    <row r="129" spans="1:15" x14ac:dyDescent="0.2">
      <c r="A129" s="80" t="s">
        <v>536</v>
      </c>
      <c r="B129" s="95" t="s">
        <v>99</v>
      </c>
      <c r="C129" s="80" t="s">
        <v>537</v>
      </c>
      <c r="D129" s="80" t="s">
        <v>20</v>
      </c>
      <c r="E129" s="80" t="s">
        <v>28</v>
      </c>
      <c r="F129" s="80" t="s">
        <v>101</v>
      </c>
      <c r="G129" s="82">
        <v>556416</v>
      </c>
      <c r="H129" s="81"/>
      <c r="I129" s="81"/>
      <c r="J129" s="81"/>
      <c r="K129" s="81"/>
      <c r="L129" s="81"/>
      <c r="M129" s="81"/>
      <c r="N129" s="82">
        <v>556416</v>
      </c>
      <c r="O129" s="82">
        <v>556416</v>
      </c>
    </row>
    <row r="130" spans="1:15" x14ac:dyDescent="0.2">
      <c r="A130" s="80" t="s">
        <v>538</v>
      </c>
      <c r="B130" s="95" t="s">
        <v>99</v>
      </c>
      <c r="C130" s="80" t="s">
        <v>539</v>
      </c>
      <c r="D130" s="80" t="s">
        <v>20</v>
      </c>
      <c r="E130" s="80" t="s">
        <v>28</v>
      </c>
      <c r="F130" s="80" t="s">
        <v>101</v>
      </c>
      <c r="G130" s="82">
        <v>1009746</v>
      </c>
      <c r="H130" s="81"/>
      <c r="I130" s="81"/>
      <c r="J130" s="81"/>
      <c r="K130" s="81"/>
      <c r="L130" s="81"/>
      <c r="M130" s="81"/>
      <c r="N130" s="82">
        <v>1009746</v>
      </c>
      <c r="O130" s="82">
        <v>1009746</v>
      </c>
    </row>
    <row r="131" spans="1:15" x14ac:dyDescent="0.2">
      <c r="A131" s="80" t="s">
        <v>540</v>
      </c>
      <c r="B131" s="95" t="s">
        <v>99</v>
      </c>
      <c r="C131" s="80" t="s">
        <v>541</v>
      </c>
      <c r="D131" s="80" t="s">
        <v>20</v>
      </c>
      <c r="E131" s="80" t="s">
        <v>28</v>
      </c>
      <c r="F131" s="80" t="s">
        <v>101</v>
      </c>
      <c r="G131" s="82">
        <v>481569.4</v>
      </c>
      <c r="H131" s="81"/>
      <c r="I131" s="81"/>
      <c r="J131" s="81"/>
      <c r="K131" s="81"/>
      <c r="L131" s="81"/>
      <c r="M131" s="81"/>
      <c r="N131" s="82">
        <v>481569.4</v>
      </c>
      <c r="O131" s="82">
        <v>481569.4</v>
      </c>
    </row>
    <row r="132" spans="1:15" x14ac:dyDescent="0.2">
      <c r="A132" s="80" t="s">
        <v>542</v>
      </c>
      <c r="B132" s="95" t="s">
        <v>99</v>
      </c>
      <c r="C132" s="80" t="s">
        <v>543</v>
      </c>
      <c r="D132" s="80" t="s">
        <v>20</v>
      </c>
      <c r="E132" s="80" t="s">
        <v>28</v>
      </c>
      <c r="F132" s="80" t="s">
        <v>101</v>
      </c>
      <c r="G132" s="82">
        <v>534267</v>
      </c>
      <c r="H132" s="81"/>
      <c r="I132" s="81"/>
      <c r="J132" s="81"/>
      <c r="K132" s="81"/>
      <c r="L132" s="81"/>
      <c r="M132" s="81"/>
      <c r="N132" s="82">
        <v>534267</v>
      </c>
      <c r="O132" s="82">
        <v>534267</v>
      </c>
    </row>
    <row r="133" spans="1:15" x14ac:dyDescent="0.2">
      <c r="A133" s="80" t="s">
        <v>544</v>
      </c>
      <c r="B133" s="95" t="s">
        <v>285</v>
      </c>
      <c r="C133" s="80" t="s">
        <v>545</v>
      </c>
      <c r="D133" s="80" t="s">
        <v>20</v>
      </c>
      <c r="E133" s="80" t="s">
        <v>28</v>
      </c>
      <c r="F133" s="80" t="s">
        <v>288</v>
      </c>
      <c r="G133" s="82">
        <v>2233170</v>
      </c>
      <c r="H133" s="81"/>
      <c r="I133" s="81"/>
      <c r="J133" s="81"/>
      <c r="K133" s="81"/>
      <c r="L133" s="81"/>
      <c r="M133" s="81"/>
      <c r="N133" s="82">
        <v>2233170</v>
      </c>
      <c r="O133" s="82">
        <v>2233170</v>
      </c>
    </row>
    <row r="134" spans="1:15" x14ac:dyDescent="0.2">
      <c r="A134" s="80" t="s">
        <v>546</v>
      </c>
      <c r="B134" s="95" t="s">
        <v>285</v>
      </c>
      <c r="C134" s="80" t="s">
        <v>547</v>
      </c>
      <c r="D134" s="80" t="s">
        <v>20</v>
      </c>
      <c r="E134" s="80" t="s">
        <v>28</v>
      </c>
      <c r="F134" s="80" t="s">
        <v>288</v>
      </c>
      <c r="G134" s="82">
        <v>2823075</v>
      </c>
      <c r="H134" s="81"/>
      <c r="I134" s="81"/>
      <c r="J134" s="81"/>
      <c r="K134" s="81"/>
      <c r="L134" s="81"/>
      <c r="M134" s="81"/>
      <c r="N134" s="82">
        <v>2823075</v>
      </c>
      <c r="O134" s="82">
        <v>2823075</v>
      </c>
    </row>
    <row r="135" spans="1:15" x14ac:dyDescent="0.2">
      <c r="A135" s="80" t="s">
        <v>548</v>
      </c>
      <c r="B135" s="95" t="s">
        <v>549</v>
      </c>
      <c r="C135" s="80" t="s">
        <v>550</v>
      </c>
      <c r="D135" s="80" t="s">
        <v>107</v>
      </c>
      <c r="E135" s="80" t="s">
        <v>36</v>
      </c>
      <c r="F135" s="80" t="s">
        <v>551</v>
      </c>
      <c r="G135" s="81"/>
      <c r="H135" s="81"/>
      <c r="I135" s="81"/>
      <c r="J135" s="81"/>
      <c r="K135" s="81"/>
      <c r="L135" s="82">
        <v>-44000</v>
      </c>
      <c r="M135" s="81"/>
      <c r="N135" s="82">
        <v>-44000</v>
      </c>
      <c r="O135" s="82">
        <v>-44000</v>
      </c>
    </row>
    <row r="136" spans="1:15" x14ac:dyDescent="0.2">
      <c r="A136" s="80" t="s">
        <v>552</v>
      </c>
      <c r="B136" s="95" t="s">
        <v>292</v>
      </c>
      <c r="C136" s="80" t="s">
        <v>553</v>
      </c>
      <c r="D136" s="80" t="s">
        <v>76</v>
      </c>
      <c r="E136" s="80" t="s">
        <v>28</v>
      </c>
      <c r="F136" s="80" t="s">
        <v>293</v>
      </c>
      <c r="G136" s="82">
        <v>97960.5</v>
      </c>
      <c r="H136" s="81"/>
      <c r="I136" s="81"/>
      <c r="J136" s="81"/>
      <c r="K136" s="81"/>
      <c r="L136" s="81"/>
      <c r="M136" s="81"/>
      <c r="N136" s="82">
        <v>97960.5</v>
      </c>
      <c r="O136" s="82">
        <v>97960.5</v>
      </c>
    </row>
    <row r="137" spans="1:15" x14ac:dyDescent="0.2">
      <c r="A137" s="80" t="s">
        <v>554</v>
      </c>
      <c r="B137" s="95" t="s">
        <v>292</v>
      </c>
      <c r="C137" s="80" t="s">
        <v>555</v>
      </c>
      <c r="D137" s="80" t="s">
        <v>107</v>
      </c>
      <c r="E137" s="80" t="s">
        <v>28</v>
      </c>
      <c r="F137" s="80" t="s">
        <v>293</v>
      </c>
      <c r="G137" s="82">
        <v>71760</v>
      </c>
      <c r="H137" s="81"/>
      <c r="I137" s="81"/>
      <c r="J137" s="81"/>
      <c r="K137" s="81"/>
      <c r="L137" s="81"/>
      <c r="M137" s="81"/>
      <c r="N137" s="82">
        <v>71760</v>
      </c>
      <c r="O137" s="82">
        <v>71760</v>
      </c>
    </row>
    <row r="138" spans="1:15" x14ac:dyDescent="0.2">
      <c r="A138" s="80" t="s">
        <v>556</v>
      </c>
      <c r="B138" s="95" t="s">
        <v>292</v>
      </c>
      <c r="C138" s="80" t="s">
        <v>557</v>
      </c>
      <c r="D138" s="80" t="s">
        <v>102</v>
      </c>
      <c r="E138" s="80" t="s">
        <v>28</v>
      </c>
      <c r="F138" s="80" t="s">
        <v>293</v>
      </c>
      <c r="G138" s="82">
        <v>228240</v>
      </c>
      <c r="H138" s="81"/>
      <c r="I138" s="81"/>
      <c r="J138" s="81"/>
      <c r="K138" s="81"/>
      <c r="L138" s="81"/>
      <c r="M138" s="81"/>
      <c r="N138" s="82">
        <v>228240</v>
      </c>
      <c r="O138" s="82">
        <v>228240</v>
      </c>
    </row>
    <row r="139" spans="1:15" x14ac:dyDescent="0.2">
      <c r="A139" s="80" t="s">
        <v>746</v>
      </c>
      <c r="B139" s="95" t="s">
        <v>125</v>
      </c>
      <c r="C139" s="80" t="s">
        <v>747</v>
      </c>
      <c r="D139" s="80" t="s">
        <v>52</v>
      </c>
      <c r="E139" s="80" t="s">
        <v>36</v>
      </c>
      <c r="F139" s="80" t="s">
        <v>126</v>
      </c>
      <c r="G139" s="81"/>
      <c r="H139" s="81"/>
      <c r="I139" s="81"/>
      <c r="J139" s="81"/>
      <c r="K139" s="81"/>
      <c r="L139" s="82">
        <v>-0.09</v>
      </c>
      <c r="M139" s="81"/>
      <c r="N139" s="82">
        <v>-0.09</v>
      </c>
      <c r="O139" s="82">
        <v>-0.09</v>
      </c>
    </row>
    <row r="140" spans="1:15" x14ac:dyDescent="0.2">
      <c r="A140" s="80" t="s">
        <v>558</v>
      </c>
      <c r="B140" s="95" t="s">
        <v>285</v>
      </c>
      <c r="C140" s="80" t="s">
        <v>559</v>
      </c>
      <c r="D140" s="80" t="s">
        <v>20</v>
      </c>
      <c r="E140" s="80" t="s">
        <v>28</v>
      </c>
      <c r="F140" s="80" t="s">
        <v>288</v>
      </c>
      <c r="G140" s="82">
        <v>3879945</v>
      </c>
      <c r="H140" s="81"/>
      <c r="I140" s="81"/>
      <c r="J140" s="81"/>
      <c r="K140" s="81"/>
      <c r="L140" s="81"/>
      <c r="M140" s="81"/>
      <c r="N140" s="82">
        <v>3879945</v>
      </c>
      <c r="O140" s="82">
        <v>3879945</v>
      </c>
    </row>
    <row r="141" spans="1:15" x14ac:dyDescent="0.2">
      <c r="A141" s="80" t="s">
        <v>560</v>
      </c>
      <c r="B141" s="95" t="s">
        <v>240</v>
      </c>
      <c r="C141" s="80" t="s">
        <v>561</v>
      </c>
      <c r="D141" s="80" t="s">
        <v>76</v>
      </c>
      <c r="E141" s="80" t="s">
        <v>28</v>
      </c>
      <c r="F141" s="80" t="s">
        <v>243</v>
      </c>
      <c r="G141" s="82">
        <v>141030</v>
      </c>
      <c r="H141" s="81"/>
      <c r="I141" s="81"/>
      <c r="J141" s="81"/>
      <c r="K141" s="81"/>
      <c r="L141" s="81"/>
      <c r="M141" s="81"/>
      <c r="N141" s="82">
        <v>141030</v>
      </c>
      <c r="O141" s="82">
        <v>141030</v>
      </c>
    </row>
    <row r="142" spans="1:15" x14ac:dyDescent="0.2">
      <c r="A142" s="80" t="s">
        <v>562</v>
      </c>
      <c r="B142" s="95" t="s">
        <v>240</v>
      </c>
      <c r="C142" s="80" t="s">
        <v>563</v>
      </c>
      <c r="D142" s="80" t="s">
        <v>20</v>
      </c>
      <c r="E142" s="80" t="s">
        <v>28</v>
      </c>
      <c r="F142" s="80" t="s">
        <v>243</v>
      </c>
      <c r="G142" s="82">
        <v>4386892.5</v>
      </c>
      <c r="H142" s="81"/>
      <c r="I142" s="81"/>
      <c r="J142" s="81"/>
      <c r="K142" s="81"/>
      <c r="L142" s="81"/>
      <c r="M142" s="81"/>
      <c r="N142" s="82">
        <v>4386892.5</v>
      </c>
      <c r="O142" s="82">
        <v>4386892.5</v>
      </c>
    </row>
    <row r="143" spans="1:15" x14ac:dyDescent="0.2">
      <c r="A143" s="80" t="s">
        <v>564</v>
      </c>
      <c r="B143" s="95" t="s">
        <v>240</v>
      </c>
      <c r="C143" s="80" t="s">
        <v>565</v>
      </c>
      <c r="D143" s="80" t="s">
        <v>20</v>
      </c>
      <c r="E143" s="80" t="s">
        <v>28</v>
      </c>
      <c r="F143" s="80" t="s">
        <v>243</v>
      </c>
      <c r="G143" s="82">
        <v>2583900</v>
      </c>
      <c r="H143" s="81"/>
      <c r="I143" s="81"/>
      <c r="J143" s="81"/>
      <c r="K143" s="81"/>
      <c r="L143" s="81"/>
      <c r="M143" s="81"/>
      <c r="N143" s="82">
        <v>2583900</v>
      </c>
      <c r="O143" s="82">
        <v>2583900</v>
      </c>
    </row>
    <row r="144" spans="1:15" x14ac:dyDescent="0.2">
      <c r="A144" s="80" t="s">
        <v>566</v>
      </c>
      <c r="B144" s="95" t="s">
        <v>285</v>
      </c>
      <c r="C144" s="80" t="s">
        <v>567</v>
      </c>
      <c r="D144" s="80" t="s">
        <v>102</v>
      </c>
      <c r="E144" s="80" t="s">
        <v>28</v>
      </c>
      <c r="F144" s="80" t="s">
        <v>288</v>
      </c>
      <c r="G144" s="82">
        <v>819315</v>
      </c>
      <c r="H144" s="81"/>
      <c r="I144" s="81"/>
      <c r="J144" s="81"/>
      <c r="K144" s="81"/>
      <c r="L144" s="81"/>
      <c r="M144" s="81"/>
      <c r="N144" s="82">
        <v>819315</v>
      </c>
      <c r="O144" s="82">
        <v>819315</v>
      </c>
    </row>
    <row r="145" spans="1:15" x14ac:dyDescent="0.2">
      <c r="A145" s="80" t="s">
        <v>568</v>
      </c>
      <c r="B145" s="95" t="s">
        <v>240</v>
      </c>
      <c r="C145" s="80" t="s">
        <v>569</v>
      </c>
      <c r="D145" s="80" t="s">
        <v>56</v>
      </c>
      <c r="E145" s="80" t="s">
        <v>28</v>
      </c>
      <c r="F145" s="80" t="s">
        <v>243</v>
      </c>
      <c r="G145" s="82">
        <v>283140</v>
      </c>
      <c r="H145" s="81"/>
      <c r="I145" s="81"/>
      <c r="J145" s="81"/>
      <c r="K145" s="81"/>
      <c r="L145" s="81"/>
      <c r="M145" s="81"/>
      <c r="N145" s="82">
        <v>283140</v>
      </c>
      <c r="O145" s="82">
        <v>283140</v>
      </c>
    </row>
    <row r="146" spans="1:15" x14ac:dyDescent="0.2">
      <c r="A146" s="80" t="s">
        <v>570</v>
      </c>
      <c r="B146" s="95" t="s">
        <v>240</v>
      </c>
      <c r="C146" s="80" t="s">
        <v>571</v>
      </c>
      <c r="D146" s="80" t="s">
        <v>56</v>
      </c>
      <c r="E146" s="80" t="s">
        <v>28</v>
      </c>
      <c r="F146" s="80" t="s">
        <v>243</v>
      </c>
      <c r="G146" s="82">
        <v>1475848</v>
      </c>
      <c r="H146" s="81"/>
      <c r="I146" s="81"/>
      <c r="J146" s="81"/>
      <c r="K146" s="81"/>
      <c r="L146" s="81"/>
      <c r="M146" s="81"/>
      <c r="N146" s="82">
        <v>1475848</v>
      </c>
      <c r="O146" s="82">
        <v>1475848</v>
      </c>
    </row>
    <row r="147" spans="1:15" x14ac:dyDescent="0.2">
      <c r="A147" s="80" t="s">
        <v>572</v>
      </c>
      <c r="B147" s="95" t="s">
        <v>240</v>
      </c>
      <c r="C147" s="80" t="s">
        <v>573</v>
      </c>
      <c r="D147" s="80" t="s">
        <v>56</v>
      </c>
      <c r="E147" s="80" t="s">
        <v>28</v>
      </c>
      <c r="F147" s="80" t="s">
        <v>243</v>
      </c>
      <c r="G147" s="82">
        <v>182248</v>
      </c>
      <c r="H147" s="81"/>
      <c r="I147" s="81"/>
      <c r="J147" s="81"/>
      <c r="K147" s="81"/>
      <c r="L147" s="81"/>
      <c r="M147" s="81"/>
      <c r="N147" s="82">
        <v>182248</v>
      </c>
      <c r="O147" s="82">
        <v>182248</v>
      </c>
    </row>
    <row r="148" spans="1:15" x14ac:dyDescent="0.2">
      <c r="A148" s="80" t="s">
        <v>574</v>
      </c>
      <c r="B148" s="95" t="s">
        <v>292</v>
      </c>
      <c r="C148" s="80" t="s">
        <v>575</v>
      </c>
      <c r="D148" s="80" t="s">
        <v>102</v>
      </c>
      <c r="E148" s="80" t="s">
        <v>28</v>
      </c>
      <c r="F148" s="80" t="s">
        <v>293</v>
      </c>
      <c r="G148" s="82">
        <v>151200</v>
      </c>
      <c r="H148" s="81"/>
      <c r="I148" s="81"/>
      <c r="J148" s="81"/>
      <c r="K148" s="81"/>
      <c r="L148" s="81"/>
      <c r="M148" s="81"/>
      <c r="N148" s="82">
        <v>151200</v>
      </c>
      <c r="O148" s="82">
        <v>151200</v>
      </c>
    </row>
    <row r="149" spans="1:15" x14ac:dyDescent="0.2">
      <c r="A149" s="80" t="s">
        <v>576</v>
      </c>
      <c r="B149" s="95" t="s">
        <v>292</v>
      </c>
      <c r="C149" s="80" t="s">
        <v>577</v>
      </c>
      <c r="D149" s="80" t="s">
        <v>107</v>
      </c>
      <c r="E149" s="80" t="s">
        <v>28</v>
      </c>
      <c r="F149" s="80" t="s">
        <v>293</v>
      </c>
      <c r="G149" s="82">
        <v>248580</v>
      </c>
      <c r="H149" s="81"/>
      <c r="I149" s="81"/>
      <c r="J149" s="81"/>
      <c r="K149" s="81"/>
      <c r="L149" s="81"/>
      <c r="M149" s="81"/>
      <c r="N149" s="82">
        <v>248580</v>
      </c>
      <c r="O149" s="82">
        <v>248580</v>
      </c>
    </row>
    <row r="150" spans="1:15" x14ac:dyDescent="0.2">
      <c r="A150" s="80" t="s">
        <v>578</v>
      </c>
      <c r="B150" s="95" t="s">
        <v>185</v>
      </c>
      <c r="C150" s="80" t="s">
        <v>579</v>
      </c>
      <c r="D150" s="80" t="s">
        <v>102</v>
      </c>
      <c r="E150" s="80" t="s">
        <v>28</v>
      </c>
      <c r="F150" s="80" t="s">
        <v>186</v>
      </c>
      <c r="G150" s="82">
        <v>113760</v>
      </c>
      <c r="H150" s="81"/>
      <c r="I150" s="81"/>
      <c r="J150" s="81"/>
      <c r="K150" s="81"/>
      <c r="L150" s="81"/>
      <c r="M150" s="81"/>
      <c r="N150" s="82">
        <v>113760</v>
      </c>
      <c r="O150" s="82">
        <v>113760</v>
      </c>
    </row>
    <row r="151" spans="1:15" x14ac:dyDescent="0.2">
      <c r="A151" s="80" t="s">
        <v>580</v>
      </c>
      <c r="B151" s="95" t="s">
        <v>185</v>
      </c>
      <c r="C151" s="80" t="s">
        <v>581</v>
      </c>
      <c r="D151" s="80" t="s">
        <v>102</v>
      </c>
      <c r="E151" s="80" t="s">
        <v>28</v>
      </c>
      <c r="F151" s="80" t="s">
        <v>186</v>
      </c>
      <c r="G151" s="82">
        <v>136040</v>
      </c>
      <c r="H151" s="81"/>
      <c r="I151" s="81"/>
      <c r="J151" s="81"/>
      <c r="K151" s="81"/>
      <c r="L151" s="81"/>
      <c r="M151" s="81"/>
      <c r="N151" s="82">
        <v>136040</v>
      </c>
      <c r="O151" s="82">
        <v>136040</v>
      </c>
    </row>
    <row r="152" spans="1:15" x14ac:dyDescent="0.2">
      <c r="A152" s="80" t="s">
        <v>582</v>
      </c>
      <c r="B152" s="95" t="s">
        <v>185</v>
      </c>
      <c r="C152" s="80" t="s">
        <v>583</v>
      </c>
      <c r="D152" s="80" t="s">
        <v>107</v>
      </c>
      <c r="E152" s="80" t="s">
        <v>28</v>
      </c>
      <c r="F152" s="80" t="s">
        <v>186</v>
      </c>
      <c r="G152" s="82">
        <v>82560</v>
      </c>
      <c r="H152" s="81"/>
      <c r="I152" s="81"/>
      <c r="J152" s="81"/>
      <c r="K152" s="81"/>
      <c r="L152" s="81"/>
      <c r="M152" s="81"/>
      <c r="N152" s="82">
        <v>82560</v>
      </c>
      <c r="O152" s="82">
        <v>82560</v>
      </c>
    </row>
    <row r="153" spans="1:15" x14ac:dyDescent="0.2">
      <c r="A153" s="80" t="s">
        <v>584</v>
      </c>
      <c r="B153" s="95" t="s">
        <v>185</v>
      </c>
      <c r="C153" s="80" t="s">
        <v>585</v>
      </c>
      <c r="D153" s="80" t="s">
        <v>107</v>
      </c>
      <c r="E153" s="80" t="s">
        <v>28</v>
      </c>
      <c r="F153" s="80" t="s">
        <v>186</v>
      </c>
      <c r="G153" s="82">
        <v>219440</v>
      </c>
      <c r="H153" s="81"/>
      <c r="I153" s="81"/>
      <c r="J153" s="81"/>
      <c r="K153" s="81"/>
      <c r="L153" s="81"/>
      <c r="M153" s="81"/>
      <c r="N153" s="82">
        <v>219440</v>
      </c>
      <c r="O153" s="82">
        <v>219440</v>
      </c>
    </row>
    <row r="154" spans="1:15" x14ac:dyDescent="0.2">
      <c r="A154" s="80" t="s">
        <v>586</v>
      </c>
      <c r="B154" s="95" t="s">
        <v>69</v>
      </c>
      <c r="C154" s="80" t="s">
        <v>587</v>
      </c>
      <c r="D154" s="80" t="s">
        <v>20</v>
      </c>
      <c r="E154" s="80" t="s">
        <v>28</v>
      </c>
      <c r="F154" s="80" t="s">
        <v>74</v>
      </c>
      <c r="G154" s="82">
        <v>5564195</v>
      </c>
      <c r="H154" s="81"/>
      <c r="I154" s="81"/>
      <c r="J154" s="81"/>
      <c r="K154" s="81"/>
      <c r="L154" s="81"/>
      <c r="M154" s="81"/>
      <c r="N154" s="82">
        <v>5564195</v>
      </c>
      <c r="O154" s="82">
        <v>5564195</v>
      </c>
    </row>
    <row r="155" spans="1:15" x14ac:dyDescent="0.2">
      <c r="A155" s="80" t="s">
        <v>588</v>
      </c>
      <c r="B155" s="95" t="s">
        <v>240</v>
      </c>
      <c r="C155" s="80" t="s">
        <v>589</v>
      </c>
      <c r="D155" s="80" t="s">
        <v>102</v>
      </c>
      <c r="E155" s="80" t="s">
        <v>28</v>
      </c>
      <c r="F155" s="80" t="s">
        <v>243</v>
      </c>
      <c r="G155" s="82">
        <v>1527930</v>
      </c>
      <c r="H155" s="81"/>
      <c r="I155" s="81"/>
      <c r="J155" s="81"/>
      <c r="K155" s="81"/>
      <c r="L155" s="81"/>
      <c r="M155" s="81"/>
      <c r="N155" s="82">
        <v>1527930</v>
      </c>
      <c r="O155" s="82">
        <v>1527930</v>
      </c>
    </row>
    <row r="156" spans="1:15" x14ac:dyDescent="0.2">
      <c r="A156" s="80" t="s">
        <v>748</v>
      </c>
      <c r="B156" s="95" t="s">
        <v>280</v>
      </c>
      <c r="C156" s="80" t="s">
        <v>749</v>
      </c>
      <c r="D156" s="80" t="s">
        <v>20</v>
      </c>
      <c r="E156" s="80" t="s">
        <v>28</v>
      </c>
      <c r="F156" s="80" t="s">
        <v>284</v>
      </c>
      <c r="G156" s="82">
        <v>10565100</v>
      </c>
      <c r="H156" s="81"/>
      <c r="I156" s="81"/>
      <c r="J156" s="81"/>
      <c r="K156" s="81"/>
      <c r="L156" s="81"/>
      <c r="M156" s="81"/>
      <c r="N156" s="82">
        <v>10565100</v>
      </c>
      <c r="O156" s="82">
        <v>10565100</v>
      </c>
    </row>
    <row r="157" spans="1:15" x14ac:dyDescent="0.2">
      <c r="A157" s="80" t="s">
        <v>750</v>
      </c>
      <c r="B157" s="95" t="s">
        <v>280</v>
      </c>
      <c r="C157" s="80" t="s">
        <v>751</v>
      </c>
      <c r="D157" s="80" t="s">
        <v>20</v>
      </c>
      <c r="E157" s="80" t="s">
        <v>28</v>
      </c>
      <c r="F157" s="80" t="s">
        <v>284</v>
      </c>
      <c r="G157" s="82">
        <v>347802</v>
      </c>
      <c r="H157" s="81"/>
      <c r="I157" s="81"/>
      <c r="J157" s="81"/>
      <c r="K157" s="81"/>
      <c r="L157" s="81"/>
      <c r="M157" s="81"/>
      <c r="N157" s="82">
        <v>347802</v>
      </c>
      <c r="O157" s="82">
        <v>347802</v>
      </c>
    </row>
    <row r="158" spans="1:15" x14ac:dyDescent="0.2">
      <c r="A158" s="80" t="s">
        <v>752</v>
      </c>
      <c r="B158" s="95" t="s">
        <v>280</v>
      </c>
      <c r="C158" s="80" t="s">
        <v>753</v>
      </c>
      <c r="D158" s="80" t="s">
        <v>20</v>
      </c>
      <c r="E158" s="80" t="s">
        <v>28</v>
      </c>
      <c r="F158" s="80" t="s">
        <v>284</v>
      </c>
      <c r="G158" s="82">
        <v>9683388</v>
      </c>
      <c r="H158" s="81"/>
      <c r="I158" s="81"/>
      <c r="J158" s="81"/>
      <c r="K158" s="81"/>
      <c r="L158" s="81"/>
      <c r="M158" s="81"/>
      <c r="N158" s="82">
        <v>9683388</v>
      </c>
      <c r="O158" s="82">
        <v>9683388</v>
      </c>
    </row>
    <row r="159" spans="1:15" x14ac:dyDescent="0.2">
      <c r="A159" s="80" t="s">
        <v>754</v>
      </c>
      <c r="B159" s="95" t="s">
        <v>280</v>
      </c>
      <c r="C159" s="80" t="s">
        <v>755</v>
      </c>
      <c r="D159" s="80" t="s">
        <v>20</v>
      </c>
      <c r="E159" s="80" t="s">
        <v>28</v>
      </c>
      <c r="F159" s="80" t="s">
        <v>284</v>
      </c>
      <c r="G159" s="82">
        <v>1892904</v>
      </c>
      <c r="H159" s="81"/>
      <c r="I159" s="81"/>
      <c r="J159" s="81"/>
      <c r="K159" s="81"/>
      <c r="L159" s="81"/>
      <c r="M159" s="81"/>
      <c r="N159" s="82">
        <v>1892904</v>
      </c>
      <c r="O159" s="82">
        <v>1892904</v>
      </c>
    </row>
    <row r="160" spans="1:15" x14ac:dyDescent="0.2">
      <c r="A160" s="80" t="s">
        <v>590</v>
      </c>
      <c r="B160" s="95" t="s">
        <v>134</v>
      </c>
      <c r="C160" s="80" t="s">
        <v>591</v>
      </c>
      <c r="D160" s="80" t="s">
        <v>52</v>
      </c>
      <c r="E160" s="80" t="s">
        <v>28</v>
      </c>
      <c r="F160" s="80" t="s">
        <v>592</v>
      </c>
      <c r="G160" s="82">
        <v>5109.5</v>
      </c>
      <c r="H160" s="81"/>
      <c r="I160" s="81"/>
      <c r="J160" s="81"/>
      <c r="K160" s="81"/>
      <c r="L160" s="81"/>
      <c r="M160" s="81"/>
      <c r="N160" s="82">
        <v>5109.5</v>
      </c>
      <c r="O160" s="82">
        <v>5109.5</v>
      </c>
    </row>
    <row r="161" spans="1:15" x14ac:dyDescent="0.2">
      <c r="A161" s="80" t="s">
        <v>593</v>
      </c>
      <c r="B161" s="95" t="s">
        <v>134</v>
      </c>
      <c r="C161" s="80" t="s">
        <v>594</v>
      </c>
      <c r="D161" s="80" t="s">
        <v>107</v>
      </c>
      <c r="E161" s="80" t="s">
        <v>28</v>
      </c>
      <c r="F161" s="80" t="s">
        <v>592</v>
      </c>
      <c r="G161" s="82">
        <v>17490</v>
      </c>
      <c r="H161" s="81"/>
      <c r="I161" s="81"/>
      <c r="J161" s="81"/>
      <c r="K161" s="81"/>
      <c r="L161" s="81"/>
      <c r="M161" s="81"/>
      <c r="N161" s="82">
        <v>17490</v>
      </c>
      <c r="O161" s="82">
        <v>17490</v>
      </c>
    </row>
    <row r="162" spans="1:15" x14ac:dyDescent="0.2">
      <c r="A162" s="80" t="s">
        <v>756</v>
      </c>
      <c r="B162" s="95" t="s">
        <v>292</v>
      </c>
      <c r="C162" s="80" t="s">
        <v>757</v>
      </c>
      <c r="D162" s="80" t="s">
        <v>20</v>
      </c>
      <c r="E162" s="80" t="s">
        <v>28</v>
      </c>
      <c r="F162" s="80" t="s">
        <v>293</v>
      </c>
      <c r="G162" s="82">
        <v>150607.01999999999</v>
      </c>
      <c r="H162" s="81"/>
      <c r="I162" s="81"/>
      <c r="J162" s="81"/>
      <c r="K162" s="81"/>
      <c r="L162" s="81"/>
      <c r="M162" s="81"/>
      <c r="N162" s="82">
        <v>150607.01999999999</v>
      </c>
      <c r="O162" s="82">
        <v>150607.01999999999</v>
      </c>
    </row>
    <row r="163" spans="1:15" x14ac:dyDescent="0.2">
      <c r="A163" s="80" t="s">
        <v>595</v>
      </c>
      <c r="B163" s="95" t="s">
        <v>69</v>
      </c>
      <c r="C163" s="80" t="s">
        <v>596</v>
      </c>
      <c r="D163" s="80" t="s">
        <v>20</v>
      </c>
      <c r="E163" s="80" t="s">
        <v>28</v>
      </c>
      <c r="F163" s="80" t="s">
        <v>74</v>
      </c>
      <c r="G163" s="82">
        <v>408948.9</v>
      </c>
      <c r="H163" s="81"/>
      <c r="I163" s="81"/>
      <c r="J163" s="81"/>
      <c r="K163" s="81"/>
      <c r="L163" s="81"/>
      <c r="M163" s="81"/>
      <c r="N163" s="82">
        <v>408948.9</v>
      </c>
      <c r="O163" s="82">
        <v>408948.9</v>
      </c>
    </row>
    <row r="164" spans="1:15" x14ac:dyDescent="0.2">
      <c r="A164" s="80" t="s">
        <v>597</v>
      </c>
      <c r="B164" s="95" t="s">
        <v>324</v>
      </c>
      <c r="C164" s="80" t="s">
        <v>598</v>
      </c>
      <c r="D164" s="80" t="s">
        <v>20</v>
      </c>
      <c r="E164" s="80" t="s">
        <v>28</v>
      </c>
      <c r="F164" s="80" t="s">
        <v>492</v>
      </c>
      <c r="G164" s="82">
        <v>182329</v>
      </c>
      <c r="H164" s="81"/>
      <c r="I164" s="81"/>
      <c r="J164" s="81"/>
      <c r="K164" s="81"/>
      <c r="L164" s="81"/>
      <c r="M164" s="81"/>
      <c r="N164" s="82">
        <v>182329</v>
      </c>
      <c r="O164" s="82">
        <v>182329</v>
      </c>
    </row>
    <row r="165" spans="1:15" x14ac:dyDescent="0.2">
      <c r="A165" s="80" t="s">
        <v>599</v>
      </c>
      <c r="B165" s="95" t="s">
        <v>240</v>
      </c>
      <c r="C165" s="80" t="s">
        <v>600</v>
      </c>
      <c r="D165" s="80" t="s">
        <v>35</v>
      </c>
      <c r="E165" s="80" t="s">
        <v>28</v>
      </c>
      <c r="F165" s="80" t="s">
        <v>243</v>
      </c>
      <c r="G165" s="82">
        <v>2376396</v>
      </c>
      <c r="H165" s="81"/>
      <c r="I165" s="81"/>
      <c r="J165" s="81"/>
      <c r="K165" s="81"/>
      <c r="L165" s="81"/>
      <c r="M165" s="81"/>
      <c r="N165" s="82">
        <v>2376396</v>
      </c>
      <c r="O165" s="82">
        <v>2376396</v>
      </c>
    </row>
    <row r="166" spans="1:15" x14ac:dyDescent="0.2">
      <c r="A166" s="80" t="s">
        <v>601</v>
      </c>
      <c r="B166" s="95" t="s">
        <v>240</v>
      </c>
      <c r="C166" s="80" t="s">
        <v>602</v>
      </c>
      <c r="D166" s="80" t="s">
        <v>56</v>
      </c>
      <c r="E166" s="80" t="s">
        <v>28</v>
      </c>
      <c r="F166" s="80" t="s">
        <v>243</v>
      </c>
      <c r="G166" s="82">
        <v>2021228</v>
      </c>
      <c r="H166" s="81"/>
      <c r="I166" s="81"/>
      <c r="J166" s="81"/>
      <c r="K166" s="81"/>
      <c r="L166" s="81"/>
      <c r="M166" s="81"/>
      <c r="N166" s="82">
        <v>2021228</v>
      </c>
      <c r="O166" s="82">
        <v>2021228</v>
      </c>
    </row>
    <row r="167" spans="1:15" x14ac:dyDescent="0.2">
      <c r="A167" s="80" t="s">
        <v>603</v>
      </c>
      <c r="B167" s="95" t="s">
        <v>69</v>
      </c>
      <c r="C167" s="80" t="s">
        <v>604</v>
      </c>
      <c r="D167" s="80" t="s">
        <v>20</v>
      </c>
      <c r="E167" s="80" t="s">
        <v>28</v>
      </c>
      <c r="F167" s="80" t="s">
        <v>74</v>
      </c>
      <c r="G167" s="82">
        <v>685314</v>
      </c>
      <c r="H167" s="81"/>
      <c r="I167" s="81"/>
      <c r="J167" s="81"/>
      <c r="K167" s="81"/>
      <c r="L167" s="81"/>
      <c r="M167" s="81"/>
      <c r="N167" s="82">
        <v>685314</v>
      </c>
      <c r="O167" s="82">
        <v>685314</v>
      </c>
    </row>
    <row r="168" spans="1:15" x14ac:dyDescent="0.2">
      <c r="A168" s="80" t="s">
        <v>605</v>
      </c>
      <c r="B168" s="95" t="s">
        <v>148</v>
      </c>
      <c r="C168" s="80" t="s">
        <v>606</v>
      </c>
      <c r="D168" s="80" t="s">
        <v>52</v>
      </c>
      <c r="E168" s="80" t="s">
        <v>28</v>
      </c>
      <c r="F168" s="80" t="s">
        <v>17</v>
      </c>
      <c r="G168" s="82">
        <v>463500</v>
      </c>
      <c r="H168" s="81"/>
      <c r="I168" s="81"/>
      <c r="J168" s="81"/>
      <c r="K168" s="81"/>
      <c r="L168" s="81"/>
      <c r="M168" s="81"/>
      <c r="N168" s="82">
        <v>463500</v>
      </c>
      <c r="O168" s="82">
        <v>463500</v>
      </c>
    </row>
    <row r="169" spans="1:15" x14ac:dyDescent="0.2">
      <c r="A169" s="80" t="s">
        <v>607</v>
      </c>
      <c r="B169" s="95" t="s">
        <v>148</v>
      </c>
      <c r="C169" s="80" t="s">
        <v>608</v>
      </c>
      <c r="D169" s="80" t="s">
        <v>20</v>
      </c>
      <c r="E169" s="80" t="s">
        <v>28</v>
      </c>
      <c r="F169" s="80" t="s">
        <v>17</v>
      </c>
      <c r="G169" s="82">
        <v>322400</v>
      </c>
      <c r="H169" s="81"/>
      <c r="I169" s="81"/>
      <c r="J169" s="81"/>
      <c r="K169" s="81"/>
      <c r="L169" s="81"/>
      <c r="M169" s="81"/>
      <c r="N169" s="82">
        <v>322400</v>
      </c>
      <c r="O169" s="82">
        <v>322400</v>
      </c>
    </row>
    <row r="170" spans="1:15" x14ac:dyDescent="0.2">
      <c r="A170" s="80" t="s">
        <v>609</v>
      </c>
      <c r="B170" s="95" t="s">
        <v>148</v>
      </c>
      <c r="C170" s="80" t="s">
        <v>610</v>
      </c>
      <c r="D170" s="80" t="s">
        <v>20</v>
      </c>
      <c r="E170" s="80" t="s">
        <v>28</v>
      </c>
      <c r="F170" s="80" t="s">
        <v>17</v>
      </c>
      <c r="G170" s="82">
        <v>281600</v>
      </c>
      <c r="H170" s="81"/>
      <c r="I170" s="81"/>
      <c r="J170" s="81"/>
      <c r="K170" s="81"/>
      <c r="L170" s="81"/>
      <c r="M170" s="81"/>
      <c r="N170" s="82">
        <v>281600</v>
      </c>
      <c r="O170" s="82">
        <v>281600</v>
      </c>
    </row>
    <row r="171" spans="1:15" x14ac:dyDescent="0.2">
      <c r="A171" s="80" t="s">
        <v>611</v>
      </c>
      <c r="B171" s="95" t="s">
        <v>148</v>
      </c>
      <c r="C171" s="80" t="s">
        <v>612</v>
      </c>
      <c r="D171" s="80" t="s">
        <v>20</v>
      </c>
      <c r="E171" s="80" t="s">
        <v>28</v>
      </c>
      <c r="F171" s="80" t="s">
        <v>17</v>
      </c>
      <c r="G171" s="82">
        <v>66000</v>
      </c>
      <c r="H171" s="81"/>
      <c r="I171" s="81"/>
      <c r="J171" s="81"/>
      <c r="K171" s="81"/>
      <c r="L171" s="81"/>
      <c r="M171" s="81"/>
      <c r="N171" s="82">
        <v>66000</v>
      </c>
      <c r="O171" s="82">
        <v>66000</v>
      </c>
    </row>
    <row r="172" spans="1:15" x14ac:dyDescent="0.2">
      <c r="A172" s="80" t="s">
        <v>613</v>
      </c>
      <c r="B172" s="95" t="s">
        <v>285</v>
      </c>
      <c r="C172" s="80" t="s">
        <v>614</v>
      </c>
      <c r="D172" s="80" t="s">
        <v>102</v>
      </c>
      <c r="E172" s="80" t="s">
        <v>28</v>
      </c>
      <c r="F172" s="80" t="s">
        <v>288</v>
      </c>
      <c r="G172" s="82">
        <v>790560</v>
      </c>
      <c r="H172" s="81"/>
      <c r="I172" s="81"/>
      <c r="J172" s="81"/>
      <c r="K172" s="81"/>
      <c r="L172" s="81"/>
      <c r="M172" s="81"/>
      <c r="N172" s="82">
        <v>790560</v>
      </c>
      <c r="O172" s="82">
        <v>790560</v>
      </c>
    </row>
    <row r="173" spans="1:15" x14ac:dyDescent="0.2">
      <c r="A173" s="80" t="s">
        <v>758</v>
      </c>
      <c r="B173" s="95" t="s">
        <v>280</v>
      </c>
      <c r="C173" s="80" t="s">
        <v>759</v>
      </c>
      <c r="D173" s="80" t="s">
        <v>56</v>
      </c>
      <c r="E173" s="80" t="s">
        <v>28</v>
      </c>
      <c r="F173" s="80" t="s">
        <v>284</v>
      </c>
      <c r="G173" s="82">
        <v>9355795</v>
      </c>
      <c r="H173" s="81"/>
      <c r="I173" s="81"/>
      <c r="J173" s="81"/>
      <c r="K173" s="81"/>
      <c r="L173" s="81"/>
      <c r="M173" s="81"/>
      <c r="N173" s="82">
        <v>9355795</v>
      </c>
      <c r="O173" s="82">
        <v>9355795</v>
      </c>
    </row>
    <row r="174" spans="1:15" x14ac:dyDescent="0.2">
      <c r="A174" s="80" t="s">
        <v>760</v>
      </c>
      <c r="B174" s="95" t="s">
        <v>280</v>
      </c>
      <c r="C174" s="80" t="s">
        <v>761</v>
      </c>
      <c r="D174" s="80" t="s">
        <v>102</v>
      </c>
      <c r="E174" s="80" t="s">
        <v>28</v>
      </c>
      <c r="F174" s="80" t="s">
        <v>284</v>
      </c>
      <c r="G174" s="82">
        <v>2315040</v>
      </c>
      <c r="H174" s="81"/>
      <c r="I174" s="81"/>
      <c r="J174" s="81"/>
      <c r="K174" s="81"/>
      <c r="L174" s="81"/>
      <c r="M174" s="81"/>
      <c r="N174" s="82">
        <v>2315040</v>
      </c>
      <c r="O174" s="82">
        <v>2315040</v>
      </c>
    </row>
    <row r="175" spans="1:15" x14ac:dyDescent="0.2">
      <c r="A175" s="80" t="s">
        <v>762</v>
      </c>
      <c r="B175" s="95" t="s">
        <v>280</v>
      </c>
      <c r="C175" s="80" t="s">
        <v>763</v>
      </c>
      <c r="D175" s="80" t="s">
        <v>102</v>
      </c>
      <c r="E175" s="80" t="s">
        <v>28</v>
      </c>
      <c r="F175" s="80" t="s">
        <v>284</v>
      </c>
      <c r="G175" s="82">
        <v>1397214</v>
      </c>
      <c r="H175" s="81"/>
      <c r="I175" s="81"/>
      <c r="J175" s="81"/>
      <c r="K175" s="81"/>
      <c r="L175" s="81"/>
      <c r="M175" s="81"/>
      <c r="N175" s="82">
        <v>1397214</v>
      </c>
      <c r="O175" s="82">
        <v>1397214</v>
      </c>
    </row>
    <row r="176" spans="1:15" x14ac:dyDescent="0.2">
      <c r="A176" s="80" t="s">
        <v>615</v>
      </c>
      <c r="B176" s="95" t="s">
        <v>143</v>
      </c>
      <c r="C176" s="80" t="s">
        <v>616</v>
      </c>
      <c r="D176" s="80" t="s">
        <v>107</v>
      </c>
      <c r="E176" s="80" t="s">
        <v>36</v>
      </c>
      <c r="F176" s="80" t="s">
        <v>144</v>
      </c>
      <c r="G176" s="81"/>
      <c r="H176" s="81"/>
      <c r="I176" s="81"/>
      <c r="J176" s="81"/>
      <c r="K176" s="81"/>
      <c r="L176" s="82">
        <v>-8839.48</v>
      </c>
      <c r="M176" s="81"/>
      <c r="N176" s="82">
        <v>-8839.48</v>
      </c>
      <c r="O176" s="82">
        <v>-8839.48</v>
      </c>
    </row>
    <row r="177" spans="1:15" x14ac:dyDescent="0.2">
      <c r="A177" s="80" t="s">
        <v>617</v>
      </c>
      <c r="B177" s="95" t="s">
        <v>292</v>
      </c>
      <c r="C177" s="80" t="s">
        <v>618</v>
      </c>
      <c r="D177" s="80" t="s">
        <v>107</v>
      </c>
      <c r="E177" s="80" t="s">
        <v>28</v>
      </c>
      <c r="F177" s="80" t="s">
        <v>293</v>
      </c>
      <c r="G177" s="82">
        <v>174464.55</v>
      </c>
      <c r="H177" s="81"/>
      <c r="I177" s="81"/>
      <c r="J177" s="81"/>
      <c r="K177" s="81"/>
      <c r="L177" s="81"/>
      <c r="M177" s="81"/>
      <c r="N177" s="82">
        <v>174464.55</v>
      </c>
      <c r="O177" s="82">
        <v>174464.55</v>
      </c>
    </row>
    <row r="178" spans="1:15" x14ac:dyDescent="0.2">
      <c r="A178" s="80" t="s">
        <v>619</v>
      </c>
      <c r="B178" s="95" t="s">
        <v>292</v>
      </c>
      <c r="C178" s="80" t="s">
        <v>620</v>
      </c>
      <c r="D178" s="80" t="s">
        <v>102</v>
      </c>
      <c r="E178" s="80" t="s">
        <v>28</v>
      </c>
      <c r="F178" s="80" t="s">
        <v>293</v>
      </c>
      <c r="G178" s="82">
        <v>820890</v>
      </c>
      <c r="H178" s="81"/>
      <c r="I178" s="81"/>
      <c r="J178" s="81"/>
      <c r="K178" s="81"/>
      <c r="L178" s="81"/>
      <c r="M178" s="81"/>
      <c r="N178" s="82">
        <v>820890</v>
      </c>
      <c r="O178" s="82">
        <v>820890</v>
      </c>
    </row>
    <row r="179" spans="1:15" x14ac:dyDescent="0.2">
      <c r="A179" s="80" t="s">
        <v>621</v>
      </c>
      <c r="B179" s="95" t="s">
        <v>48</v>
      </c>
      <c r="C179" s="80" t="s">
        <v>622</v>
      </c>
      <c r="D179" s="80" t="s">
        <v>107</v>
      </c>
      <c r="E179" s="80" t="s">
        <v>28</v>
      </c>
      <c r="F179" s="80" t="s">
        <v>49</v>
      </c>
      <c r="G179" s="82">
        <v>242250</v>
      </c>
      <c r="H179" s="81"/>
      <c r="I179" s="81"/>
      <c r="J179" s="81"/>
      <c r="K179" s="81"/>
      <c r="L179" s="81"/>
      <c r="M179" s="81"/>
      <c r="N179" s="82">
        <v>242250</v>
      </c>
      <c r="O179" s="82">
        <v>242250</v>
      </c>
    </row>
    <row r="180" spans="1:15" x14ac:dyDescent="0.2">
      <c r="A180" s="80" t="s">
        <v>623</v>
      </c>
      <c r="B180" s="95" t="s">
        <v>285</v>
      </c>
      <c r="C180" s="80" t="s">
        <v>624</v>
      </c>
      <c r="D180" s="80" t="s">
        <v>20</v>
      </c>
      <c r="E180" s="80" t="s">
        <v>28</v>
      </c>
      <c r="F180" s="80" t="s">
        <v>288</v>
      </c>
      <c r="G180" s="82">
        <v>690030</v>
      </c>
      <c r="H180" s="81"/>
      <c r="I180" s="81"/>
      <c r="J180" s="81"/>
      <c r="K180" s="81"/>
      <c r="L180" s="81"/>
      <c r="M180" s="81"/>
      <c r="N180" s="82">
        <v>690030</v>
      </c>
      <c r="O180" s="82">
        <v>690030</v>
      </c>
    </row>
    <row r="181" spans="1:15" x14ac:dyDescent="0.2">
      <c r="A181" s="80" t="s">
        <v>625</v>
      </c>
      <c r="B181" s="95" t="s">
        <v>48</v>
      </c>
      <c r="C181" s="80" t="s">
        <v>626</v>
      </c>
      <c r="D181" s="80" t="s">
        <v>20</v>
      </c>
      <c r="E181" s="80" t="s">
        <v>28</v>
      </c>
      <c r="F181" s="80" t="s">
        <v>49</v>
      </c>
      <c r="G181" s="82">
        <v>428150</v>
      </c>
      <c r="H181" s="81"/>
      <c r="I181" s="81"/>
      <c r="J181" s="81"/>
      <c r="K181" s="81"/>
      <c r="L181" s="81"/>
      <c r="M181" s="81"/>
      <c r="N181" s="82">
        <v>428150</v>
      </c>
      <c r="O181" s="82">
        <v>428150</v>
      </c>
    </row>
    <row r="182" spans="1:15" x14ac:dyDescent="0.2">
      <c r="A182" s="80" t="s">
        <v>627</v>
      </c>
      <c r="B182" s="95" t="s">
        <v>285</v>
      </c>
      <c r="C182" s="80" t="s">
        <v>628</v>
      </c>
      <c r="D182" s="80" t="s">
        <v>20</v>
      </c>
      <c r="E182" s="80" t="s">
        <v>28</v>
      </c>
      <c r="F182" s="80" t="s">
        <v>288</v>
      </c>
      <c r="G182" s="82">
        <v>957060</v>
      </c>
      <c r="H182" s="81"/>
      <c r="I182" s="81"/>
      <c r="J182" s="81"/>
      <c r="K182" s="81"/>
      <c r="L182" s="81"/>
      <c r="M182" s="81"/>
      <c r="N182" s="82">
        <v>957060</v>
      </c>
      <c r="O182" s="82">
        <v>957060</v>
      </c>
    </row>
    <row r="183" spans="1:15" x14ac:dyDescent="0.2">
      <c r="A183" s="80" t="s">
        <v>629</v>
      </c>
      <c r="B183" s="95" t="s">
        <v>145</v>
      </c>
      <c r="C183" s="80" t="s">
        <v>630</v>
      </c>
      <c r="D183" s="80" t="s">
        <v>88</v>
      </c>
      <c r="E183" s="80" t="s">
        <v>36</v>
      </c>
      <c r="F183" s="80" t="s">
        <v>147</v>
      </c>
      <c r="G183" s="81"/>
      <c r="H183" s="81"/>
      <c r="I183" s="81"/>
      <c r="J183" s="81"/>
      <c r="K183" s="81"/>
      <c r="L183" s="82">
        <v>-5916.3</v>
      </c>
      <c r="M183" s="81"/>
      <c r="N183" s="82">
        <v>-5916.3</v>
      </c>
      <c r="O183" s="82">
        <v>-5916.3</v>
      </c>
    </row>
    <row r="184" spans="1:15" x14ac:dyDescent="0.2">
      <c r="A184" s="80" t="s">
        <v>631</v>
      </c>
      <c r="B184" s="95" t="s">
        <v>116</v>
      </c>
      <c r="C184" s="80" t="s">
        <v>630</v>
      </c>
      <c r="D184" s="80" t="s">
        <v>20</v>
      </c>
      <c r="E184" s="80" t="s">
        <v>36</v>
      </c>
      <c r="F184" s="80" t="s">
        <v>632</v>
      </c>
      <c r="G184" s="81"/>
      <c r="H184" s="81"/>
      <c r="I184" s="81"/>
      <c r="J184" s="81"/>
      <c r="K184" s="81"/>
      <c r="L184" s="82">
        <v>-10200</v>
      </c>
      <c r="M184" s="81"/>
      <c r="N184" s="82">
        <v>-10200</v>
      </c>
      <c r="O184" s="82">
        <v>-10200</v>
      </c>
    </row>
    <row r="185" spans="1:15" x14ac:dyDescent="0.2">
      <c r="A185" s="80" t="s">
        <v>633</v>
      </c>
      <c r="B185" s="95" t="s">
        <v>99</v>
      </c>
      <c r="C185" s="80" t="s">
        <v>634</v>
      </c>
      <c r="D185" s="80" t="s">
        <v>20</v>
      </c>
      <c r="E185" s="80" t="s">
        <v>28</v>
      </c>
      <c r="F185" s="80" t="s">
        <v>101</v>
      </c>
      <c r="G185" s="82">
        <v>1863322</v>
      </c>
      <c r="H185" s="81"/>
      <c r="I185" s="81"/>
      <c r="J185" s="81"/>
      <c r="K185" s="81"/>
      <c r="L185" s="81"/>
      <c r="M185" s="81"/>
      <c r="N185" s="82">
        <v>1863322</v>
      </c>
      <c r="O185" s="82">
        <v>1863322</v>
      </c>
    </row>
    <row r="186" spans="1:15" x14ac:dyDescent="0.2">
      <c r="A186" s="80" t="s">
        <v>635</v>
      </c>
      <c r="B186" s="95" t="s">
        <v>185</v>
      </c>
      <c r="C186" s="80" t="s">
        <v>636</v>
      </c>
      <c r="D186" s="80" t="s">
        <v>107</v>
      </c>
      <c r="E186" s="80" t="s">
        <v>28</v>
      </c>
      <c r="F186" s="80" t="s">
        <v>186</v>
      </c>
      <c r="G186" s="82">
        <v>180200</v>
      </c>
      <c r="H186" s="81"/>
      <c r="I186" s="81"/>
      <c r="J186" s="81"/>
      <c r="K186" s="81"/>
      <c r="L186" s="81"/>
      <c r="M186" s="81"/>
      <c r="N186" s="82">
        <v>180200</v>
      </c>
      <c r="O186" s="82">
        <v>180200</v>
      </c>
    </row>
    <row r="187" spans="1:15" x14ac:dyDescent="0.2">
      <c r="A187" s="80" t="s">
        <v>637</v>
      </c>
      <c r="B187" s="95" t="s">
        <v>185</v>
      </c>
      <c r="C187" s="80" t="s">
        <v>638</v>
      </c>
      <c r="D187" s="80" t="s">
        <v>107</v>
      </c>
      <c r="E187" s="80" t="s">
        <v>28</v>
      </c>
      <c r="F187" s="80" t="s">
        <v>186</v>
      </c>
      <c r="G187" s="82">
        <v>167040</v>
      </c>
      <c r="H187" s="81"/>
      <c r="I187" s="81"/>
      <c r="J187" s="81"/>
      <c r="K187" s="81"/>
      <c r="L187" s="81"/>
      <c r="M187" s="81"/>
      <c r="N187" s="82">
        <v>167040</v>
      </c>
      <c r="O187" s="82">
        <v>167040</v>
      </c>
    </row>
    <row r="188" spans="1:15" x14ac:dyDescent="0.2">
      <c r="A188" s="80" t="s">
        <v>639</v>
      </c>
      <c r="B188" s="95" t="s">
        <v>185</v>
      </c>
      <c r="C188" s="80" t="s">
        <v>640</v>
      </c>
      <c r="D188" s="80" t="s">
        <v>88</v>
      </c>
      <c r="E188" s="80" t="s">
        <v>28</v>
      </c>
      <c r="F188" s="80" t="s">
        <v>186</v>
      </c>
      <c r="G188" s="82">
        <v>40750</v>
      </c>
      <c r="H188" s="81"/>
      <c r="I188" s="81"/>
      <c r="J188" s="81"/>
      <c r="K188" s="81"/>
      <c r="L188" s="81"/>
      <c r="M188" s="81"/>
      <c r="N188" s="82">
        <v>40750</v>
      </c>
      <c r="O188" s="82">
        <v>40750</v>
      </c>
    </row>
    <row r="189" spans="1:15" x14ac:dyDescent="0.2">
      <c r="A189" s="80" t="s">
        <v>641</v>
      </c>
      <c r="B189" s="95" t="s">
        <v>185</v>
      </c>
      <c r="C189" s="80" t="s">
        <v>642</v>
      </c>
      <c r="D189" s="80" t="s">
        <v>88</v>
      </c>
      <c r="E189" s="80" t="s">
        <v>28</v>
      </c>
      <c r="F189" s="80" t="s">
        <v>186</v>
      </c>
      <c r="G189" s="82">
        <v>262429.5</v>
      </c>
      <c r="H189" s="81"/>
      <c r="I189" s="81"/>
      <c r="J189" s="81"/>
      <c r="K189" s="81"/>
      <c r="L189" s="81"/>
      <c r="M189" s="81"/>
      <c r="N189" s="82">
        <v>262429.5</v>
      </c>
      <c r="O189" s="82">
        <v>262429.5</v>
      </c>
    </row>
    <row r="190" spans="1:15" x14ac:dyDescent="0.2">
      <c r="A190" s="80" t="s">
        <v>643</v>
      </c>
      <c r="B190" s="95" t="s">
        <v>271</v>
      </c>
      <c r="C190" s="80" t="s">
        <v>644</v>
      </c>
      <c r="D190" s="80" t="s">
        <v>85</v>
      </c>
      <c r="E190" s="80" t="s">
        <v>28</v>
      </c>
      <c r="F190" s="80" t="s">
        <v>429</v>
      </c>
      <c r="G190" s="82">
        <v>501550</v>
      </c>
      <c r="H190" s="81"/>
      <c r="I190" s="81"/>
      <c r="J190" s="81"/>
      <c r="K190" s="81"/>
      <c r="L190" s="81"/>
      <c r="M190" s="81"/>
      <c r="N190" s="82">
        <v>501550</v>
      </c>
      <c r="O190" s="82">
        <v>501550</v>
      </c>
    </row>
    <row r="191" spans="1:15" x14ac:dyDescent="0.2">
      <c r="A191" s="80" t="s">
        <v>645</v>
      </c>
      <c r="B191" s="95" t="s">
        <v>99</v>
      </c>
      <c r="C191" s="80" t="s">
        <v>646</v>
      </c>
      <c r="D191" s="80" t="s">
        <v>102</v>
      </c>
      <c r="E191" s="80" t="s">
        <v>28</v>
      </c>
      <c r="F191" s="80" t="s">
        <v>101</v>
      </c>
      <c r="G191" s="82">
        <v>1472600</v>
      </c>
      <c r="H191" s="81"/>
      <c r="I191" s="81"/>
      <c r="J191" s="81"/>
      <c r="K191" s="81"/>
      <c r="L191" s="81"/>
      <c r="M191" s="81"/>
      <c r="N191" s="82">
        <v>1472600</v>
      </c>
      <c r="O191" s="82">
        <v>1472600</v>
      </c>
    </row>
    <row r="192" spans="1:15" x14ac:dyDescent="0.2">
      <c r="A192" s="80" t="s">
        <v>647</v>
      </c>
      <c r="B192" s="95" t="s">
        <v>99</v>
      </c>
      <c r="C192" s="80" t="s">
        <v>648</v>
      </c>
      <c r="D192" s="80" t="s">
        <v>20</v>
      </c>
      <c r="E192" s="80" t="s">
        <v>28</v>
      </c>
      <c r="F192" s="80" t="s">
        <v>101</v>
      </c>
      <c r="G192" s="82">
        <v>245548</v>
      </c>
      <c r="H192" s="81"/>
      <c r="I192" s="81"/>
      <c r="J192" s="81"/>
      <c r="K192" s="81"/>
      <c r="L192" s="81"/>
      <c r="M192" s="81"/>
      <c r="N192" s="82">
        <v>245548</v>
      </c>
      <c r="O192" s="82">
        <v>245548</v>
      </c>
    </row>
    <row r="193" spans="1:15" x14ac:dyDescent="0.2">
      <c r="A193" s="80" t="s">
        <v>649</v>
      </c>
      <c r="B193" s="95" t="s">
        <v>99</v>
      </c>
      <c r="C193" s="80" t="s">
        <v>650</v>
      </c>
      <c r="D193" s="80" t="s">
        <v>20</v>
      </c>
      <c r="E193" s="80" t="s">
        <v>28</v>
      </c>
      <c r="F193" s="80" t="s">
        <v>101</v>
      </c>
      <c r="G193" s="82">
        <v>332534</v>
      </c>
      <c r="H193" s="81"/>
      <c r="I193" s="81"/>
      <c r="J193" s="81"/>
      <c r="K193" s="81"/>
      <c r="L193" s="81"/>
      <c r="M193" s="81"/>
      <c r="N193" s="82">
        <v>332534</v>
      </c>
      <c r="O193" s="82">
        <v>332534</v>
      </c>
    </row>
    <row r="194" spans="1:15" x14ac:dyDescent="0.2">
      <c r="A194" s="80" t="s">
        <v>651</v>
      </c>
      <c r="B194" s="95" t="s">
        <v>99</v>
      </c>
      <c r="C194" s="80" t="s">
        <v>652</v>
      </c>
      <c r="D194" s="80" t="s">
        <v>20</v>
      </c>
      <c r="E194" s="80" t="s">
        <v>28</v>
      </c>
      <c r="F194" s="80" t="s">
        <v>101</v>
      </c>
      <c r="G194" s="82">
        <v>2176858</v>
      </c>
      <c r="H194" s="81"/>
      <c r="I194" s="81"/>
      <c r="J194" s="81"/>
      <c r="K194" s="81"/>
      <c r="L194" s="81"/>
      <c r="M194" s="81"/>
      <c r="N194" s="82">
        <v>2176858</v>
      </c>
      <c r="O194" s="82">
        <v>2176858</v>
      </c>
    </row>
    <row r="195" spans="1:15" x14ac:dyDescent="0.2">
      <c r="A195" s="80" t="s">
        <v>653</v>
      </c>
      <c r="B195" s="95" t="s">
        <v>99</v>
      </c>
      <c r="C195" s="80" t="s">
        <v>654</v>
      </c>
      <c r="D195" s="80" t="s">
        <v>20</v>
      </c>
      <c r="E195" s="80" t="s">
        <v>28</v>
      </c>
      <c r="F195" s="80" t="s">
        <v>101</v>
      </c>
      <c r="G195" s="82">
        <v>622564</v>
      </c>
      <c r="H195" s="81"/>
      <c r="I195" s="81"/>
      <c r="J195" s="81"/>
      <c r="K195" s="81"/>
      <c r="L195" s="81"/>
      <c r="M195" s="81"/>
      <c r="N195" s="82">
        <v>622564</v>
      </c>
      <c r="O195" s="82">
        <v>622564</v>
      </c>
    </row>
    <row r="196" spans="1:15" x14ac:dyDescent="0.2">
      <c r="A196" s="80" t="s">
        <v>655</v>
      </c>
      <c r="B196" s="95" t="s">
        <v>99</v>
      </c>
      <c r="C196" s="80" t="s">
        <v>656</v>
      </c>
      <c r="D196" s="80" t="s">
        <v>20</v>
      </c>
      <c r="E196" s="80" t="s">
        <v>28</v>
      </c>
      <c r="F196" s="80" t="s">
        <v>101</v>
      </c>
      <c r="G196" s="82">
        <v>559038</v>
      </c>
      <c r="H196" s="81"/>
      <c r="I196" s="81"/>
      <c r="J196" s="81"/>
      <c r="K196" s="81"/>
      <c r="L196" s="81"/>
      <c r="M196" s="81"/>
      <c r="N196" s="82">
        <v>559038</v>
      </c>
      <c r="O196" s="82">
        <v>559038</v>
      </c>
    </row>
    <row r="197" spans="1:15" x14ac:dyDescent="0.2">
      <c r="A197" s="80" t="s">
        <v>657</v>
      </c>
      <c r="B197" s="95" t="s">
        <v>240</v>
      </c>
      <c r="C197" s="80" t="s">
        <v>658</v>
      </c>
      <c r="D197" s="80" t="s">
        <v>102</v>
      </c>
      <c r="E197" s="80" t="s">
        <v>28</v>
      </c>
      <c r="F197" s="80" t="s">
        <v>243</v>
      </c>
      <c r="G197" s="82">
        <v>1030635</v>
      </c>
      <c r="H197" s="81"/>
      <c r="I197" s="81"/>
      <c r="J197" s="81"/>
      <c r="K197" s="81"/>
      <c r="L197" s="81"/>
      <c r="M197" s="81"/>
      <c r="N197" s="82">
        <v>1030635</v>
      </c>
      <c r="O197" s="82">
        <v>1030635</v>
      </c>
    </row>
    <row r="198" spans="1:15" x14ac:dyDescent="0.2">
      <c r="A198" s="80" t="s">
        <v>659</v>
      </c>
      <c r="B198" s="95" t="s">
        <v>240</v>
      </c>
      <c r="C198" s="80" t="s">
        <v>660</v>
      </c>
      <c r="D198" s="80" t="s">
        <v>102</v>
      </c>
      <c r="E198" s="80" t="s">
        <v>28</v>
      </c>
      <c r="F198" s="80" t="s">
        <v>243</v>
      </c>
      <c r="G198" s="82">
        <v>417960</v>
      </c>
      <c r="H198" s="81"/>
      <c r="I198" s="81"/>
      <c r="J198" s="81"/>
      <c r="K198" s="81"/>
      <c r="L198" s="81"/>
      <c r="M198" s="81"/>
      <c r="N198" s="82">
        <v>417960</v>
      </c>
      <c r="O198" s="82">
        <v>417960</v>
      </c>
    </row>
    <row r="199" spans="1:15" x14ac:dyDescent="0.2">
      <c r="A199" s="80" t="s">
        <v>661</v>
      </c>
      <c r="B199" s="95" t="s">
        <v>240</v>
      </c>
      <c r="C199" s="80" t="s">
        <v>662</v>
      </c>
      <c r="D199" s="80" t="s">
        <v>20</v>
      </c>
      <c r="E199" s="80" t="s">
        <v>28</v>
      </c>
      <c r="F199" s="80" t="s">
        <v>243</v>
      </c>
      <c r="G199" s="82">
        <v>545445</v>
      </c>
      <c r="H199" s="81"/>
      <c r="I199" s="81"/>
      <c r="J199" s="81"/>
      <c r="K199" s="81"/>
      <c r="L199" s="81"/>
      <c r="M199" s="81"/>
      <c r="N199" s="82">
        <v>545445</v>
      </c>
      <c r="O199" s="82">
        <v>545445</v>
      </c>
    </row>
    <row r="200" spans="1:15" x14ac:dyDescent="0.2">
      <c r="A200" s="80" t="s">
        <v>663</v>
      </c>
      <c r="B200" s="95" t="s">
        <v>280</v>
      </c>
      <c r="C200" s="80" t="s">
        <v>664</v>
      </c>
      <c r="D200" s="80" t="s">
        <v>20</v>
      </c>
      <c r="E200" s="80" t="s">
        <v>28</v>
      </c>
      <c r="F200" s="80" t="s">
        <v>284</v>
      </c>
      <c r="G200" s="82">
        <v>7094412</v>
      </c>
      <c r="H200" s="81"/>
      <c r="I200" s="81"/>
      <c r="J200" s="81"/>
      <c r="K200" s="81"/>
      <c r="L200" s="81"/>
      <c r="M200" s="81"/>
      <c r="N200" s="82">
        <v>7094412</v>
      </c>
      <c r="O200" s="82">
        <v>7094412</v>
      </c>
    </row>
    <row r="201" spans="1:15" x14ac:dyDescent="0.2">
      <c r="A201" s="80" t="s">
        <v>665</v>
      </c>
      <c r="B201" s="95" t="s">
        <v>280</v>
      </c>
      <c r="C201" s="80" t="s">
        <v>666</v>
      </c>
      <c r="D201" s="80" t="s">
        <v>20</v>
      </c>
      <c r="E201" s="80" t="s">
        <v>28</v>
      </c>
      <c r="F201" s="80" t="s">
        <v>284</v>
      </c>
      <c r="G201" s="82">
        <v>2364999</v>
      </c>
      <c r="H201" s="81"/>
      <c r="I201" s="81"/>
      <c r="J201" s="81"/>
      <c r="K201" s="81"/>
      <c r="L201" s="81"/>
      <c r="M201" s="81"/>
      <c r="N201" s="82">
        <v>2364999</v>
      </c>
      <c r="O201" s="82">
        <v>2364999</v>
      </c>
    </row>
    <row r="202" spans="1:15" x14ac:dyDescent="0.2">
      <c r="A202" s="80" t="s">
        <v>667</v>
      </c>
      <c r="B202" s="95" t="s">
        <v>280</v>
      </c>
      <c r="C202" s="80" t="s">
        <v>668</v>
      </c>
      <c r="D202" s="80" t="s">
        <v>20</v>
      </c>
      <c r="E202" s="80" t="s">
        <v>28</v>
      </c>
      <c r="F202" s="80" t="s">
        <v>284</v>
      </c>
      <c r="G202" s="82">
        <v>14759316</v>
      </c>
      <c r="H202" s="81"/>
      <c r="I202" s="81"/>
      <c r="J202" s="81"/>
      <c r="K202" s="81"/>
      <c r="L202" s="81"/>
      <c r="M202" s="81"/>
      <c r="N202" s="82">
        <v>14759316</v>
      </c>
      <c r="O202" s="82">
        <v>14759316</v>
      </c>
    </row>
    <row r="203" spans="1:15" x14ac:dyDescent="0.2">
      <c r="A203" s="80" t="s">
        <v>669</v>
      </c>
      <c r="B203" s="95" t="s">
        <v>280</v>
      </c>
      <c r="C203" s="80" t="s">
        <v>670</v>
      </c>
      <c r="D203" s="80" t="s">
        <v>20</v>
      </c>
      <c r="E203" s="80" t="s">
        <v>28</v>
      </c>
      <c r="F203" s="80" t="s">
        <v>284</v>
      </c>
      <c r="G203" s="82">
        <v>896064</v>
      </c>
      <c r="H203" s="81"/>
      <c r="I203" s="81"/>
      <c r="J203" s="81"/>
      <c r="K203" s="81"/>
      <c r="L203" s="81"/>
      <c r="M203" s="81"/>
      <c r="N203" s="82">
        <v>896064</v>
      </c>
      <c r="O203" s="82">
        <v>896064</v>
      </c>
    </row>
    <row r="204" spans="1:15" x14ac:dyDescent="0.2">
      <c r="A204" s="80" t="s">
        <v>671</v>
      </c>
      <c r="B204" s="95" t="s">
        <v>69</v>
      </c>
      <c r="C204" s="80" t="s">
        <v>672</v>
      </c>
      <c r="D204" s="80" t="s">
        <v>52</v>
      </c>
      <c r="E204" s="80"/>
      <c r="F204" s="80" t="s">
        <v>75</v>
      </c>
      <c r="G204" s="82">
        <v>247383.49</v>
      </c>
      <c r="H204" s="81"/>
      <c r="I204" s="81"/>
      <c r="J204" s="81"/>
      <c r="K204" s="81"/>
      <c r="L204" s="81"/>
      <c r="M204" s="81"/>
      <c r="N204" s="82">
        <v>247383.49</v>
      </c>
      <c r="O204" s="82">
        <v>247383.49</v>
      </c>
    </row>
    <row r="205" spans="1:15" x14ac:dyDescent="0.2">
      <c r="A205" s="80" t="s">
        <v>673</v>
      </c>
      <c r="B205" s="95" t="s">
        <v>69</v>
      </c>
      <c r="C205" s="80" t="s">
        <v>674</v>
      </c>
      <c r="D205" s="80" t="s">
        <v>52</v>
      </c>
      <c r="E205" s="80"/>
      <c r="F205" s="80" t="s">
        <v>75</v>
      </c>
      <c r="G205" s="82">
        <v>800836.09</v>
      </c>
      <c r="H205" s="81"/>
      <c r="I205" s="81"/>
      <c r="J205" s="81"/>
      <c r="K205" s="81"/>
      <c r="L205" s="81"/>
      <c r="M205" s="81"/>
      <c r="N205" s="82">
        <v>800836.09</v>
      </c>
      <c r="O205" s="82">
        <v>800836.09</v>
      </c>
    </row>
    <row r="206" spans="1:15" x14ac:dyDescent="0.2">
      <c r="A206" s="80" t="s">
        <v>675</v>
      </c>
      <c r="B206" s="95" t="s">
        <v>69</v>
      </c>
      <c r="C206" s="80" t="s">
        <v>676</v>
      </c>
      <c r="D206" s="80" t="s">
        <v>85</v>
      </c>
      <c r="E206" s="80"/>
      <c r="F206" s="80" t="s">
        <v>75</v>
      </c>
      <c r="G206" s="82">
        <v>51939.24</v>
      </c>
      <c r="H206" s="81"/>
      <c r="I206" s="81"/>
      <c r="J206" s="81"/>
      <c r="K206" s="81"/>
      <c r="L206" s="81"/>
      <c r="M206" s="81"/>
      <c r="N206" s="82">
        <v>51939.24</v>
      </c>
      <c r="O206" s="82">
        <v>51939.24</v>
      </c>
    </row>
    <row r="207" spans="1:15" x14ac:dyDescent="0.2">
      <c r="A207" s="80" t="s">
        <v>677</v>
      </c>
      <c r="B207" s="95" t="s">
        <v>69</v>
      </c>
      <c r="C207" s="80" t="s">
        <v>678</v>
      </c>
      <c r="D207" s="80" t="s">
        <v>85</v>
      </c>
      <c r="E207" s="80"/>
      <c r="F207" s="80" t="s">
        <v>75</v>
      </c>
      <c r="G207" s="82">
        <v>130320.33</v>
      </c>
      <c r="H207" s="81"/>
      <c r="I207" s="81"/>
      <c r="J207" s="81"/>
      <c r="K207" s="81"/>
      <c r="L207" s="81"/>
      <c r="M207" s="81"/>
      <c r="N207" s="82">
        <v>130320.33</v>
      </c>
      <c r="O207" s="82">
        <v>130320.33</v>
      </c>
    </row>
    <row r="208" spans="1:15" x14ac:dyDescent="0.2">
      <c r="A208" s="80" t="s">
        <v>679</v>
      </c>
      <c r="B208" s="95" t="s">
        <v>69</v>
      </c>
      <c r="C208" s="80" t="s">
        <v>680</v>
      </c>
      <c r="D208" s="80" t="s">
        <v>35</v>
      </c>
      <c r="E208" s="80"/>
      <c r="F208" s="80" t="s">
        <v>75</v>
      </c>
      <c r="G208" s="82">
        <v>46850.64</v>
      </c>
      <c r="H208" s="81"/>
      <c r="I208" s="81"/>
      <c r="J208" s="81"/>
      <c r="K208" s="81"/>
      <c r="L208" s="81"/>
      <c r="M208" s="81"/>
      <c r="N208" s="82">
        <v>46850.64</v>
      </c>
      <c r="O208" s="82">
        <v>46850.64</v>
      </c>
    </row>
    <row r="209" spans="1:15" x14ac:dyDescent="0.2">
      <c r="A209" s="80" t="s">
        <v>681</v>
      </c>
      <c r="B209" s="95" t="s">
        <v>277</v>
      </c>
      <c r="C209" s="80" t="s">
        <v>682</v>
      </c>
      <c r="D209" s="80" t="s">
        <v>52</v>
      </c>
      <c r="E209" s="80"/>
      <c r="F209" s="80" t="s">
        <v>278</v>
      </c>
      <c r="G209" s="82">
        <v>3135.48</v>
      </c>
      <c r="H209" s="81"/>
      <c r="I209" s="81"/>
      <c r="J209" s="81"/>
      <c r="K209" s="81"/>
      <c r="L209" s="81"/>
      <c r="M209" s="81"/>
      <c r="N209" s="82">
        <v>3135.48</v>
      </c>
      <c r="O209" s="82">
        <v>3135.48</v>
      </c>
    </row>
    <row r="210" spans="1:15" x14ac:dyDescent="0.2">
      <c r="A210" s="80" t="s">
        <v>683</v>
      </c>
      <c r="B210" s="95" t="s">
        <v>277</v>
      </c>
      <c r="C210" s="80" t="s">
        <v>684</v>
      </c>
      <c r="D210" s="80" t="s">
        <v>107</v>
      </c>
      <c r="E210" s="80"/>
      <c r="F210" s="80" t="s">
        <v>278</v>
      </c>
      <c r="G210" s="82">
        <v>22604.29</v>
      </c>
      <c r="H210" s="81"/>
      <c r="I210" s="81"/>
      <c r="J210" s="81"/>
      <c r="K210" s="81"/>
      <c r="L210" s="81"/>
      <c r="M210" s="81"/>
      <c r="N210" s="82">
        <v>22604.29</v>
      </c>
      <c r="O210" s="82">
        <v>22604.29</v>
      </c>
    </row>
    <row r="211" spans="1:15" x14ac:dyDescent="0.2">
      <c r="A211" s="80" t="s">
        <v>685</v>
      </c>
      <c r="B211" s="95" t="s">
        <v>277</v>
      </c>
      <c r="C211" s="80" t="s">
        <v>686</v>
      </c>
      <c r="D211" s="80" t="s">
        <v>35</v>
      </c>
      <c r="E211" s="80"/>
      <c r="F211" s="80" t="s">
        <v>278</v>
      </c>
      <c r="G211" s="82">
        <v>102057.33</v>
      </c>
      <c r="H211" s="81"/>
      <c r="I211" s="81"/>
      <c r="J211" s="81"/>
      <c r="K211" s="81"/>
      <c r="L211" s="81"/>
      <c r="M211" s="81"/>
      <c r="N211" s="82">
        <v>102057.33</v>
      </c>
      <c r="O211" s="82">
        <v>102057.33</v>
      </c>
    </row>
    <row r="212" spans="1:15" x14ac:dyDescent="0.2">
      <c r="A212" s="80" t="s">
        <v>687</v>
      </c>
      <c r="B212" s="95" t="s">
        <v>277</v>
      </c>
      <c r="C212" s="80" t="s">
        <v>688</v>
      </c>
      <c r="D212" s="80" t="s">
        <v>88</v>
      </c>
      <c r="E212" s="80"/>
      <c r="F212" s="80" t="s">
        <v>278</v>
      </c>
      <c r="G212" s="82">
        <v>112421.23</v>
      </c>
      <c r="H212" s="81"/>
      <c r="I212" s="81"/>
      <c r="J212" s="81"/>
      <c r="K212" s="81"/>
      <c r="L212" s="81"/>
      <c r="M212" s="81"/>
      <c r="N212" s="82">
        <v>112421.23</v>
      </c>
      <c r="O212" s="82">
        <v>112421.23</v>
      </c>
    </row>
    <row r="213" spans="1:15" x14ac:dyDescent="0.2">
      <c r="A213" s="80" t="s">
        <v>689</v>
      </c>
      <c r="B213" s="95" t="s">
        <v>69</v>
      </c>
      <c r="C213" s="80" t="s">
        <v>690</v>
      </c>
      <c r="D213" s="80" t="s">
        <v>52</v>
      </c>
      <c r="E213" s="80"/>
      <c r="F213" s="80" t="s">
        <v>75</v>
      </c>
      <c r="G213" s="82">
        <v>4975405.55</v>
      </c>
      <c r="H213" s="81"/>
      <c r="I213" s="81"/>
      <c r="J213" s="81"/>
      <c r="K213" s="81"/>
      <c r="L213" s="81"/>
      <c r="M213" s="81"/>
      <c r="N213" s="82">
        <v>4975405.55</v>
      </c>
      <c r="O213" s="82">
        <v>4975405.55</v>
      </c>
    </row>
    <row r="214" spans="1:15" x14ac:dyDescent="0.2">
      <c r="A214" s="80" t="s">
        <v>691</v>
      </c>
      <c r="B214" s="95" t="s">
        <v>69</v>
      </c>
      <c r="C214" s="80" t="s">
        <v>692</v>
      </c>
      <c r="D214" s="80" t="s">
        <v>85</v>
      </c>
      <c r="E214" s="80"/>
      <c r="F214" s="80" t="s">
        <v>75</v>
      </c>
      <c r="G214" s="82">
        <v>181717.33</v>
      </c>
      <c r="H214" s="81"/>
      <c r="I214" s="81"/>
      <c r="J214" s="81"/>
      <c r="K214" s="81"/>
      <c r="L214" s="81"/>
      <c r="M214" s="81"/>
      <c r="N214" s="82">
        <v>181717.33</v>
      </c>
      <c r="O214" s="82">
        <v>181717.33</v>
      </c>
    </row>
    <row r="215" spans="1:15" x14ac:dyDescent="0.2">
      <c r="A215" s="80" t="s">
        <v>693</v>
      </c>
      <c r="B215" s="95" t="s">
        <v>69</v>
      </c>
      <c r="C215" s="80" t="s">
        <v>694</v>
      </c>
      <c r="D215" s="80" t="s">
        <v>35</v>
      </c>
      <c r="E215" s="80"/>
      <c r="F215" s="80" t="s">
        <v>75</v>
      </c>
      <c r="G215" s="82">
        <v>1393313.33</v>
      </c>
      <c r="H215" s="81"/>
      <c r="I215" s="81"/>
      <c r="J215" s="81"/>
      <c r="K215" s="81"/>
      <c r="L215" s="81"/>
      <c r="M215" s="81"/>
      <c r="N215" s="82">
        <v>1393313.33</v>
      </c>
      <c r="O215" s="82">
        <v>1393313.33</v>
      </c>
    </row>
    <row r="216" spans="1:15" x14ac:dyDescent="0.2">
      <c r="A216" s="80" t="s">
        <v>695</v>
      </c>
      <c r="B216" s="95" t="s">
        <v>292</v>
      </c>
      <c r="C216" s="80" t="s">
        <v>696</v>
      </c>
      <c r="D216" s="80" t="s">
        <v>20</v>
      </c>
      <c r="E216" s="80" t="s">
        <v>28</v>
      </c>
      <c r="F216" s="80" t="s">
        <v>293</v>
      </c>
      <c r="G216" s="82">
        <v>281610</v>
      </c>
      <c r="H216" s="81"/>
      <c r="I216" s="81"/>
      <c r="J216" s="81"/>
      <c r="K216" s="81"/>
      <c r="L216" s="81"/>
      <c r="M216" s="81"/>
      <c r="N216" s="82">
        <v>281610</v>
      </c>
      <c r="O216" s="82">
        <v>281610</v>
      </c>
    </row>
    <row r="217" spans="1:15" x14ac:dyDescent="0.2">
      <c r="A217" s="80" t="s">
        <v>697</v>
      </c>
      <c r="B217" s="95" t="s">
        <v>324</v>
      </c>
      <c r="C217" s="80" t="s">
        <v>698</v>
      </c>
      <c r="D217" s="80" t="s">
        <v>102</v>
      </c>
      <c r="E217" s="80" t="s">
        <v>28</v>
      </c>
      <c r="F217" s="80" t="s">
        <v>492</v>
      </c>
      <c r="G217" s="82">
        <v>80400</v>
      </c>
      <c r="H217" s="81"/>
      <c r="I217" s="81"/>
      <c r="J217" s="81"/>
      <c r="K217" s="81"/>
      <c r="L217" s="81"/>
      <c r="M217" s="81"/>
      <c r="N217" s="82">
        <v>80400</v>
      </c>
      <c r="O217" s="82">
        <v>80400</v>
      </c>
    </row>
    <row r="218" spans="1:15" x14ac:dyDescent="0.2">
      <c r="A218" s="80" t="s">
        <v>699</v>
      </c>
      <c r="B218" s="95" t="s">
        <v>324</v>
      </c>
      <c r="C218" s="80" t="s">
        <v>700</v>
      </c>
      <c r="D218" s="80" t="s">
        <v>20</v>
      </c>
      <c r="E218" s="80" t="s">
        <v>28</v>
      </c>
      <c r="F218" s="80" t="s">
        <v>492</v>
      </c>
      <c r="G218" s="82">
        <v>123137</v>
      </c>
      <c r="H218" s="81"/>
      <c r="I218" s="81"/>
      <c r="J218" s="81"/>
      <c r="K218" s="81"/>
      <c r="L218" s="81"/>
      <c r="M218" s="81"/>
      <c r="N218" s="82">
        <v>123137</v>
      </c>
      <c r="O218" s="82">
        <v>123137</v>
      </c>
    </row>
    <row r="219" spans="1:15" x14ac:dyDescent="0.2">
      <c r="A219" s="80" t="s">
        <v>701</v>
      </c>
      <c r="B219" s="95" t="s">
        <v>324</v>
      </c>
      <c r="C219" s="80" t="s">
        <v>702</v>
      </c>
      <c r="D219" s="80" t="s">
        <v>52</v>
      </c>
      <c r="E219" s="80" t="s">
        <v>28</v>
      </c>
      <c r="F219" s="80" t="s">
        <v>492</v>
      </c>
      <c r="G219" s="82">
        <v>28910</v>
      </c>
      <c r="H219" s="81"/>
      <c r="I219" s="81"/>
      <c r="J219" s="81"/>
      <c r="K219" s="81"/>
      <c r="L219" s="81"/>
      <c r="M219" s="81"/>
      <c r="N219" s="82">
        <v>28910</v>
      </c>
      <c r="O219" s="82">
        <v>28910</v>
      </c>
    </row>
    <row r="220" spans="1:15" x14ac:dyDescent="0.2">
      <c r="A220" s="80" t="s">
        <v>703</v>
      </c>
      <c r="B220" s="95" t="s">
        <v>292</v>
      </c>
      <c r="C220" s="80" t="s">
        <v>704</v>
      </c>
      <c r="D220" s="80" t="s">
        <v>52</v>
      </c>
      <c r="E220" s="80" t="s">
        <v>28</v>
      </c>
      <c r="F220" s="80" t="s">
        <v>293</v>
      </c>
      <c r="G220" s="82">
        <v>2686.5</v>
      </c>
      <c r="H220" s="81"/>
      <c r="I220" s="81"/>
      <c r="J220" s="81"/>
      <c r="K220" s="81"/>
      <c r="L220" s="81"/>
      <c r="M220" s="81"/>
      <c r="N220" s="82">
        <v>2686.5</v>
      </c>
      <c r="O220" s="82">
        <v>2686.5</v>
      </c>
    </row>
    <row r="221" spans="1:15" x14ac:dyDescent="0.2">
      <c r="A221" s="80" t="s">
        <v>705</v>
      </c>
      <c r="B221" s="95" t="s">
        <v>292</v>
      </c>
      <c r="C221" s="80" t="s">
        <v>706</v>
      </c>
      <c r="D221" s="80" t="s">
        <v>107</v>
      </c>
      <c r="E221" s="80" t="s">
        <v>28</v>
      </c>
      <c r="F221" s="80" t="s">
        <v>293</v>
      </c>
      <c r="G221" s="82">
        <v>252180</v>
      </c>
      <c r="H221" s="81"/>
      <c r="I221" s="81"/>
      <c r="J221" s="81"/>
      <c r="K221" s="81"/>
      <c r="L221" s="81"/>
      <c r="M221" s="81"/>
      <c r="N221" s="82">
        <v>252180</v>
      </c>
      <c r="O221" s="82">
        <v>252180</v>
      </c>
    </row>
    <row r="222" spans="1:15" x14ac:dyDescent="0.2">
      <c r="A222" s="80" t="s">
        <v>707</v>
      </c>
      <c r="B222" s="95" t="s">
        <v>292</v>
      </c>
      <c r="C222" s="80" t="s">
        <v>708</v>
      </c>
      <c r="D222" s="80" t="s">
        <v>102</v>
      </c>
      <c r="E222" s="80" t="s">
        <v>28</v>
      </c>
      <c r="F222" s="80" t="s">
        <v>293</v>
      </c>
      <c r="G222" s="82">
        <v>150345</v>
      </c>
      <c r="H222" s="81"/>
      <c r="I222" s="81"/>
      <c r="J222" s="81"/>
      <c r="K222" s="81"/>
      <c r="L222" s="81"/>
      <c r="M222" s="81"/>
      <c r="N222" s="82">
        <v>150345</v>
      </c>
      <c r="O222" s="82">
        <v>150345</v>
      </c>
    </row>
    <row r="223" spans="1:15" x14ac:dyDescent="0.2">
      <c r="A223" s="80" t="s">
        <v>764</v>
      </c>
      <c r="B223" s="95" t="s">
        <v>125</v>
      </c>
      <c r="C223" s="80" t="s">
        <v>765</v>
      </c>
      <c r="D223" s="80" t="s">
        <v>20</v>
      </c>
      <c r="E223" s="80" t="s">
        <v>36</v>
      </c>
      <c r="F223" s="80" t="s">
        <v>126</v>
      </c>
      <c r="G223" s="81"/>
      <c r="H223" s="81"/>
      <c r="I223" s="81"/>
      <c r="J223" s="81"/>
      <c r="K223" s="81"/>
      <c r="L223" s="82">
        <v>-625000</v>
      </c>
      <c r="M223" s="81"/>
      <c r="N223" s="82">
        <v>-625000</v>
      </c>
      <c r="O223" s="82">
        <v>-625000</v>
      </c>
    </row>
    <row r="224" spans="1:15" x14ac:dyDescent="0.2">
      <c r="A224" s="80" t="s">
        <v>709</v>
      </c>
      <c r="B224" s="95" t="s">
        <v>134</v>
      </c>
      <c r="C224" s="80" t="s">
        <v>710</v>
      </c>
      <c r="D224" s="80"/>
      <c r="E224" s="80" t="s">
        <v>711</v>
      </c>
      <c r="F224" s="80" t="s">
        <v>592</v>
      </c>
      <c r="G224" s="81"/>
      <c r="H224" s="81"/>
      <c r="I224" s="81"/>
      <c r="J224" s="81"/>
      <c r="K224" s="81"/>
      <c r="L224" s="82">
        <v>-22599.5</v>
      </c>
      <c r="M224" s="81"/>
      <c r="N224" s="82">
        <v>-22599.5</v>
      </c>
      <c r="O224" s="82">
        <v>-22599.5</v>
      </c>
    </row>
    <row r="225" spans="1:15" x14ac:dyDescent="0.2">
      <c r="A225" s="80" t="s">
        <v>712</v>
      </c>
      <c r="B225" s="95" t="s">
        <v>69</v>
      </c>
      <c r="C225" s="80" t="s">
        <v>713</v>
      </c>
      <c r="D225" s="80" t="s">
        <v>52</v>
      </c>
      <c r="E225" s="80" t="s">
        <v>714</v>
      </c>
      <c r="F225" s="80" t="s">
        <v>75</v>
      </c>
      <c r="G225" s="82">
        <v>1612354.81</v>
      </c>
      <c r="H225" s="81"/>
      <c r="I225" s="81"/>
      <c r="J225" s="81"/>
      <c r="K225" s="81"/>
      <c r="L225" s="81"/>
      <c r="M225" s="81"/>
      <c r="N225" s="82">
        <v>1612354.81</v>
      </c>
      <c r="O225" s="82">
        <v>1612354.81</v>
      </c>
    </row>
    <row r="226" spans="1:15" x14ac:dyDescent="0.2">
      <c r="A226" s="80" t="s">
        <v>715</v>
      </c>
      <c r="B226" s="95" t="s">
        <v>69</v>
      </c>
      <c r="C226" s="80" t="s">
        <v>716</v>
      </c>
      <c r="D226" s="80" t="s">
        <v>85</v>
      </c>
      <c r="E226" s="80" t="s">
        <v>714</v>
      </c>
      <c r="F226" s="80" t="s">
        <v>75</v>
      </c>
      <c r="G226" s="82">
        <v>205738.95</v>
      </c>
      <c r="H226" s="81"/>
      <c r="I226" s="81"/>
      <c r="J226" s="81"/>
      <c r="K226" s="81"/>
      <c r="L226" s="81"/>
      <c r="M226" s="81"/>
      <c r="N226" s="82">
        <v>205738.95</v>
      </c>
      <c r="O226" s="82">
        <v>205738.95</v>
      </c>
    </row>
    <row r="227" spans="1:15" x14ac:dyDescent="0.2">
      <c r="A227" s="80" t="s">
        <v>717</v>
      </c>
      <c r="B227" s="95" t="s">
        <v>69</v>
      </c>
      <c r="C227" s="80" t="s">
        <v>718</v>
      </c>
      <c r="D227" s="80" t="s">
        <v>35</v>
      </c>
      <c r="E227" s="80" t="s">
        <v>714</v>
      </c>
      <c r="F227" s="80" t="s">
        <v>75</v>
      </c>
      <c r="G227" s="82">
        <v>883883.82</v>
      </c>
      <c r="H227" s="81"/>
      <c r="I227" s="81"/>
      <c r="J227" s="81"/>
      <c r="K227" s="81"/>
      <c r="L227" s="81"/>
      <c r="M227" s="81"/>
      <c r="N227" s="82">
        <v>883883.82</v>
      </c>
      <c r="O227" s="82">
        <v>883883.82</v>
      </c>
    </row>
    <row r="228" spans="1:15" x14ac:dyDescent="0.2">
      <c r="A228" s="80" t="s">
        <v>719</v>
      </c>
      <c r="B228" s="95" t="s">
        <v>69</v>
      </c>
      <c r="C228" s="80" t="s">
        <v>720</v>
      </c>
      <c r="D228" s="80" t="s">
        <v>88</v>
      </c>
      <c r="E228" s="80" t="s">
        <v>714</v>
      </c>
      <c r="F228" s="80" t="s">
        <v>75</v>
      </c>
      <c r="G228" s="82">
        <v>881.24</v>
      </c>
      <c r="H228" s="81"/>
      <c r="I228" s="81"/>
      <c r="J228" s="81"/>
      <c r="K228" s="81"/>
      <c r="L228" s="81"/>
      <c r="M228" s="81"/>
      <c r="N228" s="82">
        <v>881.24</v>
      </c>
      <c r="O228" s="82">
        <v>881.24</v>
      </c>
    </row>
    <row r="229" spans="1:15" x14ac:dyDescent="0.2">
      <c r="A229" s="80" t="s">
        <v>766</v>
      </c>
      <c r="B229" s="95" t="s">
        <v>727</v>
      </c>
      <c r="C229" s="80" t="s">
        <v>767</v>
      </c>
      <c r="D229" s="80" t="s">
        <v>107</v>
      </c>
      <c r="E229" s="80" t="s">
        <v>28</v>
      </c>
      <c r="F229" s="80" t="s">
        <v>768</v>
      </c>
      <c r="G229" s="81"/>
      <c r="H229" s="81"/>
      <c r="I229" s="81"/>
      <c r="J229" s="81"/>
      <c r="K229" s="81"/>
      <c r="L229" s="82">
        <v>-562176</v>
      </c>
      <c r="M229" s="81"/>
      <c r="N229" s="82">
        <v>-562176</v>
      </c>
      <c r="O229" s="82">
        <v>-562176</v>
      </c>
    </row>
    <row r="230" spans="1:15" x14ac:dyDescent="0.2">
      <c r="A230" s="80"/>
      <c r="B230" s="95" t="s">
        <v>41</v>
      </c>
      <c r="C230" s="80"/>
      <c r="D230" s="80"/>
      <c r="E230" s="80"/>
      <c r="F230" s="80" t="s">
        <v>42</v>
      </c>
      <c r="G230" s="81"/>
      <c r="H230" s="81"/>
      <c r="I230" s="81"/>
      <c r="J230" s="81"/>
      <c r="K230" s="81"/>
      <c r="L230" s="81"/>
      <c r="M230" s="82">
        <v>-82070</v>
      </c>
      <c r="N230" s="82">
        <v>-82070</v>
      </c>
      <c r="O230" s="82">
        <v>-82070</v>
      </c>
    </row>
    <row r="231" spans="1:15" x14ac:dyDescent="0.2">
      <c r="A231" s="80"/>
      <c r="B231" s="95" t="s">
        <v>41</v>
      </c>
      <c r="C231" s="80"/>
      <c r="D231" s="80"/>
      <c r="E231" s="80"/>
      <c r="F231" s="80" t="s">
        <v>38</v>
      </c>
      <c r="G231" s="81"/>
      <c r="H231" s="81"/>
      <c r="I231" s="81"/>
      <c r="J231" s="81"/>
      <c r="K231" s="81"/>
      <c r="L231" s="81"/>
      <c r="M231" s="82">
        <v>-186996</v>
      </c>
      <c r="N231" s="82">
        <v>-186996</v>
      </c>
      <c r="O231" s="82">
        <v>-186996</v>
      </c>
    </row>
    <row r="232" spans="1:15" x14ac:dyDescent="0.2">
      <c r="A232" s="80"/>
      <c r="B232" s="95" t="s">
        <v>48</v>
      </c>
      <c r="C232" s="80"/>
      <c r="D232" s="80"/>
      <c r="E232" s="80"/>
      <c r="F232" s="80" t="s">
        <v>722</v>
      </c>
      <c r="G232" s="81"/>
      <c r="H232" s="81"/>
      <c r="I232" s="81"/>
      <c r="J232" s="81"/>
      <c r="K232" s="81"/>
      <c r="L232" s="81"/>
      <c r="M232" s="82">
        <v>-169458.16</v>
      </c>
      <c r="N232" s="82">
        <v>-169458.16</v>
      </c>
      <c r="O232" s="82">
        <v>-169458.16</v>
      </c>
    </row>
    <row r="233" spans="1:15" x14ac:dyDescent="0.2">
      <c r="A233" s="80"/>
      <c r="B233" s="95" t="s">
        <v>60</v>
      </c>
      <c r="C233" s="80"/>
      <c r="D233" s="80"/>
      <c r="E233" s="80"/>
      <c r="F233" s="80" t="s">
        <v>61</v>
      </c>
      <c r="G233" s="81"/>
      <c r="H233" s="81"/>
      <c r="I233" s="81"/>
      <c r="J233" s="81"/>
      <c r="K233" s="81"/>
      <c r="L233" s="81"/>
      <c r="M233" s="82">
        <v>-81257.990000000005</v>
      </c>
      <c r="N233" s="82">
        <v>-81257.990000000005</v>
      </c>
      <c r="O233" s="82">
        <v>-81257.990000000005</v>
      </c>
    </row>
    <row r="234" spans="1:15" x14ac:dyDescent="0.2">
      <c r="A234" s="80"/>
      <c r="B234" s="95" t="s">
        <v>60</v>
      </c>
      <c r="C234" s="80"/>
      <c r="D234" s="80"/>
      <c r="E234" s="80"/>
      <c r="F234" s="80" t="s">
        <v>62</v>
      </c>
      <c r="G234" s="81"/>
      <c r="H234" s="81"/>
      <c r="I234" s="81"/>
      <c r="J234" s="81"/>
      <c r="K234" s="81"/>
      <c r="L234" s="81"/>
      <c r="M234" s="82">
        <v>-88876.18</v>
      </c>
      <c r="N234" s="82">
        <v>-88876.18</v>
      </c>
      <c r="O234" s="82">
        <v>-88876.18</v>
      </c>
    </row>
    <row r="235" spans="1:15" x14ac:dyDescent="0.2">
      <c r="A235" s="80"/>
      <c r="B235" s="95" t="s">
        <v>60</v>
      </c>
      <c r="C235" s="80"/>
      <c r="D235" s="80"/>
      <c r="E235" s="80"/>
      <c r="F235" s="80" t="s">
        <v>38</v>
      </c>
      <c r="G235" s="81"/>
      <c r="H235" s="81"/>
      <c r="I235" s="81"/>
      <c r="J235" s="81"/>
      <c r="K235" s="81"/>
      <c r="L235" s="81"/>
      <c r="M235" s="82">
        <v>-182855.13</v>
      </c>
      <c r="N235" s="82">
        <v>-182855.13</v>
      </c>
      <c r="O235" s="82">
        <v>-182855.13</v>
      </c>
    </row>
    <row r="236" spans="1:15" x14ac:dyDescent="0.2">
      <c r="A236" s="80"/>
      <c r="B236" s="95" t="s">
        <v>60</v>
      </c>
      <c r="C236" s="80"/>
      <c r="D236" s="80"/>
      <c r="E236" s="80"/>
      <c r="F236" s="80" t="s">
        <v>39</v>
      </c>
      <c r="G236" s="81"/>
      <c r="H236" s="81"/>
      <c r="I236" s="81"/>
      <c r="J236" s="81"/>
      <c r="K236" s="81"/>
      <c r="L236" s="81"/>
      <c r="M236" s="82">
        <v>-97248.78</v>
      </c>
      <c r="N236" s="82">
        <v>-97248.78</v>
      </c>
      <c r="O236" s="82">
        <v>-97248.78</v>
      </c>
    </row>
    <row r="237" spans="1:15" x14ac:dyDescent="0.2">
      <c r="A237" s="80"/>
      <c r="B237" s="95" t="s">
        <v>60</v>
      </c>
      <c r="C237" s="80"/>
      <c r="D237" s="80"/>
      <c r="E237" s="80"/>
      <c r="F237" s="80" t="s">
        <v>723</v>
      </c>
      <c r="G237" s="81"/>
      <c r="H237" s="81"/>
      <c r="I237" s="81"/>
      <c r="J237" s="81"/>
      <c r="K237" s="81"/>
      <c r="L237" s="81"/>
      <c r="M237" s="82">
        <v>-1117985</v>
      </c>
      <c r="N237" s="82">
        <v>-1117985</v>
      </c>
      <c r="O237" s="82">
        <v>-1117985</v>
      </c>
    </row>
    <row r="238" spans="1:15" x14ac:dyDescent="0.2">
      <c r="A238" s="80"/>
      <c r="B238" s="95" t="s">
        <v>60</v>
      </c>
      <c r="C238" s="80"/>
      <c r="D238" s="80"/>
      <c r="E238" s="80"/>
      <c r="F238" s="80" t="s">
        <v>64</v>
      </c>
      <c r="G238" s="81"/>
      <c r="H238" s="81"/>
      <c r="I238" s="81"/>
      <c r="J238" s="81"/>
      <c r="K238" s="81"/>
      <c r="L238" s="81"/>
      <c r="M238" s="82">
        <v>-791968.14</v>
      </c>
      <c r="N238" s="82">
        <v>-791968.14</v>
      </c>
      <c r="O238" s="82">
        <v>-791968.14</v>
      </c>
    </row>
    <row r="239" spans="1:15" x14ac:dyDescent="0.2">
      <c r="A239" s="80"/>
      <c r="B239" s="95" t="s">
        <v>60</v>
      </c>
      <c r="C239" s="80"/>
      <c r="D239" s="80"/>
      <c r="E239" s="80"/>
      <c r="F239" s="80" t="s">
        <v>65</v>
      </c>
      <c r="G239" s="81"/>
      <c r="H239" s="81"/>
      <c r="I239" s="81"/>
      <c r="J239" s="81"/>
      <c r="K239" s="81"/>
      <c r="L239" s="81"/>
      <c r="M239" s="82">
        <v>-448843.37</v>
      </c>
      <c r="N239" s="82">
        <v>-448843.37</v>
      </c>
      <c r="O239" s="82">
        <v>-448843.37</v>
      </c>
    </row>
    <row r="240" spans="1:15" x14ac:dyDescent="0.2">
      <c r="A240" s="80"/>
      <c r="B240" s="95" t="s">
        <v>60</v>
      </c>
      <c r="C240" s="80"/>
      <c r="D240" s="80"/>
      <c r="E240" s="80"/>
      <c r="F240" s="80" t="s">
        <v>66</v>
      </c>
      <c r="G240" s="81"/>
      <c r="H240" s="81"/>
      <c r="I240" s="81"/>
      <c r="J240" s="81"/>
      <c r="K240" s="81"/>
      <c r="L240" s="81"/>
      <c r="M240" s="82">
        <v>-440491.9</v>
      </c>
      <c r="N240" s="82">
        <v>-440491.9</v>
      </c>
      <c r="O240" s="82">
        <v>-440491.9</v>
      </c>
    </row>
    <row r="241" spans="1:15" x14ac:dyDescent="0.2">
      <c r="A241" s="80"/>
      <c r="B241" s="95" t="s">
        <v>98</v>
      </c>
      <c r="C241" s="80"/>
      <c r="D241" s="80"/>
      <c r="E241" s="80"/>
      <c r="F241" s="80" t="s">
        <v>42</v>
      </c>
      <c r="G241" s="81"/>
      <c r="H241" s="81"/>
      <c r="I241" s="81"/>
      <c r="J241" s="81"/>
      <c r="K241" s="81"/>
      <c r="L241" s="81"/>
      <c r="M241" s="82">
        <v>-2306405.39</v>
      </c>
      <c r="N241" s="82">
        <v>-2306405.39</v>
      </c>
      <c r="O241" s="82">
        <v>-2306405.39</v>
      </c>
    </row>
    <row r="242" spans="1:15" x14ac:dyDescent="0.2">
      <c r="A242" s="80"/>
      <c r="B242" s="95" t="s">
        <v>98</v>
      </c>
      <c r="C242" s="80"/>
      <c r="D242" s="80"/>
      <c r="E242" s="80"/>
      <c r="F242" s="80" t="s">
        <v>38</v>
      </c>
      <c r="G242" s="81"/>
      <c r="H242" s="81"/>
      <c r="I242" s="81"/>
      <c r="J242" s="81"/>
      <c r="K242" s="81"/>
      <c r="L242" s="81"/>
      <c r="M242" s="82">
        <v>-5351625.4000000004</v>
      </c>
      <c r="N242" s="82">
        <v>-5351625.4000000004</v>
      </c>
      <c r="O242" s="82">
        <v>-5351625.4000000004</v>
      </c>
    </row>
    <row r="243" spans="1:15" x14ac:dyDescent="0.2">
      <c r="A243" s="80"/>
      <c r="B243" s="95" t="s">
        <v>98</v>
      </c>
      <c r="C243" s="80"/>
      <c r="D243" s="80"/>
      <c r="E243" s="80"/>
      <c r="F243" s="80" t="s">
        <v>724</v>
      </c>
      <c r="G243" s="81"/>
      <c r="H243" s="81"/>
      <c r="I243" s="81"/>
      <c r="J243" s="81"/>
      <c r="K243" s="81"/>
      <c r="L243" s="81"/>
      <c r="M243" s="82">
        <v>-9349156.1199999992</v>
      </c>
      <c r="N243" s="82">
        <v>-9349156.1199999992</v>
      </c>
      <c r="O243" s="82">
        <v>-9349156.1199999992</v>
      </c>
    </row>
    <row r="244" spans="1:15" x14ac:dyDescent="0.2">
      <c r="A244" s="80"/>
      <c r="B244" s="95" t="s">
        <v>98</v>
      </c>
      <c r="C244" s="80"/>
      <c r="D244" s="80"/>
      <c r="E244" s="80"/>
      <c r="F244" s="80" t="s">
        <v>63</v>
      </c>
      <c r="G244" s="81"/>
      <c r="H244" s="81"/>
      <c r="I244" s="81"/>
      <c r="J244" s="81"/>
      <c r="K244" s="81"/>
      <c r="L244" s="81"/>
      <c r="M244" s="82">
        <v>-38747.56</v>
      </c>
      <c r="N244" s="82">
        <v>-38747.56</v>
      </c>
      <c r="O244" s="82">
        <v>-38747.56</v>
      </c>
    </row>
    <row r="245" spans="1:15" x14ac:dyDescent="0.2">
      <c r="A245" s="80"/>
      <c r="B245" s="95" t="s">
        <v>98</v>
      </c>
      <c r="C245" s="80"/>
      <c r="D245" s="80"/>
      <c r="E245" s="80"/>
      <c r="F245" s="80" t="s">
        <v>64</v>
      </c>
      <c r="G245" s="81"/>
      <c r="H245" s="81"/>
      <c r="I245" s="81"/>
      <c r="J245" s="81"/>
      <c r="K245" s="81"/>
      <c r="L245" s="81"/>
      <c r="M245" s="82">
        <v>-220091.9</v>
      </c>
      <c r="N245" s="82">
        <v>-220091.9</v>
      </c>
      <c r="O245" s="82">
        <v>-220091.9</v>
      </c>
    </row>
    <row r="246" spans="1:15" x14ac:dyDescent="0.2">
      <c r="A246" s="80"/>
      <c r="B246" s="95" t="s">
        <v>99</v>
      </c>
      <c r="C246" s="80"/>
      <c r="D246" s="80"/>
      <c r="E246" s="80"/>
      <c r="F246" s="80" t="s">
        <v>42</v>
      </c>
      <c r="G246" s="81"/>
      <c r="H246" s="81"/>
      <c r="I246" s="81"/>
      <c r="J246" s="81"/>
      <c r="K246" s="81"/>
      <c r="L246" s="81"/>
      <c r="M246" s="82">
        <v>-807310.42</v>
      </c>
      <c r="N246" s="82">
        <v>-807310.42</v>
      </c>
      <c r="O246" s="82">
        <v>-807310.42</v>
      </c>
    </row>
    <row r="247" spans="1:15" x14ac:dyDescent="0.2">
      <c r="A247" s="80"/>
      <c r="B247" s="95" t="s">
        <v>99</v>
      </c>
      <c r="C247" s="80"/>
      <c r="D247" s="80"/>
      <c r="E247" s="80"/>
      <c r="F247" s="80" t="s">
        <v>38</v>
      </c>
      <c r="G247" s="81"/>
      <c r="H247" s="81"/>
      <c r="I247" s="81"/>
      <c r="J247" s="81"/>
      <c r="K247" s="81"/>
      <c r="L247" s="81"/>
      <c r="M247" s="82">
        <v>-1678357.54</v>
      </c>
      <c r="N247" s="82">
        <v>-1678357.54</v>
      </c>
      <c r="O247" s="82">
        <v>-1678357.54</v>
      </c>
    </row>
    <row r="248" spans="1:15" x14ac:dyDescent="0.2">
      <c r="A248" s="80"/>
      <c r="B248" s="95" t="s">
        <v>99</v>
      </c>
      <c r="C248" s="80"/>
      <c r="D248" s="80"/>
      <c r="E248" s="80"/>
      <c r="F248" s="80" t="s">
        <v>724</v>
      </c>
      <c r="G248" s="81"/>
      <c r="H248" s="81"/>
      <c r="I248" s="81"/>
      <c r="J248" s="81"/>
      <c r="K248" s="81"/>
      <c r="L248" s="81"/>
      <c r="M248" s="82">
        <v>-752422.2</v>
      </c>
      <c r="N248" s="82">
        <v>-752422.2</v>
      </c>
      <c r="O248" s="82">
        <v>-752422.2</v>
      </c>
    </row>
    <row r="249" spans="1:15" x14ac:dyDescent="0.2">
      <c r="A249" s="80"/>
      <c r="B249" s="95" t="s">
        <v>99</v>
      </c>
      <c r="C249" s="80"/>
      <c r="D249" s="80"/>
      <c r="E249" s="80"/>
      <c r="F249" s="80" t="s">
        <v>64</v>
      </c>
      <c r="G249" s="81"/>
      <c r="H249" s="81"/>
      <c r="I249" s="81"/>
      <c r="J249" s="81"/>
      <c r="K249" s="81"/>
      <c r="L249" s="81"/>
      <c r="M249" s="82">
        <v>-714055.22</v>
      </c>
      <c r="N249" s="82">
        <v>-714055.22</v>
      </c>
      <c r="O249" s="82">
        <v>-714055.22</v>
      </c>
    </row>
    <row r="250" spans="1:15" x14ac:dyDescent="0.2">
      <c r="A250" s="80"/>
      <c r="B250" s="95" t="s">
        <v>99</v>
      </c>
      <c r="C250" s="80"/>
      <c r="D250" s="80"/>
      <c r="E250" s="80"/>
      <c r="F250" s="80" t="s">
        <v>100</v>
      </c>
      <c r="G250" s="81"/>
      <c r="H250" s="81"/>
      <c r="I250" s="81"/>
      <c r="J250" s="81"/>
      <c r="K250" s="81"/>
      <c r="L250" s="81"/>
      <c r="M250" s="82">
        <v>-270896</v>
      </c>
      <c r="N250" s="82">
        <v>-270896</v>
      </c>
      <c r="O250" s="82">
        <v>-270896</v>
      </c>
    </row>
    <row r="251" spans="1:15" x14ac:dyDescent="0.2">
      <c r="A251" s="80"/>
      <c r="B251" s="95" t="s">
        <v>99</v>
      </c>
      <c r="C251" s="80"/>
      <c r="D251" s="80"/>
      <c r="E251" s="80"/>
      <c r="F251" s="80" t="s">
        <v>65</v>
      </c>
      <c r="G251" s="81"/>
      <c r="H251" s="81"/>
      <c r="I251" s="81"/>
      <c r="J251" s="81"/>
      <c r="K251" s="81"/>
      <c r="L251" s="81"/>
      <c r="M251" s="82">
        <v>-94512</v>
      </c>
      <c r="N251" s="82">
        <v>-94512</v>
      </c>
      <c r="O251" s="82">
        <v>-94512</v>
      </c>
    </row>
    <row r="252" spans="1:15" x14ac:dyDescent="0.2">
      <c r="A252" s="80"/>
      <c r="B252" s="95" t="s">
        <v>99</v>
      </c>
      <c r="C252" s="80"/>
      <c r="D252" s="80"/>
      <c r="E252" s="80"/>
      <c r="F252" s="80" t="s">
        <v>66</v>
      </c>
      <c r="G252" s="81"/>
      <c r="H252" s="81"/>
      <c r="I252" s="81"/>
      <c r="J252" s="81"/>
      <c r="K252" s="81"/>
      <c r="L252" s="81"/>
      <c r="M252" s="82">
        <v>-356942.78</v>
      </c>
      <c r="N252" s="82">
        <v>-356942.78</v>
      </c>
      <c r="O252" s="82">
        <v>-356942.78</v>
      </c>
    </row>
    <row r="253" spans="1:15" x14ac:dyDescent="0.2">
      <c r="A253" s="80"/>
      <c r="B253" s="95" t="s">
        <v>103</v>
      </c>
      <c r="C253" s="80"/>
      <c r="D253" s="80"/>
      <c r="E253" s="80"/>
      <c r="F253" s="80" t="s">
        <v>104</v>
      </c>
      <c r="G253" s="81"/>
      <c r="H253" s="81"/>
      <c r="I253" s="81"/>
      <c r="J253" s="81"/>
      <c r="K253" s="81"/>
      <c r="L253" s="81"/>
      <c r="M253" s="82">
        <v>-95259.43</v>
      </c>
      <c r="N253" s="82">
        <v>-95259.43</v>
      </c>
      <c r="O253" s="82">
        <v>-95259.43</v>
      </c>
    </row>
    <row r="254" spans="1:15" x14ac:dyDescent="0.2">
      <c r="A254" s="80"/>
      <c r="B254" s="95" t="s">
        <v>103</v>
      </c>
      <c r="C254" s="80"/>
      <c r="D254" s="80"/>
      <c r="E254" s="80"/>
      <c r="F254" s="80" t="s">
        <v>724</v>
      </c>
      <c r="G254" s="81"/>
      <c r="H254" s="81"/>
      <c r="I254" s="81"/>
      <c r="J254" s="81"/>
      <c r="K254" s="81"/>
      <c r="L254" s="81"/>
      <c r="M254" s="82">
        <v>-216121.25</v>
      </c>
      <c r="N254" s="82">
        <v>-216121.25</v>
      </c>
      <c r="O254" s="82">
        <v>-216121.25</v>
      </c>
    </row>
    <row r="255" spans="1:15" x14ac:dyDescent="0.2">
      <c r="A255" s="80"/>
      <c r="B255" s="95" t="s">
        <v>103</v>
      </c>
      <c r="C255" s="80"/>
      <c r="D255" s="80"/>
      <c r="E255" s="80"/>
      <c r="F255" s="80" t="s">
        <v>63</v>
      </c>
      <c r="G255" s="81"/>
      <c r="H255" s="81"/>
      <c r="I255" s="81"/>
      <c r="J255" s="81"/>
      <c r="K255" s="81"/>
      <c r="L255" s="81"/>
      <c r="M255" s="82">
        <v>-4208.0200000000004</v>
      </c>
      <c r="N255" s="82">
        <v>-4208.0200000000004</v>
      </c>
      <c r="O255" s="82">
        <v>-4208.0200000000004</v>
      </c>
    </row>
    <row r="256" spans="1:15" x14ac:dyDescent="0.2">
      <c r="A256" s="80"/>
      <c r="B256" s="95" t="s">
        <v>103</v>
      </c>
      <c r="C256" s="80"/>
      <c r="D256" s="80"/>
      <c r="E256" s="80"/>
      <c r="F256" s="80" t="s">
        <v>725</v>
      </c>
      <c r="G256" s="81"/>
      <c r="H256" s="81"/>
      <c r="I256" s="81"/>
      <c r="J256" s="81"/>
      <c r="K256" s="81"/>
      <c r="L256" s="81"/>
      <c r="M256" s="82">
        <v>-377357.64</v>
      </c>
      <c r="N256" s="82">
        <v>-377357.64</v>
      </c>
      <c r="O256" s="82">
        <v>-377357.64</v>
      </c>
    </row>
    <row r="257" spans="1:15" x14ac:dyDescent="0.2">
      <c r="A257" s="80"/>
      <c r="B257" s="95" t="s">
        <v>105</v>
      </c>
      <c r="C257" s="80"/>
      <c r="D257" s="80"/>
      <c r="E257" s="80"/>
      <c r="F257" s="80" t="s">
        <v>38</v>
      </c>
      <c r="G257" s="81"/>
      <c r="H257" s="81"/>
      <c r="I257" s="81"/>
      <c r="J257" s="81"/>
      <c r="K257" s="81"/>
      <c r="L257" s="81"/>
      <c r="M257" s="82">
        <v>-6703</v>
      </c>
      <c r="N257" s="82">
        <v>-6703</v>
      </c>
      <c r="O257" s="82">
        <v>-6703</v>
      </c>
    </row>
    <row r="258" spans="1:15" x14ac:dyDescent="0.2">
      <c r="A258" s="80"/>
      <c r="B258" s="95" t="s">
        <v>106</v>
      </c>
      <c r="C258" s="80"/>
      <c r="D258" s="80"/>
      <c r="E258" s="80"/>
      <c r="F258" s="80" t="s">
        <v>61</v>
      </c>
      <c r="G258" s="81"/>
      <c r="H258" s="81"/>
      <c r="I258" s="81"/>
      <c r="J258" s="81"/>
      <c r="K258" s="81"/>
      <c r="L258" s="81"/>
      <c r="M258" s="82">
        <v>-72017.25</v>
      </c>
      <c r="N258" s="82">
        <v>-72017.25</v>
      </c>
      <c r="O258" s="82">
        <v>-72017.25</v>
      </c>
    </row>
    <row r="259" spans="1:15" x14ac:dyDescent="0.2">
      <c r="A259" s="80"/>
      <c r="B259" s="95" t="s">
        <v>106</v>
      </c>
      <c r="C259" s="80"/>
      <c r="D259" s="80"/>
      <c r="E259" s="80"/>
      <c r="F259" s="80" t="s">
        <v>42</v>
      </c>
      <c r="G259" s="81"/>
      <c r="H259" s="81"/>
      <c r="I259" s="81"/>
      <c r="J259" s="81"/>
      <c r="K259" s="81"/>
      <c r="L259" s="81"/>
      <c r="M259" s="82">
        <v>-47713</v>
      </c>
      <c r="N259" s="82">
        <v>-47713</v>
      </c>
      <c r="O259" s="82">
        <v>-47713</v>
      </c>
    </row>
    <row r="260" spans="1:15" x14ac:dyDescent="0.2">
      <c r="A260" s="80"/>
      <c r="B260" s="95" t="s">
        <v>106</v>
      </c>
      <c r="C260" s="80"/>
      <c r="D260" s="80"/>
      <c r="E260" s="80"/>
      <c r="F260" s="80" t="s">
        <v>38</v>
      </c>
      <c r="G260" s="81"/>
      <c r="H260" s="81"/>
      <c r="I260" s="81"/>
      <c r="J260" s="81"/>
      <c r="K260" s="81"/>
      <c r="L260" s="81"/>
      <c r="M260" s="82">
        <v>-117525</v>
      </c>
      <c r="N260" s="82">
        <v>-117525</v>
      </c>
      <c r="O260" s="82">
        <v>-117525</v>
      </c>
    </row>
    <row r="261" spans="1:15" x14ac:dyDescent="0.2">
      <c r="A261" s="80"/>
      <c r="B261" s="95" t="s">
        <v>106</v>
      </c>
      <c r="C261" s="80"/>
      <c r="D261" s="80"/>
      <c r="E261" s="80"/>
      <c r="F261" s="80" t="s">
        <v>39</v>
      </c>
      <c r="G261" s="81"/>
      <c r="H261" s="81"/>
      <c r="I261" s="81"/>
      <c r="J261" s="81"/>
      <c r="K261" s="81"/>
      <c r="L261" s="81"/>
      <c r="M261" s="82">
        <v>-140484</v>
      </c>
      <c r="N261" s="82">
        <v>-140484</v>
      </c>
      <c r="O261" s="82">
        <v>-140484</v>
      </c>
    </row>
    <row r="262" spans="1:15" x14ac:dyDescent="0.2">
      <c r="A262" s="80"/>
      <c r="B262" s="95" t="s">
        <v>106</v>
      </c>
      <c r="C262" s="80"/>
      <c r="D262" s="80"/>
      <c r="E262" s="80"/>
      <c r="F262" s="80" t="s">
        <v>724</v>
      </c>
      <c r="G262" s="81"/>
      <c r="H262" s="81"/>
      <c r="I262" s="81"/>
      <c r="J262" s="81"/>
      <c r="K262" s="81"/>
      <c r="L262" s="81"/>
      <c r="M262" s="82">
        <v>-49486</v>
      </c>
      <c r="N262" s="82">
        <v>-49486</v>
      </c>
      <c r="O262" s="82">
        <v>-49486</v>
      </c>
    </row>
    <row r="263" spans="1:15" x14ac:dyDescent="0.2">
      <c r="A263" s="80"/>
      <c r="B263" s="95" t="s">
        <v>109</v>
      </c>
      <c r="C263" s="80"/>
      <c r="D263" s="80"/>
      <c r="E263" s="80"/>
      <c r="F263" s="80" t="s">
        <v>110</v>
      </c>
      <c r="G263" s="81"/>
      <c r="H263" s="81"/>
      <c r="I263" s="81"/>
      <c r="J263" s="81"/>
      <c r="K263" s="81"/>
      <c r="L263" s="81"/>
      <c r="M263" s="82">
        <v>-11533.5</v>
      </c>
      <c r="N263" s="82">
        <v>-11533.5</v>
      </c>
      <c r="O263" s="82">
        <v>-11533.5</v>
      </c>
    </row>
    <row r="264" spans="1:15" x14ac:dyDescent="0.2">
      <c r="A264" s="80"/>
      <c r="B264" s="95" t="s">
        <v>726</v>
      </c>
      <c r="C264" s="80"/>
      <c r="D264" s="80"/>
      <c r="E264" s="80"/>
      <c r="F264" s="80" t="s">
        <v>724</v>
      </c>
      <c r="G264" s="81"/>
      <c r="H264" s="81"/>
      <c r="I264" s="81"/>
      <c r="J264" s="81"/>
      <c r="K264" s="81"/>
      <c r="L264" s="81"/>
      <c r="M264" s="82">
        <v>-256988</v>
      </c>
      <c r="N264" s="82">
        <v>-256988</v>
      </c>
      <c r="O264" s="82">
        <v>-256988</v>
      </c>
    </row>
    <row r="265" spans="1:15" x14ac:dyDescent="0.2">
      <c r="A265" s="80"/>
      <c r="B265" s="95" t="s">
        <v>726</v>
      </c>
      <c r="C265" s="80"/>
      <c r="D265" s="80"/>
      <c r="E265" s="80"/>
      <c r="F265" s="80" t="s">
        <v>725</v>
      </c>
      <c r="G265" s="81"/>
      <c r="H265" s="81"/>
      <c r="I265" s="81"/>
      <c r="J265" s="81"/>
      <c r="K265" s="81"/>
      <c r="L265" s="81"/>
      <c r="M265" s="82">
        <v>-437968</v>
      </c>
      <c r="N265" s="82">
        <v>-437968</v>
      </c>
      <c r="O265" s="82">
        <v>-437968</v>
      </c>
    </row>
    <row r="266" spans="1:15" x14ac:dyDescent="0.2">
      <c r="A266" s="80"/>
      <c r="B266" s="95" t="s">
        <v>111</v>
      </c>
      <c r="C266" s="80"/>
      <c r="D266" s="80"/>
      <c r="E266" s="80"/>
      <c r="F266" s="80" t="s">
        <v>112</v>
      </c>
      <c r="G266" s="81"/>
      <c r="H266" s="81"/>
      <c r="I266" s="81"/>
      <c r="J266" s="81"/>
      <c r="K266" s="81"/>
      <c r="L266" s="81"/>
      <c r="M266" s="82">
        <v>-120577.83</v>
      </c>
      <c r="N266" s="82">
        <v>-120577.83</v>
      </c>
      <c r="O266" s="82">
        <v>-120577.83</v>
      </c>
    </row>
    <row r="267" spans="1:15" x14ac:dyDescent="0.2">
      <c r="A267" s="80"/>
      <c r="B267" s="95" t="s">
        <v>111</v>
      </c>
      <c r="C267" s="80"/>
      <c r="D267" s="80"/>
      <c r="E267" s="80"/>
      <c r="F267" s="80" t="s">
        <v>113</v>
      </c>
      <c r="G267" s="81"/>
      <c r="H267" s="81"/>
      <c r="I267" s="81"/>
      <c r="J267" s="81"/>
      <c r="K267" s="81"/>
      <c r="L267" s="81"/>
      <c r="M267" s="82">
        <v>-46177.23</v>
      </c>
      <c r="N267" s="82">
        <v>-46177.23</v>
      </c>
      <c r="O267" s="82">
        <v>-46177.23</v>
      </c>
    </row>
    <row r="268" spans="1:15" x14ac:dyDescent="0.2">
      <c r="A268" s="80"/>
      <c r="B268" s="95" t="s">
        <v>114</v>
      </c>
      <c r="C268" s="80"/>
      <c r="D268" s="80"/>
      <c r="E268" s="80"/>
      <c r="F268" s="80" t="s">
        <v>38</v>
      </c>
      <c r="G268" s="81"/>
      <c r="H268" s="81"/>
      <c r="I268" s="81"/>
      <c r="J268" s="81"/>
      <c r="K268" s="81"/>
      <c r="L268" s="81"/>
      <c r="M268" s="82">
        <v>-71759.899999999994</v>
      </c>
      <c r="N268" s="82">
        <v>-71759.899999999994</v>
      </c>
      <c r="O268" s="82">
        <v>-71759.899999999994</v>
      </c>
    </row>
    <row r="269" spans="1:15" x14ac:dyDescent="0.2">
      <c r="A269" s="80"/>
      <c r="B269" s="95" t="s">
        <v>115</v>
      </c>
      <c r="C269" s="80"/>
      <c r="D269" s="80"/>
      <c r="E269" s="80"/>
      <c r="F269" s="80" t="s">
        <v>64</v>
      </c>
      <c r="G269" s="81"/>
      <c r="H269" s="81"/>
      <c r="I269" s="81"/>
      <c r="J269" s="81"/>
      <c r="K269" s="81"/>
      <c r="L269" s="81"/>
      <c r="M269" s="82">
        <v>-72408.600000000006</v>
      </c>
      <c r="N269" s="82">
        <v>-72408.600000000006</v>
      </c>
      <c r="O269" s="82">
        <v>-72408.600000000006</v>
      </c>
    </row>
    <row r="270" spans="1:15" x14ac:dyDescent="0.2">
      <c r="A270" s="80"/>
      <c r="B270" s="95" t="s">
        <v>727</v>
      </c>
      <c r="C270" s="80"/>
      <c r="D270" s="80"/>
      <c r="E270" s="80"/>
      <c r="F270" s="80" t="s">
        <v>728</v>
      </c>
      <c r="G270" s="81"/>
      <c r="H270" s="81"/>
      <c r="I270" s="81"/>
      <c r="J270" s="81"/>
      <c r="K270" s="81"/>
      <c r="L270" s="81"/>
      <c r="M270" s="82">
        <v>-840088.11</v>
      </c>
      <c r="N270" s="82">
        <v>-840088.11</v>
      </c>
      <c r="O270" s="82">
        <v>-840088.11</v>
      </c>
    </row>
    <row r="271" spans="1:15" x14ac:dyDescent="0.2">
      <c r="A271" s="80"/>
      <c r="B271" s="95" t="s">
        <v>727</v>
      </c>
      <c r="C271" s="80"/>
      <c r="D271" s="80"/>
      <c r="E271" s="80"/>
      <c r="F271" s="80" t="s">
        <v>729</v>
      </c>
      <c r="G271" s="81"/>
      <c r="H271" s="81"/>
      <c r="I271" s="81"/>
      <c r="J271" s="81"/>
      <c r="K271" s="81"/>
      <c r="L271" s="81"/>
      <c r="M271" s="82">
        <v>-297741.08</v>
      </c>
      <c r="N271" s="82">
        <v>-297741.08</v>
      </c>
      <c r="O271" s="82">
        <v>-297741.08</v>
      </c>
    </row>
    <row r="272" spans="1:15" x14ac:dyDescent="0.2">
      <c r="A272" s="80"/>
      <c r="B272" s="95" t="s">
        <v>116</v>
      </c>
      <c r="C272" s="80"/>
      <c r="D272" s="80"/>
      <c r="E272" s="80"/>
      <c r="F272" s="80" t="s">
        <v>38</v>
      </c>
      <c r="G272" s="81"/>
      <c r="H272" s="81"/>
      <c r="I272" s="81"/>
      <c r="J272" s="81"/>
      <c r="K272" s="81"/>
      <c r="L272" s="81"/>
      <c r="M272" s="82">
        <v>-70097.98</v>
      </c>
      <c r="N272" s="82">
        <v>-70097.98</v>
      </c>
      <c r="O272" s="82">
        <v>-70097.98</v>
      </c>
    </row>
    <row r="273" spans="1:15" x14ac:dyDescent="0.2">
      <c r="A273" s="80"/>
      <c r="B273" s="95" t="s">
        <v>116</v>
      </c>
      <c r="C273" s="80"/>
      <c r="D273" s="80"/>
      <c r="E273" s="80"/>
      <c r="F273" s="80" t="s">
        <v>723</v>
      </c>
      <c r="G273" s="81"/>
      <c r="H273" s="81"/>
      <c r="I273" s="81"/>
      <c r="J273" s="81"/>
      <c r="K273" s="81"/>
      <c r="L273" s="81"/>
      <c r="M273" s="82">
        <v>-100506.83</v>
      </c>
      <c r="N273" s="82">
        <v>-100506.83</v>
      </c>
      <c r="O273" s="82">
        <v>-100506.83</v>
      </c>
    </row>
    <row r="274" spans="1:15" x14ac:dyDescent="0.2">
      <c r="A274" s="80"/>
      <c r="B274" s="95" t="s">
        <v>116</v>
      </c>
      <c r="C274" s="80"/>
      <c r="D274" s="80"/>
      <c r="E274" s="80"/>
      <c r="F274" s="80" t="s">
        <v>66</v>
      </c>
      <c r="G274" s="81"/>
      <c r="H274" s="81"/>
      <c r="I274" s="81"/>
      <c r="J274" s="81"/>
      <c r="K274" s="81"/>
      <c r="L274" s="81"/>
      <c r="M274" s="82">
        <v>-63848.24</v>
      </c>
      <c r="N274" s="82">
        <v>-63848.24</v>
      </c>
      <c r="O274" s="82">
        <v>-63848.24</v>
      </c>
    </row>
    <row r="275" spans="1:15" x14ac:dyDescent="0.2">
      <c r="A275" s="80"/>
      <c r="B275" s="95" t="s">
        <v>117</v>
      </c>
      <c r="C275" s="80"/>
      <c r="D275" s="80"/>
      <c r="E275" s="80"/>
      <c r="F275" s="80" t="s">
        <v>118</v>
      </c>
      <c r="G275" s="81"/>
      <c r="H275" s="81"/>
      <c r="I275" s="81"/>
      <c r="J275" s="81"/>
      <c r="K275" s="81"/>
      <c r="L275" s="81"/>
      <c r="M275" s="82">
        <v>-1759.12</v>
      </c>
      <c r="N275" s="82">
        <v>-1759.12</v>
      </c>
      <c r="O275" s="82">
        <v>-1759.12</v>
      </c>
    </row>
    <row r="276" spans="1:15" x14ac:dyDescent="0.2">
      <c r="A276" s="80"/>
      <c r="B276" s="95" t="s">
        <v>730</v>
      </c>
      <c r="C276" s="80"/>
      <c r="D276" s="80"/>
      <c r="E276" s="80"/>
      <c r="F276" s="80" t="s">
        <v>725</v>
      </c>
      <c r="G276" s="81"/>
      <c r="H276" s="81"/>
      <c r="I276" s="81"/>
      <c r="J276" s="81"/>
      <c r="K276" s="81"/>
      <c r="L276" s="81"/>
      <c r="M276" s="82">
        <v>-69037.63</v>
      </c>
      <c r="N276" s="82">
        <v>-69037.63</v>
      </c>
      <c r="O276" s="82">
        <v>-69037.63</v>
      </c>
    </row>
    <row r="277" spans="1:15" x14ac:dyDescent="0.2">
      <c r="A277" s="80"/>
      <c r="B277" s="95" t="s">
        <v>119</v>
      </c>
      <c r="C277" s="80"/>
      <c r="D277" s="80"/>
      <c r="E277" s="80"/>
      <c r="F277" s="80" t="s">
        <v>113</v>
      </c>
      <c r="G277" s="81"/>
      <c r="H277" s="81"/>
      <c r="I277" s="81"/>
      <c r="J277" s="81"/>
      <c r="K277" s="81"/>
      <c r="L277" s="81"/>
      <c r="M277" s="82">
        <v>-50473</v>
      </c>
      <c r="N277" s="82">
        <v>-50473</v>
      </c>
      <c r="O277" s="82">
        <v>-50473</v>
      </c>
    </row>
    <row r="278" spans="1:15" x14ac:dyDescent="0.2">
      <c r="A278" s="80"/>
      <c r="B278" s="95" t="s">
        <v>120</v>
      </c>
      <c r="C278" s="80"/>
      <c r="D278" s="80"/>
      <c r="E278" s="80"/>
      <c r="F278" s="80" t="s">
        <v>42</v>
      </c>
      <c r="G278" s="81"/>
      <c r="H278" s="81"/>
      <c r="I278" s="81"/>
      <c r="J278" s="81"/>
      <c r="K278" s="81"/>
      <c r="L278" s="81"/>
      <c r="M278" s="82">
        <v>-53892.24</v>
      </c>
      <c r="N278" s="82">
        <v>-53892.24</v>
      </c>
      <c r="O278" s="82">
        <v>-53892.24</v>
      </c>
    </row>
    <row r="279" spans="1:15" x14ac:dyDescent="0.2">
      <c r="A279" s="80"/>
      <c r="B279" s="95" t="s">
        <v>120</v>
      </c>
      <c r="C279" s="80"/>
      <c r="D279" s="80"/>
      <c r="E279" s="80"/>
      <c r="F279" s="80" t="s">
        <v>38</v>
      </c>
      <c r="G279" s="81"/>
      <c r="H279" s="81"/>
      <c r="I279" s="81"/>
      <c r="J279" s="81"/>
      <c r="K279" s="81"/>
      <c r="L279" s="81"/>
      <c r="M279" s="82">
        <v>-51832.3</v>
      </c>
      <c r="N279" s="82">
        <v>-51832.3</v>
      </c>
      <c r="O279" s="82">
        <v>-51832.3</v>
      </c>
    </row>
    <row r="280" spans="1:15" x14ac:dyDescent="0.2">
      <c r="A280" s="80"/>
      <c r="B280" s="95" t="s">
        <v>120</v>
      </c>
      <c r="C280" s="80"/>
      <c r="D280" s="80"/>
      <c r="E280" s="80"/>
      <c r="F280" s="80" t="s">
        <v>39</v>
      </c>
      <c r="G280" s="81"/>
      <c r="H280" s="81"/>
      <c r="I280" s="81"/>
      <c r="J280" s="81"/>
      <c r="K280" s="81"/>
      <c r="L280" s="81"/>
      <c r="M280" s="82">
        <v>-48057.97</v>
      </c>
      <c r="N280" s="82">
        <v>-48057.97</v>
      </c>
      <c r="O280" s="82">
        <v>-48057.97</v>
      </c>
    </row>
    <row r="281" spans="1:15" x14ac:dyDescent="0.2">
      <c r="A281" s="80"/>
      <c r="B281" s="95" t="s">
        <v>121</v>
      </c>
      <c r="C281" s="80"/>
      <c r="D281" s="80"/>
      <c r="E281" s="80"/>
      <c r="F281" s="80" t="s">
        <v>63</v>
      </c>
      <c r="G281" s="81"/>
      <c r="H281" s="81"/>
      <c r="I281" s="81"/>
      <c r="J281" s="81"/>
      <c r="K281" s="81"/>
      <c r="L281" s="81"/>
      <c r="M281" s="82">
        <v>-56290.6</v>
      </c>
      <c r="N281" s="82">
        <v>-56290.6</v>
      </c>
      <c r="O281" s="82">
        <v>-56290.6</v>
      </c>
    </row>
    <row r="282" spans="1:15" x14ac:dyDescent="0.2">
      <c r="A282" s="80"/>
      <c r="B282" s="95" t="s">
        <v>125</v>
      </c>
      <c r="C282" s="80"/>
      <c r="D282" s="80"/>
      <c r="E282" s="80"/>
      <c r="F282" s="80" t="s">
        <v>731</v>
      </c>
      <c r="G282" s="81"/>
      <c r="H282" s="81"/>
      <c r="I282" s="81"/>
      <c r="J282" s="81"/>
      <c r="K282" s="81"/>
      <c r="L282" s="81"/>
      <c r="M282" s="82">
        <v>-78018.33</v>
      </c>
      <c r="N282" s="82">
        <v>-78018.33</v>
      </c>
      <c r="O282" s="82">
        <v>-78018.33</v>
      </c>
    </row>
    <row r="283" spans="1:15" x14ac:dyDescent="0.2">
      <c r="A283" s="80"/>
      <c r="B283" s="95" t="s">
        <v>127</v>
      </c>
      <c r="C283" s="80"/>
      <c r="D283" s="80"/>
      <c r="E283" s="80"/>
      <c r="F283" s="80" t="s">
        <v>128</v>
      </c>
      <c r="G283" s="81"/>
      <c r="H283" s="81"/>
      <c r="I283" s="81"/>
      <c r="J283" s="81"/>
      <c r="K283" s="81"/>
      <c r="L283" s="81"/>
      <c r="M283" s="82">
        <v>-7199.46</v>
      </c>
      <c r="N283" s="82">
        <v>-7199.46</v>
      </c>
      <c r="O283" s="82">
        <v>-7199.46</v>
      </c>
    </row>
    <row r="284" spans="1:15" x14ac:dyDescent="0.2">
      <c r="A284" s="80"/>
      <c r="B284" s="95" t="s">
        <v>732</v>
      </c>
      <c r="C284" s="80"/>
      <c r="D284" s="80"/>
      <c r="E284" s="80"/>
      <c r="F284" s="80" t="s">
        <v>723</v>
      </c>
      <c r="G284" s="81"/>
      <c r="H284" s="81"/>
      <c r="I284" s="81"/>
      <c r="J284" s="81"/>
      <c r="K284" s="81"/>
      <c r="L284" s="81"/>
      <c r="M284" s="82">
        <v>-103355.81</v>
      </c>
      <c r="N284" s="82">
        <v>-103355.81</v>
      </c>
      <c r="O284" s="82">
        <v>-103355.81</v>
      </c>
    </row>
    <row r="285" spans="1:15" x14ac:dyDescent="0.2">
      <c r="A285" s="80"/>
      <c r="B285" s="95" t="s">
        <v>133</v>
      </c>
      <c r="C285" s="80"/>
      <c r="D285" s="80"/>
      <c r="E285" s="80"/>
      <c r="F285" s="80" t="s">
        <v>42</v>
      </c>
      <c r="G285" s="81"/>
      <c r="H285" s="81"/>
      <c r="I285" s="81"/>
      <c r="J285" s="81"/>
      <c r="K285" s="81"/>
      <c r="L285" s="81"/>
      <c r="M285" s="82">
        <v>-89872.75</v>
      </c>
      <c r="N285" s="82">
        <v>-89872.75</v>
      </c>
      <c r="O285" s="82">
        <v>-89872.75</v>
      </c>
    </row>
    <row r="286" spans="1:15" x14ac:dyDescent="0.2">
      <c r="A286" s="80"/>
      <c r="B286" s="95" t="s">
        <v>134</v>
      </c>
      <c r="C286" s="80"/>
      <c r="D286" s="80"/>
      <c r="E286" s="80"/>
      <c r="F286" s="80" t="s">
        <v>63</v>
      </c>
      <c r="G286" s="81"/>
      <c r="H286" s="81"/>
      <c r="I286" s="81"/>
      <c r="J286" s="81"/>
      <c r="K286" s="81"/>
      <c r="L286" s="81"/>
      <c r="M286" s="82">
        <v>-10188</v>
      </c>
      <c r="N286" s="82">
        <v>-10188</v>
      </c>
      <c r="O286" s="82">
        <v>-10188</v>
      </c>
    </row>
    <row r="287" spans="1:15" x14ac:dyDescent="0.2">
      <c r="A287" s="80"/>
      <c r="B287" s="95" t="s">
        <v>135</v>
      </c>
      <c r="C287" s="80"/>
      <c r="D287" s="80"/>
      <c r="E287" s="80"/>
      <c r="F287" s="80" t="s">
        <v>113</v>
      </c>
      <c r="G287" s="81"/>
      <c r="H287" s="81"/>
      <c r="I287" s="81"/>
      <c r="J287" s="81"/>
      <c r="K287" s="81"/>
      <c r="L287" s="81"/>
      <c r="M287" s="82">
        <v>-52095.6</v>
      </c>
      <c r="N287" s="82">
        <v>-52095.6</v>
      </c>
      <c r="O287" s="82">
        <v>-52095.6</v>
      </c>
    </row>
    <row r="288" spans="1:15" x14ac:dyDescent="0.2">
      <c r="A288" s="80"/>
      <c r="B288" s="95" t="s">
        <v>135</v>
      </c>
      <c r="C288" s="80"/>
      <c r="D288" s="80"/>
      <c r="E288" s="80"/>
      <c r="F288" s="80" t="s">
        <v>38</v>
      </c>
      <c r="G288" s="81"/>
      <c r="H288" s="81"/>
      <c r="I288" s="81"/>
      <c r="J288" s="81"/>
      <c r="K288" s="81"/>
      <c r="L288" s="81"/>
      <c r="M288" s="82">
        <v>-73642</v>
      </c>
      <c r="N288" s="82">
        <v>-73642</v>
      </c>
      <c r="O288" s="82">
        <v>-73642</v>
      </c>
    </row>
    <row r="289" spans="1:15" x14ac:dyDescent="0.2">
      <c r="A289" s="80"/>
      <c r="B289" s="95" t="s">
        <v>136</v>
      </c>
      <c r="C289" s="80"/>
      <c r="D289" s="80"/>
      <c r="E289" s="80"/>
      <c r="F289" s="80" t="s">
        <v>113</v>
      </c>
      <c r="G289" s="81"/>
      <c r="H289" s="81"/>
      <c r="I289" s="81"/>
      <c r="J289" s="81"/>
      <c r="K289" s="81"/>
      <c r="L289" s="81"/>
      <c r="M289" s="82">
        <v>-64104.95</v>
      </c>
      <c r="N289" s="82">
        <v>-64104.95</v>
      </c>
      <c r="O289" s="82">
        <v>-64104.95</v>
      </c>
    </row>
    <row r="290" spans="1:15" x14ac:dyDescent="0.2">
      <c r="A290" s="80"/>
      <c r="B290" s="95" t="s">
        <v>733</v>
      </c>
      <c r="C290" s="80"/>
      <c r="D290" s="80"/>
      <c r="E290" s="80"/>
      <c r="F290" s="80" t="s">
        <v>724</v>
      </c>
      <c r="G290" s="81"/>
      <c r="H290" s="81"/>
      <c r="I290" s="81"/>
      <c r="J290" s="81"/>
      <c r="K290" s="81"/>
      <c r="L290" s="81"/>
      <c r="M290" s="82">
        <v>-100000</v>
      </c>
      <c r="N290" s="82">
        <v>-100000</v>
      </c>
      <c r="O290" s="82">
        <v>-100000</v>
      </c>
    </row>
    <row r="291" spans="1:15" x14ac:dyDescent="0.2">
      <c r="A291" s="80"/>
      <c r="B291" s="95" t="s">
        <v>137</v>
      </c>
      <c r="C291" s="80"/>
      <c r="D291" s="80"/>
      <c r="E291" s="80"/>
      <c r="F291" s="80" t="s">
        <v>113</v>
      </c>
      <c r="G291" s="81"/>
      <c r="H291" s="81"/>
      <c r="I291" s="81"/>
      <c r="J291" s="81"/>
      <c r="K291" s="81"/>
      <c r="L291" s="81"/>
      <c r="M291" s="82">
        <v>-42972.72</v>
      </c>
      <c r="N291" s="82">
        <v>-42972.72</v>
      </c>
      <c r="O291" s="82">
        <v>-42972.72</v>
      </c>
    </row>
    <row r="292" spans="1:15" x14ac:dyDescent="0.2">
      <c r="A292" s="80"/>
      <c r="B292" s="95" t="s">
        <v>137</v>
      </c>
      <c r="C292" s="80"/>
      <c r="D292" s="80"/>
      <c r="E292" s="80"/>
      <c r="F292" s="80" t="s">
        <v>66</v>
      </c>
      <c r="G292" s="81"/>
      <c r="H292" s="81"/>
      <c r="I292" s="81"/>
      <c r="J292" s="81"/>
      <c r="K292" s="81"/>
      <c r="L292" s="81"/>
      <c r="M292" s="82">
        <v>-91431.66</v>
      </c>
      <c r="N292" s="82">
        <v>-91431.66</v>
      </c>
      <c r="O292" s="82">
        <v>-91431.66</v>
      </c>
    </row>
    <row r="293" spans="1:15" x14ac:dyDescent="0.2">
      <c r="A293" s="80"/>
      <c r="B293" s="95" t="s">
        <v>138</v>
      </c>
      <c r="C293" s="80"/>
      <c r="D293" s="80"/>
      <c r="E293" s="80"/>
      <c r="F293" s="80" t="s">
        <v>139</v>
      </c>
      <c r="G293" s="81"/>
      <c r="H293" s="81"/>
      <c r="I293" s="81"/>
      <c r="J293" s="81"/>
      <c r="K293" s="81"/>
      <c r="L293" s="81"/>
      <c r="M293" s="82">
        <v>-26738.21</v>
      </c>
      <c r="N293" s="82">
        <v>-26738.21</v>
      </c>
      <c r="O293" s="82">
        <v>-26738.21</v>
      </c>
    </row>
    <row r="294" spans="1:15" x14ac:dyDescent="0.2">
      <c r="A294" s="80"/>
      <c r="B294" s="95" t="s">
        <v>140</v>
      </c>
      <c r="C294" s="80"/>
      <c r="D294" s="80"/>
      <c r="E294" s="80"/>
      <c r="F294" s="80" t="s">
        <v>141</v>
      </c>
      <c r="G294" s="81"/>
      <c r="H294" s="81"/>
      <c r="I294" s="81"/>
      <c r="J294" s="81"/>
      <c r="K294" s="81"/>
      <c r="L294" s="81"/>
      <c r="M294" s="82">
        <v>-625.94000000000005</v>
      </c>
      <c r="N294" s="82">
        <v>-625.94000000000005</v>
      </c>
      <c r="O294" s="82">
        <v>-625.94000000000005</v>
      </c>
    </row>
    <row r="295" spans="1:15" x14ac:dyDescent="0.2">
      <c r="A295" s="80"/>
      <c r="B295" s="95" t="s">
        <v>142</v>
      </c>
      <c r="C295" s="80"/>
      <c r="D295" s="80"/>
      <c r="E295" s="80"/>
      <c r="F295" s="80" t="s">
        <v>104</v>
      </c>
      <c r="G295" s="81"/>
      <c r="H295" s="81"/>
      <c r="I295" s="81"/>
      <c r="J295" s="81"/>
      <c r="K295" s="81"/>
      <c r="L295" s="81"/>
      <c r="M295" s="82">
        <v>-37995.68</v>
      </c>
      <c r="N295" s="82">
        <v>-37995.68</v>
      </c>
      <c r="O295" s="82">
        <v>-37995.68</v>
      </c>
    </row>
    <row r="296" spans="1:15" x14ac:dyDescent="0.2">
      <c r="A296" s="80"/>
      <c r="B296" s="95" t="s">
        <v>143</v>
      </c>
      <c r="C296" s="80"/>
      <c r="D296" s="80"/>
      <c r="E296" s="80"/>
      <c r="F296" s="80" t="s">
        <v>724</v>
      </c>
      <c r="G296" s="81"/>
      <c r="H296" s="81"/>
      <c r="I296" s="81"/>
      <c r="J296" s="81"/>
      <c r="K296" s="81"/>
      <c r="L296" s="81"/>
      <c r="M296" s="82">
        <v>-518277.27</v>
      </c>
      <c r="N296" s="82">
        <v>-518277.27</v>
      </c>
      <c r="O296" s="82">
        <v>-518277.27</v>
      </c>
    </row>
    <row r="297" spans="1:15" x14ac:dyDescent="0.2">
      <c r="A297" s="80"/>
      <c r="B297" s="95" t="s">
        <v>143</v>
      </c>
      <c r="C297" s="80"/>
      <c r="D297" s="80"/>
      <c r="E297" s="80"/>
      <c r="F297" s="80" t="s">
        <v>64</v>
      </c>
      <c r="G297" s="81"/>
      <c r="H297" s="81"/>
      <c r="I297" s="81"/>
      <c r="J297" s="81"/>
      <c r="K297" s="81"/>
      <c r="L297" s="81"/>
      <c r="M297" s="82">
        <v>-87646.26</v>
      </c>
      <c r="N297" s="82">
        <v>-87646.26</v>
      </c>
      <c r="O297" s="82">
        <v>-87646.26</v>
      </c>
    </row>
    <row r="298" spans="1:15" x14ac:dyDescent="0.2">
      <c r="A298" s="80"/>
      <c r="B298" s="95" t="s">
        <v>148</v>
      </c>
      <c r="C298" s="80"/>
      <c r="D298" s="80"/>
      <c r="E298" s="80"/>
      <c r="F298" s="80" t="s">
        <v>38</v>
      </c>
      <c r="G298" s="81"/>
      <c r="H298" s="81"/>
      <c r="I298" s="81"/>
      <c r="J298" s="81"/>
      <c r="K298" s="81"/>
      <c r="L298" s="81"/>
      <c r="M298" s="82">
        <v>-42251.82</v>
      </c>
      <c r="N298" s="82">
        <v>-42251.82</v>
      </c>
      <c r="O298" s="82">
        <v>-42251.82</v>
      </c>
    </row>
    <row r="299" spans="1:15" x14ac:dyDescent="0.2">
      <c r="A299" s="80"/>
      <c r="B299" s="95" t="s">
        <v>148</v>
      </c>
      <c r="C299" s="80"/>
      <c r="D299" s="80"/>
      <c r="E299" s="80"/>
      <c r="F299" s="80" t="s">
        <v>39</v>
      </c>
      <c r="G299" s="81"/>
      <c r="H299" s="81"/>
      <c r="I299" s="81"/>
      <c r="J299" s="81"/>
      <c r="K299" s="81"/>
      <c r="L299" s="81"/>
      <c r="M299" s="82">
        <v>-148633.63</v>
      </c>
      <c r="N299" s="82">
        <v>-148633.63</v>
      </c>
      <c r="O299" s="82">
        <v>-148633.63</v>
      </c>
    </row>
    <row r="300" spans="1:15" x14ac:dyDescent="0.2">
      <c r="A300" s="80"/>
      <c r="B300" s="95" t="s">
        <v>148</v>
      </c>
      <c r="C300" s="80"/>
      <c r="D300" s="80"/>
      <c r="E300" s="80"/>
      <c r="F300" s="80" t="s">
        <v>723</v>
      </c>
      <c r="G300" s="81"/>
      <c r="H300" s="81"/>
      <c r="I300" s="81"/>
      <c r="J300" s="81"/>
      <c r="K300" s="81"/>
      <c r="L300" s="81"/>
      <c r="M300" s="82">
        <v>-146102.18</v>
      </c>
      <c r="N300" s="82">
        <v>-146102.18</v>
      </c>
      <c r="O300" s="82">
        <v>-146102.18</v>
      </c>
    </row>
    <row r="301" spans="1:15" x14ac:dyDescent="0.2">
      <c r="A301" s="80"/>
      <c r="B301" s="95" t="s">
        <v>149</v>
      </c>
      <c r="C301" s="80"/>
      <c r="D301" s="80"/>
      <c r="E301" s="80"/>
      <c r="F301" s="80" t="s">
        <v>38</v>
      </c>
      <c r="G301" s="81"/>
      <c r="H301" s="81"/>
      <c r="I301" s="81"/>
      <c r="J301" s="81"/>
      <c r="K301" s="81"/>
      <c r="L301" s="81"/>
      <c r="M301" s="82">
        <v>-64094</v>
      </c>
      <c r="N301" s="82">
        <v>-64094</v>
      </c>
      <c r="O301" s="82">
        <v>-64094</v>
      </c>
    </row>
    <row r="302" spans="1:15" x14ac:dyDescent="0.2">
      <c r="A302" s="80"/>
      <c r="B302" s="95" t="s">
        <v>149</v>
      </c>
      <c r="C302" s="80"/>
      <c r="D302" s="80"/>
      <c r="E302" s="80"/>
      <c r="F302" s="80" t="s">
        <v>66</v>
      </c>
      <c r="G302" s="81"/>
      <c r="H302" s="81"/>
      <c r="I302" s="81"/>
      <c r="J302" s="81"/>
      <c r="K302" s="81"/>
      <c r="L302" s="81"/>
      <c r="M302" s="82">
        <v>-85379.88</v>
      </c>
      <c r="N302" s="82">
        <v>-85379.88</v>
      </c>
      <c r="O302" s="82">
        <v>-85379.88</v>
      </c>
    </row>
    <row r="303" spans="1:15" x14ac:dyDescent="0.2">
      <c r="A303" s="80"/>
      <c r="B303" s="95" t="s">
        <v>149</v>
      </c>
      <c r="C303" s="80"/>
      <c r="D303" s="80"/>
      <c r="E303" s="80"/>
      <c r="F303" s="80" t="s">
        <v>725</v>
      </c>
      <c r="G303" s="81"/>
      <c r="H303" s="81"/>
      <c r="I303" s="81"/>
      <c r="J303" s="81"/>
      <c r="K303" s="81"/>
      <c r="L303" s="81"/>
      <c r="M303" s="82">
        <v>-337883.74</v>
      </c>
      <c r="N303" s="82">
        <v>-337883.74</v>
      </c>
      <c r="O303" s="82">
        <v>-337883.74</v>
      </c>
    </row>
    <row r="304" spans="1:15" x14ac:dyDescent="0.2">
      <c r="A304" s="80"/>
      <c r="B304" s="95" t="s">
        <v>150</v>
      </c>
      <c r="C304" s="80"/>
      <c r="D304" s="80"/>
      <c r="E304" s="80"/>
      <c r="F304" s="80" t="s">
        <v>151</v>
      </c>
      <c r="G304" s="81"/>
      <c r="H304" s="81"/>
      <c r="I304" s="81"/>
      <c r="J304" s="81"/>
      <c r="K304" s="81"/>
      <c r="L304" s="81"/>
      <c r="M304" s="82">
        <v>-413.01</v>
      </c>
      <c r="N304" s="82">
        <v>-413.01</v>
      </c>
      <c r="O304" s="82">
        <v>-413.01</v>
      </c>
    </row>
    <row r="305" spans="1:15" x14ac:dyDescent="0.2">
      <c r="A305" s="80"/>
      <c r="B305" s="95" t="s">
        <v>152</v>
      </c>
      <c r="C305" s="80"/>
      <c r="D305" s="80"/>
      <c r="E305" s="80"/>
      <c r="F305" s="80" t="s">
        <v>38</v>
      </c>
      <c r="G305" s="81"/>
      <c r="H305" s="81"/>
      <c r="I305" s="81"/>
      <c r="J305" s="81"/>
      <c r="K305" s="81"/>
      <c r="L305" s="81"/>
      <c r="M305" s="82">
        <v>-35765</v>
      </c>
      <c r="N305" s="82">
        <v>-35765</v>
      </c>
      <c r="O305" s="82">
        <v>-35765</v>
      </c>
    </row>
    <row r="306" spans="1:15" x14ac:dyDescent="0.2">
      <c r="A306" s="80"/>
      <c r="B306" s="95" t="s">
        <v>152</v>
      </c>
      <c r="C306" s="80"/>
      <c r="D306" s="80"/>
      <c r="E306" s="80"/>
      <c r="F306" s="80" t="s">
        <v>153</v>
      </c>
      <c r="G306" s="81"/>
      <c r="H306" s="81"/>
      <c r="I306" s="81"/>
      <c r="J306" s="81"/>
      <c r="K306" s="81"/>
      <c r="L306" s="81"/>
      <c r="M306" s="82">
        <v>-118113</v>
      </c>
      <c r="N306" s="82">
        <v>-118113</v>
      </c>
      <c r="O306" s="82">
        <v>-118113</v>
      </c>
    </row>
    <row r="307" spans="1:15" x14ac:dyDescent="0.2">
      <c r="A307" s="80"/>
      <c r="B307" s="95" t="s">
        <v>152</v>
      </c>
      <c r="C307" s="80"/>
      <c r="D307" s="80"/>
      <c r="E307" s="80"/>
      <c r="F307" s="80" t="s">
        <v>66</v>
      </c>
      <c r="G307" s="81"/>
      <c r="H307" s="81"/>
      <c r="I307" s="81"/>
      <c r="J307" s="81"/>
      <c r="K307" s="81"/>
      <c r="L307" s="81"/>
      <c r="M307" s="82">
        <v>-124300</v>
      </c>
      <c r="N307" s="82">
        <v>-124300</v>
      </c>
      <c r="O307" s="82">
        <v>-124300</v>
      </c>
    </row>
    <row r="308" spans="1:15" x14ac:dyDescent="0.2">
      <c r="A308" s="80"/>
      <c r="B308" s="95" t="s">
        <v>154</v>
      </c>
      <c r="C308" s="80"/>
      <c r="D308" s="80"/>
      <c r="E308" s="80"/>
      <c r="F308" s="80" t="s">
        <v>155</v>
      </c>
      <c r="G308" s="81"/>
      <c r="H308" s="81"/>
      <c r="I308" s="81"/>
      <c r="J308" s="81"/>
      <c r="K308" s="81"/>
      <c r="L308" s="81"/>
      <c r="M308" s="82">
        <v>-53789.88</v>
      </c>
      <c r="N308" s="82">
        <v>-53789.88</v>
      </c>
      <c r="O308" s="82">
        <v>-53789.88</v>
      </c>
    </row>
    <row r="309" spans="1:15" x14ac:dyDescent="0.2">
      <c r="A309" s="80"/>
      <c r="B309" s="95" t="s">
        <v>154</v>
      </c>
      <c r="C309" s="80"/>
      <c r="D309" s="80"/>
      <c r="E309" s="80"/>
      <c r="F309" s="80" t="s">
        <v>39</v>
      </c>
      <c r="G309" s="81"/>
      <c r="H309" s="81"/>
      <c r="I309" s="81"/>
      <c r="J309" s="81"/>
      <c r="K309" s="81"/>
      <c r="L309" s="81"/>
      <c r="M309" s="82">
        <v>-46831.18</v>
      </c>
      <c r="N309" s="82">
        <v>-46831.18</v>
      </c>
      <c r="O309" s="82">
        <v>-46831.18</v>
      </c>
    </row>
    <row r="310" spans="1:15" x14ac:dyDescent="0.2">
      <c r="A310" s="80"/>
      <c r="B310" s="95" t="s">
        <v>156</v>
      </c>
      <c r="C310" s="80"/>
      <c r="D310" s="80"/>
      <c r="E310" s="80"/>
      <c r="F310" s="80" t="s">
        <v>104</v>
      </c>
      <c r="G310" s="81"/>
      <c r="H310" s="81"/>
      <c r="I310" s="81"/>
      <c r="J310" s="81"/>
      <c r="K310" s="81"/>
      <c r="L310" s="81"/>
      <c r="M310" s="82">
        <v>-60350.7</v>
      </c>
      <c r="N310" s="82">
        <v>-60350.7</v>
      </c>
      <c r="O310" s="82">
        <v>-60350.7</v>
      </c>
    </row>
    <row r="311" spans="1:15" x14ac:dyDescent="0.2">
      <c r="A311" s="80"/>
      <c r="B311" s="95" t="s">
        <v>164</v>
      </c>
      <c r="C311" s="80"/>
      <c r="D311" s="80"/>
      <c r="E311" s="80"/>
      <c r="F311" s="80" t="s">
        <v>728</v>
      </c>
      <c r="G311" s="81"/>
      <c r="H311" s="81"/>
      <c r="I311" s="81"/>
      <c r="J311" s="81"/>
      <c r="K311" s="81"/>
      <c r="L311" s="81"/>
      <c r="M311" s="82">
        <v>-79689.460000000006</v>
      </c>
      <c r="N311" s="82">
        <v>-79689.460000000006</v>
      </c>
      <c r="O311" s="82">
        <v>-79689.460000000006</v>
      </c>
    </row>
    <row r="312" spans="1:15" x14ac:dyDescent="0.2">
      <c r="A312" s="80"/>
      <c r="B312" s="96" t="s">
        <v>769</v>
      </c>
      <c r="C312" s="80"/>
      <c r="D312" s="80"/>
      <c r="E312" s="80"/>
      <c r="F312" s="80" t="s">
        <v>724</v>
      </c>
      <c r="G312" s="81"/>
      <c r="H312" s="81"/>
      <c r="I312" s="81"/>
      <c r="J312" s="81"/>
      <c r="K312" s="81"/>
      <c r="L312" s="81"/>
      <c r="M312" s="82">
        <v>-301128.5</v>
      </c>
      <c r="N312" s="82">
        <v>-301128.5</v>
      </c>
      <c r="O312" s="82">
        <v>-301128.5</v>
      </c>
    </row>
    <row r="313" spans="1:15" x14ac:dyDescent="0.2">
      <c r="A313" s="80"/>
      <c r="B313" s="95" t="s">
        <v>173</v>
      </c>
      <c r="C313" s="80"/>
      <c r="D313" s="80"/>
      <c r="E313" s="80"/>
      <c r="F313" s="80" t="s">
        <v>38</v>
      </c>
      <c r="G313" s="81"/>
      <c r="H313" s="81"/>
      <c r="I313" s="81"/>
      <c r="J313" s="81"/>
      <c r="K313" s="81"/>
      <c r="L313" s="81"/>
      <c r="M313" s="82">
        <v>-59365</v>
      </c>
      <c r="N313" s="82">
        <v>-59365</v>
      </c>
      <c r="O313" s="82">
        <v>-59365</v>
      </c>
    </row>
    <row r="314" spans="1:15" x14ac:dyDescent="0.2">
      <c r="A314" s="80"/>
      <c r="B314" s="95" t="s">
        <v>178</v>
      </c>
      <c r="C314" s="80"/>
      <c r="D314" s="80"/>
      <c r="E314" s="80"/>
      <c r="F314" s="80" t="s">
        <v>62</v>
      </c>
      <c r="G314" s="81"/>
      <c r="H314" s="81"/>
      <c r="I314" s="81"/>
      <c r="J314" s="81"/>
      <c r="K314" s="81"/>
      <c r="L314" s="81"/>
      <c r="M314" s="82">
        <v>-104806.62</v>
      </c>
      <c r="N314" s="82">
        <v>-104806.62</v>
      </c>
      <c r="O314" s="82">
        <v>-104806.62</v>
      </c>
    </row>
    <row r="315" spans="1:15" x14ac:dyDescent="0.2">
      <c r="A315" s="80"/>
      <c r="B315" s="95" t="s">
        <v>178</v>
      </c>
      <c r="C315" s="80"/>
      <c r="D315" s="80"/>
      <c r="E315" s="80"/>
      <c r="F315" s="80" t="s">
        <v>38</v>
      </c>
      <c r="G315" s="81"/>
      <c r="H315" s="81"/>
      <c r="I315" s="81"/>
      <c r="J315" s="81"/>
      <c r="K315" s="81"/>
      <c r="L315" s="81"/>
      <c r="M315" s="82">
        <v>-23403.97</v>
      </c>
      <c r="N315" s="82">
        <v>-23403.97</v>
      </c>
      <c r="O315" s="82">
        <v>-23403.97</v>
      </c>
    </row>
    <row r="316" spans="1:15" x14ac:dyDescent="0.2">
      <c r="A316" s="80"/>
      <c r="B316" s="95" t="s">
        <v>178</v>
      </c>
      <c r="C316" s="80"/>
      <c r="D316" s="80"/>
      <c r="E316" s="80"/>
      <c r="F316" s="80" t="s">
        <v>39</v>
      </c>
      <c r="G316" s="81"/>
      <c r="H316" s="81"/>
      <c r="I316" s="81"/>
      <c r="J316" s="81"/>
      <c r="K316" s="81"/>
      <c r="L316" s="81"/>
      <c r="M316" s="82">
        <v>-126767.75</v>
      </c>
      <c r="N316" s="82">
        <v>-126767.75</v>
      </c>
      <c r="O316" s="82">
        <v>-126767.75</v>
      </c>
    </row>
    <row r="317" spans="1:15" x14ac:dyDescent="0.2">
      <c r="A317" s="80"/>
      <c r="B317" s="95" t="s">
        <v>178</v>
      </c>
      <c r="C317" s="80"/>
      <c r="D317" s="80"/>
      <c r="E317" s="80"/>
      <c r="F317" s="80" t="s">
        <v>724</v>
      </c>
      <c r="G317" s="81"/>
      <c r="H317" s="81"/>
      <c r="I317" s="81"/>
      <c r="J317" s="81"/>
      <c r="K317" s="81"/>
      <c r="L317" s="81"/>
      <c r="M317" s="82">
        <v>-307587.96000000002</v>
      </c>
      <c r="N317" s="82">
        <v>-307587.96000000002</v>
      </c>
      <c r="O317" s="82">
        <v>-307587.96000000002</v>
      </c>
    </row>
    <row r="318" spans="1:15" x14ac:dyDescent="0.2">
      <c r="A318" s="80"/>
      <c r="B318" s="95" t="s">
        <v>178</v>
      </c>
      <c r="C318" s="80"/>
      <c r="D318" s="80"/>
      <c r="E318" s="80"/>
      <c r="F318" s="80" t="s">
        <v>64</v>
      </c>
      <c r="G318" s="81"/>
      <c r="H318" s="81"/>
      <c r="I318" s="81"/>
      <c r="J318" s="81"/>
      <c r="K318" s="81"/>
      <c r="L318" s="81"/>
      <c r="M318" s="82">
        <v>-100111.42</v>
      </c>
      <c r="N318" s="82">
        <v>-100111.42</v>
      </c>
      <c r="O318" s="82">
        <v>-100111.42</v>
      </c>
    </row>
    <row r="319" spans="1:15" x14ac:dyDescent="0.2">
      <c r="A319" s="80"/>
      <c r="B319" s="95" t="s">
        <v>178</v>
      </c>
      <c r="C319" s="80"/>
      <c r="D319" s="80"/>
      <c r="E319" s="80"/>
      <c r="F319" s="80" t="s">
        <v>725</v>
      </c>
      <c r="G319" s="81"/>
      <c r="H319" s="81"/>
      <c r="I319" s="81"/>
      <c r="J319" s="81"/>
      <c r="K319" s="81"/>
      <c r="L319" s="81"/>
      <c r="M319" s="82">
        <v>-72821.78</v>
      </c>
      <c r="N319" s="82">
        <v>-72821.78</v>
      </c>
      <c r="O319" s="82">
        <v>-72821.78</v>
      </c>
    </row>
    <row r="320" spans="1:15" x14ac:dyDescent="0.2">
      <c r="A320" s="80"/>
      <c r="B320" s="95" t="s">
        <v>183</v>
      </c>
      <c r="C320" s="80"/>
      <c r="D320" s="80"/>
      <c r="E320" s="80"/>
      <c r="F320" s="80" t="s">
        <v>61</v>
      </c>
      <c r="G320" s="81"/>
      <c r="H320" s="81"/>
      <c r="I320" s="81"/>
      <c r="J320" s="81"/>
      <c r="K320" s="81"/>
      <c r="L320" s="81"/>
      <c r="M320" s="82">
        <v>-18087.14</v>
      </c>
      <c r="N320" s="82">
        <v>-18087.14</v>
      </c>
      <c r="O320" s="82">
        <v>-18087.14</v>
      </c>
    </row>
    <row r="321" spans="1:15" x14ac:dyDescent="0.2">
      <c r="A321" s="80"/>
      <c r="B321" s="95" t="s">
        <v>184</v>
      </c>
      <c r="C321" s="80"/>
      <c r="D321" s="80"/>
      <c r="E321" s="80"/>
      <c r="F321" s="80" t="s">
        <v>113</v>
      </c>
      <c r="G321" s="81"/>
      <c r="H321" s="81"/>
      <c r="I321" s="81"/>
      <c r="J321" s="81"/>
      <c r="K321" s="81"/>
      <c r="L321" s="81"/>
      <c r="M321" s="82">
        <v>-34791.42</v>
      </c>
      <c r="N321" s="82">
        <v>-34791.42</v>
      </c>
      <c r="O321" s="82">
        <v>-34791.42</v>
      </c>
    </row>
    <row r="322" spans="1:15" x14ac:dyDescent="0.2">
      <c r="A322" s="80"/>
      <c r="B322" s="95" t="s">
        <v>734</v>
      </c>
      <c r="C322" s="80"/>
      <c r="D322" s="80"/>
      <c r="E322" s="80"/>
      <c r="F322" s="80" t="s">
        <v>735</v>
      </c>
      <c r="G322" s="81"/>
      <c r="H322" s="81"/>
      <c r="I322" s="81"/>
      <c r="J322" s="81"/>
      <c r="K322" s="81"/>
      <c r="L322" s="81"/>
      <c r="M322" s="82">
        <v>-278680.69</v>
      </c>
      <c r="N322" s="82">
        <v>-278680.69</v>
      </c>
      <c r="O322" s="82">
        <v>-278680.69</v>
      </c>
    </row>
    <row r="323" spans="1:15" x14ac:dyDescent="0.2">
      <c r="A323" s="80"/>
      <c r="B323" s="95" t="s">
        <v>240</v>
      </c>
      <c r="C323" s="80"/>
      <c r="D323" s="80"/>
      <c r="E323" s="80"/>
      <c r="F323" s="80" t="s">
        <v>38</v>
      </c>
      <c r="G323" s="81"/>
      <c r="H323" s="81"/>
      <c r="I323" s="81"/>
      <c r="J323" s="81"/>
      <c r="K323" s="81"/>
      <c r="L323" s="81"/>
      <c r="M323" s="82">
        <v>-3619500.24</v>
      </c>
      <c r="N323" s="82">
        <v>-3619500.24</v>
      </c>
      <c r="O323" s="82">
        <v>-3619500.24</v>
      </c>
    </row>
    <row r="324" spans="1:15" x14ac:dyDescent="0.2">
      <c r="A324" s="80"/>
      <c r="B324" s="95" t="s">
        <v>240</v>
      </c>
      <c r="C324" s="80"/>
      <c r="D324" s="80"/>
      <c r="E324" s="80"/>
      <c r="F324" s="80" t="s">
        <v>64</v>
      </c>
      <c r="G324" s="81"/>
      <c r="H324" s="81"/>
      <c r="I324" s="81"/>
      <c r="J324" s="81"/>
      <c r="K324" s="81"/>
      <c r="L324" s="81"/>
      <c r="M324" s="82">
        <v>-1653924.14</v>
      </c>
      <c r="N324" s="82">
        <v>-1653924.14</v>
      </c>
      <c r="O324" s="82">
        <v>-1653924.14</v>
      </c>
    </row>
    <row r="325" spans="1:15" x14ac:dyDescent="0.2">
      <c r="A325" s="80"/>
      <c r="B325" s="95" t="s">
        <v>240</v>
      </c>
      <c r="C325" s="80"/>
      <c r="D325" s="80"/>
      <c r="E325" s="80"/>
      <c r="F325" s="80" t="s">
        <v>66</v>
      </c>
      <c r="G325" s="81"/>
      <c r="H325" s="81"/>
      <c r="I325" s="81"/>
      <c r="J325" s="81"/>
      <c r="K325" s="81"/>
      <c r="L325" s="81"/>
      <c r="M325" s="82">
        <v>-567716.37</v>
      </c>
      <c r="N325" s="82">
        <v>-567716.37</v>
      </c>
      <c r="O325" s="82">
        <v>-567716.37</v>
      </c>
    </row>
    <row r="326" spans="1:15" x14ac:dyDescent="0.2">
      <c r="A326" s="80"/>
      <c r="B326" s="95" t="s">
        <v>240</v>
      </c>
      <c r="C326" s="80"/>
      <c r="D326" s="80"/>
      <c r="E326" s="80"/>
      <c r="F326" s="80" t="s">
        <v>241</v>
      </c>
      <c r="G326" s="81"/>
      <c r="H326" s="81"/>
      <c r="I326" s="81"/>
      <c r="J326" s="81"/>
      <c r="K326" s="81"/>
      <c r="L326" s="81"/>
      <c r="M326" s="82">
        <v>-200607.93</v>
      </c>
      <c r="N326" s="82">
        <v>-200607.93</v>
      </c>
      <c r="O326" s="82">
        <v>-200607.93</v>
      </c>
    </row>
    <row r="327" spans="1:15" x14ac:dyDescent="0.2">
      <c r="A327" s="80"/>
      <c r="B327" s="95" t="s">
        <v>240</v>
      </c>
      <c r="C327" s="80"/>
      <c r="D327" s="80"/>
      <c r="E327" s="80"/>
      <c r="F327" s="80" t="s">
        <v>242</v>
      </c>
      <c r="G327" s="81"/>
      <c r="H327" s="81"/>
      <c r="I327" s="81"/>
      <c r="J327" s="81"/>
      <c r="K327" s="81"/>
      <c r="L327" s="81"/>
      <c r="M327" s="82">
        <v>-419226.05</v>
      </c>
      <c r="N327" s="82">
        <v>-419226.05</v>
      </c>
      <c r="O327" s="82">
        <v>-419226.05</v>
      </c>
    </row>
    <row r="328" spans="1:15" x14ac:dyDescent="0.2">
      <c r="A328" s="80"/>
      <c r="B328" s="95" t="s">
        <v>256</v>
      </c>
      <c r="C328" s="80"/>
      <c r="D328" s="80"/>
      <c r="E328" s="80"/>
      <c r="F328" s="80" t="s">
        <v>65</v>
      </c>
      <c r="G328" s="81"/>
      <c r="H328" s="81"/>
      <c r="I328" s="81"/>
      <c r="J328" s="81"/>
      <c r="K328" s="81"/>
      <c r="L328" s="81"/>
      <c r="M328" s="82">
        <v>-30000</v>
      </c>
      <c r="N328" s="82">
        <v>-30000</v>
      </c>
      <c r="O328" s="82">
        <v>-30000</v>
      </c>
    </row>
    <row r="329" spans="1:15" x14ac:dyDescent="0.2">
      <c r="A329" s="80"/>
      <c r="B329" s="95" t="s">
        <v>256</v>
      </c>
      <c r="C329" s="80"/>
      <c r="D329" s="80"/>
      <c r="E329" s="80"/>
      <c r="F329" s="80" t="s">
        <v>66</v>
      </c>
      <c r="G329" s="81"/>
      <c r="H329" s="81"/>
      <c r="I329" s="81"/>
      <c r="J329" s="81"/>
      <c r="K329" s="81"/>
      <c r="L329" s="81"/>
      <c r="M329" s="82">
        <v>-84999.4</v>
      </c>
      <c r="N329" s="82">
        <v>-84999.4</v>
      </c>
      <c r="O329" s="82">
        <v>-84999.4</v>
      </c>
    </row>
    <row r="330" spans="1:15" x14ac:dyDescent="0.2">
      <c r="A330" s="80"/>
      <c r="B330" s="95" t="s">
        <v>258</v>
      </c>
      <c r="C330" s="80"/>
      <c r="D330" s="80"/>
      <c r="E330" s="80"/>
      <c r="F330" s="80" t="s">
        <v>63</v>
      </c>
      <c r="G330" s="81"/>
      <c r="H330" s="81"/>
      <c r="I330" s="81"/>
      <c r="J330" s="81"/>
      <c r="K330" s="81"/>
      <c r="L330" s="81"/>
      <c r="M330" s="82">
        <v>-3825.89</v>
      </c>
      <c r="N330" s="82">
        <v>-3825.89</v>
      </c>
      <c r="O330" s="82">
        <v>-3825.89</v>
      </c>
    </row>
    <row r="331" spans="1:15" x14ac:dyDescent="0.2">
      <c r="A331" s="80"/>
      <c r="B331" s="95" t="s">
        <v>258</v>
      </c>
      <c r="C331" s="80"/>
      <c r="D331" s="80"/>
      <c r="E331" s="80"/>
      <c r="F331" s="80" t="s">
        <v>736</v>
      </c>
      <c r="G331" s="81"/>
      <c r="H331" s="81"/>
      <c r="I331" s="81"/>
      <c r="J331" s="81"/>
      <c r="K331" s="81"/>
      <c r="L331" s="81"/>
      <c r="M331" s="82">
        <v>-315791.78999999998</v>
      </c>
      <c r="N331" s="82">
        <v>-315791.78999999998</v>
      </c>
      <c r="O331" s="82">
        <v>-315791.78999999998</v>
      </c>
    </row>
    <row r="332" spans="1:15" x14ac:dyDescent="0.2">
      <c r="A332" s="80"/>
      <c r="B332" s="95" t="s">
        <v>265</v>
      </c>
      <c r="C332" s="80"/>
      <c r="D332" s="80"/>
      <c r="E332" s="80"/>
      <c r="F332" s="80" t="s">
        <v>42</v>
      </c>
      <c r="G332" s="81"/>
      <c r="H332" s="81"/>
      <c r="I332" s="81"/>
      <c r="J332" s="81"/>
      <c r="K332" s="81"/>
      <c r="L332" s="81"/>
      <c r="M332" s="82">
        <v>-186571</v>
      </c>
      <c r="N332" s="82">
        <v>-186571</v>
      </c>
      <c r="O332" s="82">
        <v>-186571</v>
      </c>
    </row>
    <row r="333" spans="1:15" x14ac:dyDescent="0.2">
      <c r="A333" s="80"/>
      <c r="B333" s="95" t="s">
        <v>265</v>
      </c>
      <c r="C333" s="80"/>
      <c r="D333" s="80"/>
      <c r="E333" s="80"/>
      <c r="F333" s="80" t="s">
        <v>38</v>
      </c>
      <c r="G333" s="81"/>
      <c r="H333" s="81"/>
      <c r="I333" s="81"/>
      <c r="J333" s="81"/>
      <c r="K333" s="81"/>
      <c r="L333" s="81"/>
      <c r="M333" s="82">
        <v>-4628</v>
      </c>
      <c r="N333" s="82">
        <v>-4628</v>
      </c>
      <c r="O333" s="82">
        <v>-4628</v>
      </c>
    </row>
    <row r="334" spans="1:15" x14ac:dyDescent="0.2">
      <c r="A334" s="80"/>
      <c r="B334" s="95" t="s">
        <v>265</v>
      </c>
      <c r="C334" s="80"/>
      <c r="D334" s="80"/>
      <c r="E334" s="80"/>
      <c r="F334" s="80" t="s">
        <v>40</v>
      </c>
      <c r="G334" s="81"/>
      <c r="H334" s="81"/>
      <c r="I334" s="81"/>
      <c r="J334" s="81"/>
      <c r="K334" s="81"/>
      <c r="L334" s="81"/>
      <c r="M334" s="82">
        <v>-59947.96</v>
      </c>
      <c r="N334" s="82">
        <v>-59947.96</v>
      </c>
      <c r="O334" s="82">
        <v>-59947.96</v>
      </c>
    </row>
    <row r="335" spans="1:15" x14ac:dyDescent="0.2">
      <c r="A335" s="80"/>
      <c r="B335" s="95" t="s">
        <v>266</v>
      </c>
      <c r="C335" s="80"/>
      <c r="D335" s="80"/>
      <c r="E335" s="80"/>
      <c r="F335" s="80" t="s">
        <v>737</v>
      </c>
      <c r="G335" s="81"/>
      <c r="H335" s="81"/>
      <c r="I335" s="81"/>
      <c r="J335" s="81"/>
      <c r="K335" s="81"/>
      <c r="L335" s="81"/>
      <c r="M335" s="82">
        <v>-47278.38</v>
      </c>
      <c r="N335" s="82">
        <v>-47278.38</v>
      </c>
      <c r="O335" s="82">
        <v>-47278.38</v>
      </c>
    </row>
    <row r="336" spans="1:15" x14ac:dyDescent="0.2">
      <c r="A336" s="80"/>
      <c r="B336" s="95" t="s">
        <v>267</v>
      </c>
      <c r="C336" s="80"/>
      <c r="D336" s="80"/>
      <c r="E336" s="80"/>
      <c r="F336" s="80" t="s">
        <v>724</v>
      </c>
      <c r="G336" s="81"/>
      <c r="H336" s="81"/>
      <c r="I336" s="81"/>
      <c r="J336" s="81"/>
      <c r="K336" s="81"/>
      <c r="L336" s="81"/>
      <c r="M336" s="82">
        <v>-52335.03</v>
      </c>
      <c r="N336" s="82">
        <v>-52335.03</v>
      </c>
      <c r="O336" s="82">
        <v>-52335.03</v>
      </c>
    </row>
    <row r="337" spans="1:15" x14ac:dyDescent="0.2">
      <c r="A337" s="80"/>
      <c r="B337" s="95" t="s">
        <v>267</v>
      </c>
      <c r="C337" s="80"/>
      <c r="D337" s="80"/>
      <c r="E337" s="80"/>
      <c r="F337" s="80" t="s">
        <v>268</v>
      </c>
      <c r="G337" s="81"/>
      <c r="H337" s="81"/>
      <c r="I337" s="81"/>
      <c r="J337" s="81"/>
      <c r="K337" s="81"/>
      <c r="L337" s="81"/>
      <c r="M337" s="82">
        <v>-27902.720000000001</v>
      </c>
      <c r="N337" s="82">
        <v>-27902.720000000001</v>
      </c>
      <c r="O337" s="82">
        <v>-27902.720000000001</v>
      </c>
    </row>
    <row r="338" spans="1:15" x14ac:dyDescent="0.2">
      <c r="A338" s="80"/>
      <c r="B338" s="95" t="s">
        <v>267</v>
      </c>
      <c r="C338" s="80"/>
      <c r="D338" s="80"/>
      <c r="E338" s="80"/>
      <c r="F338" s="80" t="s">
        <v>66</v>
      </c>
      <c r="G338" s="81"/>
      <c r="H338" s="81"/>
      <c r="I338" s="81"/>
      <c r="J338" s="81"/>
      <c r="K338" s="81"/>
      <c r="L338" s="81"/>
      <c r="M338" s="82">
        <v>-20128</v>
      </c>
      <c r="N338" s="82">
        <v>-20128</v>
      </c>
      <c r="O338" s="82">
        <v>-20128</v>
      </c>
    </row>
    <row r="339" spans="1:15" x14ac:dyDescent="0.2">
      <c r="A339" s="80"/>
      <c r="B339" s="95" t="s">
        <v>275</v>
      </c>
      <c r="C339" s="80"/>
      <c r="D339" s="80"/>
      <c r="E339" s="80"/>
      <c r="F339" s="80" t="s">
        <v>38</v>
      </c>
      <c r="G339" s="81"/>
      <c r="H339" s="81"/>
      <c r="I339" s="81"/>
      <c r="J339" s="81"/>
      <c r="K339" s="81"/>
      <c r="L339" s="81"/>
      <c r="M339" s="82">
        <v>-19234.5</v>
      </c>
      <c r="N339" s="82">
        <v>-19234.5</v>
      </c>
      <c r="O339" s="82">
        <v>-19234.5</v>
      </c>
    </row>
    <row r="340" spans="1:15" x14ac:dyDescent="0.2">
      <c r="A340" s="80"/>
      <c r="B340" s="95" t="s">
        <v>275</v>
      </c>
      <c r="C340" s="80"/>
      <c r="D340" s="80"/>
      <c r="E340" s="80"/>
      <c r="F340" s="80" t="s">
        <v>724</v>
      </c>
      <c r="G340" s="81"/>
      <c r="H340" s="81"/>
      <c r="I340" s="81"/>
      <c r="J340" s="81"/>
      <c r="K340" s="81"/>
      <c r="L340" s="81"/>
      <c r="M340" s="82">
        <v>-100000</v>
      </c>
      <c r="N340" s="82">
        <v>-100000</v>
      </c>
      <c r="O340" s="82">
        <v>-100000</v>
      </c>
    </row>
    <row r="341" spans="1:15" x14ac:dyDescent="0.2">
      <c r="A341" s="80"/>
      <c r="B341" s="95" t="s">
        <v>276</v>
      </c>
      <c r="C341" s="80"/>
      <c r="D341" s="80"/>
      <c r="E341" s="80"/>
      <c r="F341" s="80" t="s">
        <v>113</v>
      </c>
      <c r="G341" s="81"/>
      <c r="H341" s="81"/>
      <c r="I341" s="81"/>
      <c r="J341" s="81"/>
      <c r="K341" s="81"/>
      <c r="L341" s="81"/>
      <c r="M341" s="82">
        <v>-46500</v>
      </c>
      <c r="N341" s="82">
        <v>-46500</v>
      </c>
      <c r="O341" s="82">
        <v>-46500</v>
      </c>
    </row>
    <row r="342" spans="1:15" x14ac:dyDescent="0.2">
      <c r="A342" s="80"/>
      <c r="B342" s="95" t="s">
        <v>279</v>
      </c>
      <c r="C342" s="80"/>
      <c r="D342" s="80"/>
      <c r="E342" s="80"/>
      <c r="F342" s="80" t="s">
        <v>723</v>
      </c>
      <c r="G342" s="81"/>
      <c r="H342" s="81"/>
      <c r="I342" s="81"/>
      <c r="J342" s="81"/>
      <c r="K342" s="81"/>
      <c r="L342" s="81"/>
      <c r="M342" s="82">
        <v>-232483.92</v>
      </c>
      <c r="N342" s="82">
        <v>-232483.92</v>
      </c>
      <c r="O342" s="82">
        <v>-232483.92</v>
      </c>
    </row>
    <row r="343" spans="1:15" x14ac:dyDescent="0.2">
      <c r="A343" s="80"/>
      <c r="B343" s="95" t="s">
        <v>279</v>
      </c>
      <c r="C343" s="80"/>
      <c r="D343" s="80"/>
      <c r="E343" s="80"/>
      <c r="F343" s="80" t="s">
        <v>64</v>
      </c>
      <c r="G343" s="81"/>
      <c r="H343" s="81"/>
      <c r="I343" s="81"/>
      <c r="J343" s="81"/>
      <c r="K343" s="81"/>
      <c r="L343" s="81"/>
      <c r="M343" s="82">
        <v>-86937.39</v>
      </c>
      <c r="N343" s="82">
        <v>-86937.39</v>
      </c>
      <c r="O343" s="82">
        <v>-86937.39</v>
      </c>
    </row>
    <row r="344" spans="1:15" x14ac:dyDescent="0.2">
      <c r="A344" s="80"/>
      <c r="B344" s="95" t="s">
        <v>279</v>
      </c>
      <c r="C344" s="80"/>
      <c r="D344" s="80"/>
      <c r="E344" s="80"/>
      <c r="F344" s="80" t="s">
        <v>725</v>
      </c>
      <c r="G344" s="81"/>
      <c r="H344" s="81"/>
      <c r="I344" s="81"/>
      <c r="J344" s="81"/>
      <c r="K344" s="81"/>
      <c r="L344" s="81"/>
      <c r="M344" s="82">
        <v>-71128.600000000006</v>
      </c>
      <c r="N344" s="82">
        <v>-71128.600000000006</v>
      </c>
      <c r="O344" s="82">
        <v>-71128.600000000006</v>
      </c>
    </row>
    <row r="345" spans="1:15" x14ac:dyDescent="0.2">
      <c r="A345" s="80"/>
      <c r="B345" s="95" t="s">
        <v>280</v>
      </c>
      <c r="C345" s="80"/>
      <c r="D345" s="80"/>
      <c r="E345" s="80"/>
      <c r="F345" s="80" t="s">
        <v>139</v>
      </c>
      <c r="G345" s="81"/>
      <c r="H345" s="81"/>
      <c r="I345" s="81"/>
      <c r="J345" s="81"/>
      <c r="K345" s="81"/>
      <c r="L345" s="81"/>
      <c r="M345" s="82">
        <v>-16985403</v>
      </c>
      <c r="N345" s="82">
        <v>-16985403</v>
      </c>
      <c r="O345" s="82">
        <v>-16985403</v>
      </c>
    </row>
    <row r="346" spans="1:15" x14ac:dyDescent="0.2">
      <c r="A346" s="80"/>
      <c r="B346" s="95" t="s">
        <v>280</v>
      </c>
      <c r="C346" s="80"/>
      <c r="D346" s="80"/>
      <c r="E346" s="80"/>
      <c r="F346" s="80" t="s">
        <v>281</v>
      </c>
      <c r="G346" s="81"/>
      <c r="H346" s="81"/>
      <c r="I346" s="81"/>
      <c r="J346" s="81"/>
      <c r="K346" s="81"/>
      <c r="L346" s="81"/>
      <c r="M346" s="82">
        <v>-3816976</v>
      </c>
      <c r="N346" s="82">
        <v>-3816976</v>
      </c>
      <c r="O346" s="82">
        <v>-3816976</v>
      </c>
    </row>
    <row r="347" spans="1:15" x14ac:dyDescent="0.2">
      <c r="A347" s="80"/>
      <c r="B347" s="95" t="s">
        <v>280</v>
      </c>
      <c r="C347" s="80"/>
      <c r="D347" s="80"/>
      <c r="E347" s="80"/>
      <c r="F347" s="80" t="s">
        <v>40</v>
      </c>
      <c r="G347" s="81"/>
      <c r="H347" s="81"/>
      <c r="I347" s="81"/>
      <c r="J347" s="81"/>
      <c r="K347" s="81"/>
      <c r="L347" s="81"/>
      <c r="M347" s="82">
        <v>-1945891.36</v>
      </c>
      <c r="N347" s="82">
        <v>-1945891.36</v>
      </c>
      <c r="O347" s="82">
        <v>-1945891.36</v>
      </c>
    </row>
    <row r="348" spans="1:15" x14ac:dyDescent="0.2">
      <c r="A348" s="80"/>
      <c r="B348" s="95" t="s">
        <v>280</v>
      </c>
      <c r="C348" s="80"/>
      <c r="D348" s="80"/>
      <c r="E348" s="80"/>
      <c r="F348" s="80" t="s">
        <v>282</v>
      </c>
      <c r="G348" s="81"/>
      <c r="H348" s="81"/>
      <c r="I348" s="81"/>
      <c r="J348" s="81"/>
      <c r="K348" s="81"/>
      <c r="L348" s="81"/>
      <c r="M348" s="82">
        <v>-900778.32</v>
      </c>
      <c r="N348" s="82">
        <v>-900778.32</v>
      </c>
      <c r="O348" s="82">
        <v>-900778.32</v>
      </c>
    </row>
    <row r="349" spans="1:15" x14ac:dyDescent="0.2">
      <c r="A349" s="80"/>
      <c r="B349" s="95" t="s">
        <v>280</v>
      </c>
      <c r="C349" s="80"/>
      <c r="D349" s="80"/>
      <c r="E349" s="80"/>
      <c r="F349" s="80" t="s">
        <v>283</v>
      </c>
      <c r="G349" s="81"/>
      <c r="H349" s="81"/>
      <c r="I349" s="81"/>
      <c r="J349" s="81"/>
      <c r="K349" s="81"/>
      <c r="L349" s="81"/>
      <c r="M349" s="82">
        <v>-1397655</v>
      </c>
      <c r="N349" s="82">
        <v>-1397655</v>
      </c>
      <c r="O349" s="82">
        <v>-1397655</v>
      </c>
    </row>
    <row r="350" spans="1:15" x14ac:dyDescent="0.2">
      <c r="A350" s="80"/>
      <c r="B350" s="95" t="s">
        <v>285</v>
      </c>
      <c r="C350" s="80"/>
      <c r="D350" s="80"/>
      <c r="E350" s="80"/>
      <c r="F350" s="80" t="s">
        <v>42</v>
      </c>
      <c r="G350" s="81"/>
      <c r="H350" s="81"/>
      <c r="I350" s="81"/>
      <c r="J350" s="81"/>
      <c r="K350" s="81"/>
      <c r="L350" s="81"/>
      <c r="M350" s="82">
        <v>-3278285.78</v>
      </c>
      <c r="N350" s="82">
        <v>-3278285.78</v>
      </c>
      <c r="O350" s="82">
        <v>-3278285.78</v>
      </c>
    </row>
    <row r="351" spans="1:15" x14ac:dyDescent="0.2">
      <c r="A351" s="80"/>
      <c r="B351" s="95" t="s">
        <v>285</v>
      </c>
      <c r="C351" s="80"/>
      <c r="D351" s="80"/>
      <c r="E351" s="80"/>
      <c r="F351" s="80" t="s">
        <v>38</v>
      </c>
      <c r="G351" s="81"/>
      <c r="H351" s="81"/>
      <c r="I351" s="81"/>
      <c r="J351" s="81"/>
      <c r="K351" s="81"/>
      <c r="L351" s="81"/>
      <c r="M351" s="82">
        <v>-5357683.8899999997</v>
      </c>
      <c r="N351" s="82">
        <v>-5357683.8899999997</v>
      </c>
      <c r="O351" s="82">
        <v>-5357683.8899999997</v>
      </c>
    </row>
    <row r="352" spans="1:15" x14ac:dyDescent="0.2">
      <c r="A352" s="80"/>
      <c r="B352" s="95" t="s">
        <v>285</v>
      </c>
      <c r="C352" s="80"/>
      <c r="D352" s="80"/>
      <c r="E352" s="80"/>
      <c r="F352" s="80" t="s">
        <v>155</v>
      </c>
      <c r="G352" s="81"/>
      <c r="H352" s="81"/>
      <c r="I352" s="81"/>
      <c r="J352" s="81"/>
      <c r="K352" s="81"/>
      <c r="L352" s="81"/>
      <c r="M352" s="82">
        <v>-321279.77</v>
      </c>
      <c r="N352" s="82">
        <v>-321279.77</v>
      </c>
      <c r="O352" s="82">
        <v>-321279.77</v>
      </c>
    </row>
    <row r="353" spans="1:15" x14ac:dyDescent="0.2">
      <c r="A353" s="80"/>
      <c r="B353" s="95" t="s">
        <v>285</v>
      </c>
      <c r="C353" s="80"/>
      <c r="D353" s="80"/>
      <c r="E353" s="80"/>
      <c r="F353" s="80" t="s">
        <v>39</v>
      </c>
      <c r="G353" s="81"/>
      <c r="H353" s="81"/>
      <c r="I353" s="81"/>
      <c r="J353" s="81"/>
      <c r="K353" s="81"/>
      <c r="L353" s="81"/>
      <c r="M353" s="82">
        <v>-2871629.07</v>
      </c>
      <c r="N353" s="82">
        <v>-2871629.07</v>
      </c>
      <c r="O353" s="82">
        <v>-2871629.07</v>
      </c>
    </row>
    <row r="354" spans="1:15" x14ac:dyDescent="0.2">
      <c r="A354" s="80"/>
      <c r="B354" s="95" t="s">
        <v>285</v>
      </c>
      <c r="C354" s="80"/>
      <c r="D354" s="80"/>
      <c r="E354" s="80"/>
      <c r="F354" s="80" t="s">
        <v>724</v>
      </c>
      <c r="G354" s="81"/>
      <c r="H354" s="81"/>
      <c r="I354" s="81"/>
      <c r="J354" s="81"/>
      <c r="K354" s="81"/>
      <c r="L354" s="81"/>
      <c r="M354" s="82">
        <v>-2839095.67</v>
      </c>
      <c r="N354" s="82">
        <v>-2839095.67</v>
      </c>
      <c r="O354" s="82">
        <v>-2839095.67</v>
      </c>
    </row>
    <row r="355" spans="1:15" x14ac:dyDescent="0.2">
      <c r="A355" s="80"/>
      <c r="B355" s="95" t="s">
        <v>285</v>
      </c>
      <c r="C355" s="80"/>
      <c r="D355" s="80"/>
      <c r="E355" s="80"/>
      <c r="F355" s="80" t="s">
        <v>64</v>
      </c>
      <c r="G355" s="81"/>
      <c r="H355" s="81"/>
      <c r="I355" s="81"/>
      <c r="J355" s="81"/>
      <c r="K355" s="81"/>
      <c r="L355" s="81"/>
      <c r="M355" s="82">
        <v>-481955.29</v>
      </c>
      <c r="N355" s="82">
        <v>-481955.29</v>
      </c>
      <c r="O355" s="82">
        <v>-481955.29</v>
      </c>
    </row>
    <row r="356" spans="1:15" x14ac:dyDescent="0.2">
      <c r="A356" s="80"/>
      <c r="B356" s="95" t="s">
        <v>285</v>
      </c>
      <c r="C356" s="80"/>
      <c r="D356" s="80"/>
      <c r="E356" s="80"/>
      <c r="F356" s="80" t="s">
        <v>725</v>
      </c>
      <c r="G356" s="81"/>
      <c r="H356" s="81"/>
      <c r="I356" s="81"/>
      <c r="J356" s="81"/>
      <c r="K356" s="81"/>
      <c r="L356" s="81"/>
      <c r="M356" s="82">
        <v>-828931.38</v>
      </c>
      <c r="N356" s="82">
        <v>-828931.38</v>
      </c>
      <c r="O356" s="82">
        <v>-828931.38</v>
      </c>
    </row>
    <row r="357" spans="1:15" x14ac:dyDescent="0.2">
      <c r="A357" s="80"/>
      <c r="B357" s="95" t="s">
        <v>292</v>
      </c>
      <c r="C357" s="80"/>
      <c r="D357" s="80"/>
      <c r="E357" s="80"/>
      <c r="F357" s="80" t="s">
        <v>104</v>
      </c>
      <c r="G357" s="81"/>
      <c r="H357" s="81"/>
      <c r="I357" s="81"/>
      <c r="J357" s="81"/>
      <c r="K357" s="81"/>
      <c r="L357" s="81"/>
      <c r="M357" s="82">
        <v>-384334.6</v>
      </c>
      <c r="N357" s="82">
        <v>-384334.6</v>
      </c>
      <c r="O357" s="82">
        <v>-384334.6</v>
      </c>
    </row>
    <row r="358" spans="1:15" x14ac:dyDescent="0.2">
      <c r="A358" s="80"/>
      <c r="B358" s="95" t="s">
        <v>292</v>
      </c>
      <c r="C358" s="80"/>
      <c r="D358" s="80"/>
      <c r="E358" s="80"/>
      <c r="F358" s="80" t="s">
        <v>38</v>
      </c>
      <c r="G358" s="81"/>
      <c r="H358" s="81"/>
      <c r="I358" s="81"/>
      <c r="J358" s="81"/>
      <c r="K358" s="81"/>
      <c r="L358" s="81"/>
      <c r="M358" s="82">
        <v>-552658.24</v>
      </c>
      <c r="N358" s="82">
        <v>-552658.24</v>
      </c>
      <c r="O358" s="82">
        <v>-552658.24</v>
      </c>
    </row>
    <row r="359" spans="1:15" x14ac:dyDescent="0.2">
      <c r="A359" s="80"/>
      <c r="B359" s="95" t="s">
        <v>294</v>
      </c>
      <c r="C359" s="80"/>
      <c r="D359" s="80"/>
      <c r="E359" s="80"/>
      <c r="F359" s="80" t="s">
        <v>295</v>
      </c>
      <c r="G359" s="81"/>
      <c r="H359" s="81"/>
      <c r="I359" s="81"/>
      <c r="J359" s="81"/>
      <c r="K359" s="81"/>
      <c r="L359" s="81"/>
      <c r="M359" s="82">
        <v>-9</v>
      </c>
      <c r="N359" s="82">
        <v>-9</v>
      </c>
      <c r="O359" s="82">
        <v>-9</v>
      </c>
    </row>
    <row r="360" spans="1:15" x14ac:dyDescent="0.2">
      <c r="A360" s="80"/>
      <c r="B360" s="95" t="s">
        <v>294</v>
      </c>
      <c r="C360" s="80"/>
      <c r="D360" s="80"/>
      <c r="E360" s="80"/>
      <c r="F360" s="80" t="s">
        <v>38</v>
      </c>
      <c r="G360" s="81"/>
      <c r="H360" s="81"/>
      <c r="I360" s="81"/>
      <c r="J360" s="81"/>
      <c r="K360" s="81"/>
      <c r="L360" s="81"/>
      <c r="M360" s="82">
        <v>-137800</v>
      </c>
      <c r="N360" s="82">
        <v>-137800</v>
      </c>
      <c r="O360" s="82">
        <v>-137800</v>
      </c>
    </row>
    <row r="361" spans="1:15" x14ac:dyDescent="0.2">
      <c r="A361" s="80"/>
      <c r="B361" s="95" t="s">
        <v>296</v>
      </c>
      <c r="C361" s="80"/>
      <c r="D361" s="80"/>
      <c r="E361" s="80"/>
      <c r="F361" s="80" t="s">
        <v>738</v>
      </c>
      <c r="G361" s="81"/>
      <c r="H361" s="81"/>
      <c r="I361" s="81"/>
      <c r="J361" s="81"/>
      <c r="K361" s="81"/>
      <c r="L361" s="81"/>
      <c r="M361" s="82">
        <v>-33289.65</v>
      </c>
      <c r="N361" s="82">
        <v>-33289.65</v>
      </c>
      <c r="O361" s="82">
        <v>-33289.65</v>
      </c>
    </row>
    <row r="362" spans="1:15" x14ac:dyDescent="0.2">
      <c r="A362" s="80"/>
      <c r="B362" s="95" t="s">
        <v>296</v>
      </c>
      <c r="C362" s="80"/>
      <c r="D362" s="80"/>
      <c r="E362" s="80"/>
      <c r="F362" s="80" t="s">
        <v>39</v>
      </c>
      <c r="G362" s="81"/>
      <c r="H362" s="81"/>
      <c r="I362" s="81"/>
      <c r="J362" s="81"/>
      <c r="K362" s="81"/>
      <c r="L362" s="81"/>
      <c r="M362" s="82">
        <v>-21525.91</v>
      </c>
      <c r="N362" s="82">
        <v>-21525.91</v>
      </c>
      <c r="O362" s="82">
        <v>-21525.91</v>
      </c>
    </row>
    <row r="363" spans="1:15" x14ac:dyDescent="0.2">
      <c r="A363" s="80"/>
      <c r="B363" s="95" t="s">
        <v>296</v>
      </c>
      <c r="C363" s="80"/>
      <c r="D363" s="80"/>
      <c r="E363" s="80"/>
      <c r="F363" s="80" t="s">
        <v>724</v>
      </c>
      <c r="G363" s="81"/>
      <c r="H363" s="81"/>
      <c r="I363" s="81"/>
      <c r="J363" s="81"/>
      <c r="K363" s="81"/>
      <c r="L363" s="81"/>
      <c r="M363" s="82">
        <v>-384036.65</v>
      </c>
      <c r="N363" s="82">
        <v>-384036.65</v>
      </c>
      <c r="O363" s="82">
        <v>-384036.65</v>
      </c>
    </row>
    <row r="364" spans="1:15" x14ac:dyDescent="0.2">
      <c r="A364" s="80"/>
      <c r="B364" s="95" t="s">
        <v>296</v>
      </c>
      <c r="C364" s="80"/>
      <c r="D364" s="80"/>
      <c r="E364" s="80"/>
      <c r="F364" s="80" t="s">
        <v>64</v>
      </c>
      <c r="G364" s="81"/>
      <c r="H364" s="81"/>
      <c r="I364" s="81"/>
      <c r="J364" s="81"/>
      <c r="K364" s="81"/>
      <c r="L364" s="81"/>
      <c r="M364" s="82">
        <v>-163464.43</v>
      </c>
      <c r="N364" s="82">
        <v>-163464.43</v>
      </c>
      <c r="O364" s="82">
        <v>-163464.43</v>
      </c>
    </row>
    <row r="365" spans="1:15" x14ac:dyDescent="0.2">
      <c r="A365" s="80"/>
      <c r="B365" s="95" t="s">
        <v>296</v>
      </c>
      <c r="C365" s="80"/>
      <c r="D365" s="80"/>
      <c r="E365" s="80"/>
      <c r="F365" s="80" t="s">
        <v>66</v>
      </c>
      <c r="G365" s="81"/>
      <c r="H365" s="81"/>
      <c r="I365" s="81"/>
      <c r="J365" s="81"/>
      <c r="K365" s="81"/>
      <c r="L365" s="81"/>
      <c r="M365" s="82">
        <v>-119361.76</v>
      </c>
      <c r="N365" s="82">
        <v>-119361.76</v>
      </c>
      <c r="O365" s="82">
        <v>-119361.76</v>
      </c>
    </row>
    <row r="366" spans="1:15" x14ac:dyDescent="0.2">
      <c r="A366" s="80"/>
      <c r="B366" s="95" t="s">
        <v>315</v>
      </c>
      <c r="C366" s="80"/>
      <c r="D366" s="80"/>
      <c r="E366" s="80"/>
      <c r="F366" s="80" t="s">
        <v>42</v>
      </c>
      <c r="G366" s="81"/>
      <c r="H366" s="81"/>
      <c r="I366" s="81"/>
      <c r="J366" s="81"/>
      <c r="K366" s="81"/>
      <c r="L366" s="81"/>
      <c r="M366" s="82">
        <v>-294350.56</v>
      </c>
      <c r="N366" s="82">
        <v>-294350.56</v>
      </c>
      <c r="O366" s="82">
        <v>-294350.56</v>
      </c>
    </row>
    <row r="367" spans="1:15" x14ac:dyDescent="0.2">
      <c r="A367" s="80"/>
      <c r="B367" s="95" t="s">
        <v>315</v>
      </c>
      <c r="C367" s="80"/>
      <c r="D367" s="80"/>
      <c r="E367" s="80"/>
      <c r="F367" s="80" t="s">
        <v>316</v>
      </c>
      <c r="G367" s="81"/>
      <c r="H367" s="81"/>
      <c r="I367" s="81"/>
      <c r="J367" s="81"/>
      <c r="K367" s="81"/>
      <c r="L367" s="81"/>
      <c r="M367" s="82">
        <v>-40659.9</v>
      </c>
      <c r="N367" s="82">
        <v>-40659.9</v>
      </c>
      <c r="O367" s="82">
        <v>-40659.9</v>
      </c>
    </row>
    <row r="368" spans="1:15" x14ac:dyDescent="0.2">
      <c r="A368" s="80"/>
      <c r="B368" s="95" t="s">
        <v>315</v>
      </c>
      <c r="C368" s="80"/>
      <c r="D368" s="80"/>
      <c r="E368" s="80"/>
      <c r="F368" s="80" t="s">
        <v>38</v>
      </c>
      <c r="G368" s="81"/>
      <c r="H368" s="81"/>
      <c r="I368" s="81"/>
      <c r="J368" s="81"/>
      <c r="K368" s="81"/>
      <c r="L368" s="81"/>
      <c r="M368" s="82">
        <v>-93790.22</v>
      </c>
      <c r="N368" s="82">
        <v>-93790.22</v>
      </c>
      <c r="O368" s="82">
        <v>-93790.22</v>
      </c>
    </row>
    <row r="369" spans="1:15" x14ac:dyDescent="0.2">
      <c r="A369" s="80"/>
      <c r="B369" s="95" t="s">
        <v>315</v>
      </c>
      <c r="C369" s="80"/>
      <c r="D369" s="80"/>
      <c r="E369" s="80"/>
      <c r="F369" s="80" t="s">
        <v>39</v>
      </c>
      <c r="G369" s="81"/>
      <c r="H369" s="81"/>
      <c r="I369" s="81"/>
      <c r="J369" s="81"/>
      <c r="K369" s="81"/>
      <c r="L369" s="81"/>
      <c r="M369" s="82">
        <v>-93550</v>
      </c>
      <c r="N369" s="82">
        <v>-93550</v>
      </c>
      <c r="O369" s="82">
        <v>-93550</v>
      </c>
    </row>
    <row r="370" spans="1:15" x14ac:dyDescent="0.2">
      <c r="A370" s="80"/>
      <c r="B370" s="95" t="s">
        <v>315</v>
      </c>
      <c r="C370" s="80"/>
      <c r="D370" s="80"/>
      <c r="E370" s="80"/>
      <c r="F370" s="80" t="s">
        <v>724</v>
      </c>
      <c r="G370" s="81"/>
      <c r="H370" s="81"/>
      <c r="I370" s="81"/>
      <c r="J370" s="81"/>
      <c r="K370" s="81"/>
      <c r="L370" s="81"/>
      <c r="M370" s="82">
        <v>-273689.46999999997</v>
      </c>
      <c r="N370" s="82">
        <v>-273689.46999999997</v>
      </c>
      <c r="O370" s="82">
        <v>-273689.46999999997</v>
      </c>
    </row>
    <row r="371" spans="1:15" x14ac:dyDescent="0.2">
      <c r="A371" s="80"/>
      <c r="B371" s="95" t="s">
        <v>315</v>
      </c>
      <c r="C371" s="80"/>
      <c r="D371" s="80"/>
      <c r="E371" s="80"/>
      <c r="F371" s="80" t="s">
        <v>739</v>
      </c>
      <c r="G371" s="81"/>
      <c r="H371" s="81"/>
      <c r="I371" s="81"/>
      <c r="J371" s="81"/>
      <c r="K371" s="81"/>
      <c r="L371" s="81"/>
      <c r="M371" s="82">
        <v>-251493.6</v>
      </c>
      <c r="N371" s="82">
        <v>-251493.6</v>
      </c>
      <c r="O371" s="82">
        <v>-251493.6</v>
      </c>
    </row>
    <row r="372" spans="1:15" x14ac:dyDescent="0.2">
      <c r="A372" s="80"/>
      <c r="B372" s="95" t="s">
        <v>315</v>
      </c>
      <c r="C372" s="80"/>
      <c r="D372" s="80"/>
      <c r="E372" s="80"/>
      <c r="F372" s="80" t="s">
        <v>297</v>
      </c>
      <c r="G372" s="81"/>
      <c r="H372" s="81"/>
      <c r="I372" s="81"/>
      <c r="J372" s="81"/>
      <c r="K372" s="81"/>
      <c r="L372" s="81"/>
      <c r="M372" s="82">
        <v>-13494.44</v>
      </c>
      <c r="N372" s="82">
        <v>-13494.44</v>
      </c>
      <c r="O372" s="82">
        <v>-13494.44</v>
      </c>
    </row>
    <row r="373" spans="1:15" x14ac:dyDescent="0.2">
      <c r="A373" s="80"/>
      <c r="B373" s="95" t="s">
        <v>324</v>
      </c>
      <c r="C373" s="80"/>
      <c r="D373" s="80"/>
      <c r="E373" s="80"/>
      <c r="F373" s="80" t="s">
        <v>64</v>
      </c>
      <c r="G373" s="81"/>
      <c r="H373" s="81"/>
      <c r="I373" s="81"/>
      <c r="J373" s="81"/>
      <c r="K373" s="81"/>
      <c r="L373" s="81"/>
      <c r="M373" s="82">
        <v>-173841.92000000001</v>
      </c>
      <c r="N373" s="82">
        <v>-173841.92000000001</v>
      </c>
      <c r="O373" s="82">
        <v>-173841.92000000001</v>
      </c>
    </row>
    <row r="374" spans="1:15" x14ac:dyDescent="0.2">
      <c r="A374" s="80"/>
      <c r="B374" s="95" t="s">
        <v>324</v>
      </c>
      <c r="C374" s="80"/>
      <c r="D374" s="80"/>
      <c r="E374" s="80"/>
      <c r="F374" s="80" t="s">
        <v>325</v>
      </c>
      <c r="G374" s="81"/>
      <c r="H374" s="81"/>
      <c r="I374" s="81"/>
      <c r="J374" s="81"/>
      <c r="K374" s="81"/>
      <c r="L374" s="81"/>
      <c r="M374" s="82">
        <v>-157268.68</v>
      </c>
      <c r="N374" s="82">
        <v>-157268.68</v>
      </c>
      <c r="O374" s="82">
        <v>-157268.68</v>
      </c>
    </row>
    <row r="375" spans="1:15" x14ac:dyDescent="0.2">
      <c r="A375" s="80"/>
      <c r="B375" s="95" t="s">
        <v>324</v>
      </c>
      <c r="C375" s="80"/>
      <c r="D375" s="80"/>
      <c r="E375" s="80"/>
      <c r="F375" s="80" t="s">
        <v>66</v>
      </c>
      <c r="G375" s="81"/>
      <c r="H375" s="81"/>
      <c r="I375" s="81"/>
      <c r="J375" s="81"/>
      <c r="K375" s="81"/>
      <c r="L375" s="81"/>
      <c r="M375" s="82">
        <v>-43568.45</v>
      </c>
      <c r="N375" s="82">
        <v>-43568.45</v>
      </c>
      <c r="O375" s="82">
        <v>-43568.45</v>
      </c>
    </row>
    <row r="376" spans="1:15" x14ac:dyDescent="0.2">
      <c r="A376" s="80"/>
      <c r="B376" s="95" t="s">
        <v>327</v>
      </c>
      <c r="C376" s="80"/>
      <c r="D376" s="80"/>
      <c r="E376" s="80"/>
      <c r="F376" s="80" t="s">
        <v>725</v>
      </c>
      <c r="G376" s="81"/>
      <c r="H376" s="81"/>
      <c r="I376" s="81"/>
      <c r="J376" s="81"/>
      <c r="K376" s="81"/>
      <c r="L376" s="81"/>
      <c r="M376" s="82">
        <v>-85944.35</v>
      </c>
      <c r="N376" s="82">
        <v>-85944.35</v>
      </c>
      <c r="O376" s="82">
        <v>-85944.35</v>
      </c>
    </row>
    <row r="377" spans="1:15" x14ac:dyDescent="0.2">
      <c r="A377" s="80"/>
      <c r="B377" s="95" t="s">
        <v>328</v>
      </c>
      <c r="C377" s="80"/>
      <c r="D377" s="80"/>
      <c r="E377" s="80"/>
      <c r="F377" s="80" t="s">
        <v>329</v>
      </c>
      <c r="G377" s="81"/>
      <c r="H377" s="81"/>
      <c r="I377" s="81"/>
      <c r="J377" s="81"/>
      <c r="K377" s="81"/>
      <c r="L377" s="81"/>
      <c r="M377" s="82">
        <v>-5.09</v>
      </c>
      <c r="N377" s="82">
        <v>-5.09</v>
      </c>
      <c r="O377" s="82">
        <v>-5.09</v>
      </c>
    </row>
    <row r="378" spans="1:15" x14ac:dyDescent="0.2">
      <c r="A378" s="80"/>
      <c r="B378" s="95" t="s">
        <v>328</v>
      </c>
      <c r="C378" s="80"/>
      <c r="D378" s="80"/>
      <c r="E378" s="80"/>
      <c r="F378" s="80" t="s">
        <v>151</v>
      </c>
      <c r="G378" s="81"/>
      <c r="H378" s="81"/>
      <c r="I378" s="81"/>
      <c r="J378" s="81"/>
      <c r="K378" s="81"/>
      <c r="L378" s="81"/>
      <c r="M378" s="82">
        <v>-0.57999999999999996</v>
      </c>
      <c r="N378" s="82">
        <v>-0.57999999999999996</v>
      </c>
      <c r="O378" s="82">
        <v>-0.57999999999999996</v>
      </c>
    </row>
    <row r="379" spans="1:15" x14ac:dyDescent="0.2">
      <c r="A379" s="80"/>
      <c r="B379" s="95" t="s">
        <v>328</v>
      </c>
      <c r="C379" s="80"/>
      <c r="D379" s="80"/>
      <c r="E379" s="80"/>
      <c r="F379" s="80" t="s">
        <v>38</v>
      </c>
      <c r="G379" s="81"/>
      <c r="H379" s="81"/>
      <c r="I379" s="81"/>
      <c r="J379" s="81"/>
      <c r="K379" s="81"/>
      <c r="L379" s="81"/>
      <c r="M379" s="82">
        <v>-2250.33</v>
      </c>
      <c r="N379" s="82">
        <v>-2250.33</v>
      </c>
      <c r="O379" s="82">
        <v>-2250.33</v>
      </c>
    </row>
    <row r="380" spans="1:15" x14ac:dyDescent="0.2">
      <c r="A380" s="80"/>
      <c r="B380" s="95" t="s">
        <v>328</v>
      </c>
      <c r="C380" s="80"/>
      <c r="D380" s="80"/>
      <c r="E380" s="80"/>
      <c r="F380" s="80" t="s">
        <v>39</v>
      </c>
      <c r="G380" s="81"/>
      <c r="H380" s="81"/>
      <c r="I380" s="81"/>
      <c r="J380" s="81"/>
      <c r="K380" s="81"/>
      <c r="L380" s="81"/>
      <c r="M380" s="82">
        <v>-50000</v>
      </c>
      <c r="N380" s="82">
        <v>-50000</v>
      </c>
      <c r="O380" s="82">
        <v>-50000</v>
      </c>
    </row>
    <row r="381" spans="1:15" ht="12" x14ac:dyDescent="0.2">
      <c r="B381" s="97" t="s">
        <v>770</v>
      </c>
      <c r="G381" s="98">
        <v>3242560</v>
      </c>
      <c r="O381" s="98">
        <v>3242560</v>
      </c>
    </row>
  </sheetData>
  <autoFilter ref="A1:O380"/>
  <mergeCells count="14">
    <mergeCell ref="F1:F3"/>
    <mergeCell ref="G1:G2"/>
    <mergeCell ref="A1:A3"/>
    <mergeCell ref="B1:B3"/>
    <mergeCell ref="C1:C3"/>
    <mergeCell ref="D1:D3"/>
    <mergeCell ref="E1:E3"/>
    <mergeCell ref="O1:O2"/>
    <mergeCell ref="H1:H2"/>
    <mergeCell ref="I1:I2"/>
    <mergeCell ref="J1:J2"/>
    <mergeCell ref="K1:K2"/>
    <mergeCell ref="L1:L2"/>
    <mergeCell ref="M1:M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"/>
  <sheetViews>
    <sheetView topLeftCell="I1" workbookViewId="0">
      <selection activeCell="L25" sqref="L25"/>
    </sheetView>
  </sheetViews>
  <sheetFormatPr defaultRowHeight="12" outlineLevelCol="1" x14ac:dyDescent="0.2"/>
  <cols>
    <col min="1" max="1" width="29.1640625" style="359" hidden="1" customWidth="1" outlineLevel="1"/>
    <col min="2" max="2" width="17.83203125" style="359" hidden="1" customWidth="1" outlineLevel="1"/>
    <col min="3" max="3" width="17.5" style="359" hidden="1" customWidth="1" outlineLevel="1"/>
    <col min="4" max="4" width="13" style="359" hidden="1" customWidth="1" outlineLevel="1"/>
    <col min="5" max="5" width="16.33203125" style="360" hidden="1" customWidth="1" outlineLevel="1"/>
    <col min="6" max="6" width="10.1640625" style="359" hidden="1" customWidth="1" outlineLevel="1"/>
    <col min="7" max="8" width="0" style="359" hidden="1" customWidth="1" outlineLevel="1"/>
    <col min="9" max="9" width="24.83203125" style="359" bestFit="1" customWidth="1" collapsed="1"/>
    <col min="10" max="10" width="29.83203125" style="359" customWidth="1"/>
    <col min="11" max="11" width="17.83203125" style="359" bestFit="1" customWidth="1"/>
    <col min="12" max="12" width="10.1640625" style="359" bestFit="1" customWidth="1"/>
    <col min="13" max="13" width="9.33203125" style="359"/>
    <col min="14" max="17" width="13.5" style="359" customWidth="1"/>
    <col min="18" max="18" width="17.1640625" style="359" customWidth="1"/>
    <col min="19" max="16384" width="9.33203125" style="359"/>
  </cols>
  <sheetData>
    <row r="1" spans="1:11" x14ac:dyDescent="0.2">
      <c r="A1" s="358" t="s">
        <v>4</v>
      </c>
      <c r="B1" s="358" t="s">
        <v>15</v>
      </c>
      <c r="I1" s="359" t="s">
        <v>1690</v>
      </c>
    </row>
    <row r="2" spans="1:11" x14ac:dyDescent="0.2">
      <c r="A2" s="361" t="s">
        <v>1134</v>
      </c>
      <c r="B2" s="362">
        <v>207629.4</v>
      </c>
      <c r="C2" s="363"/>
      <c r="E2" s="360">
        <v>836609.1</v>
      </c>
      <c r="F2" s="364">
        <v>44347</v>
      </c>
    </row>
    <row r="3" spans="1:11" x14ac:dyDescent="0.2">
      <c r="A3" s="361" t="s">
        <v>1496</v>
      </c>
      <c r="B3" s="362">
        <v>99370.6</v>
      </c>
      <c r="C3" s="363"/>
      <c r="E3" s="360">
        <v>1294709.05</v>
      </c>
      <c r="F3" s="364">
        <v>44377</v>
      </c>
      <c r="I3" s="359" t="s">
        <v>1684</v>
      </c>
      <c r="J3" s="359" t="s">
        <v>1685</v>
      </c>
    </row>
    <row r="4" spans="1:11" x14ac:dyDescent="0.2">
      <c r="A4" s="361" t="s">
        <v>1497</v>
      </c>
      <c r="B4" s="362">
        <v>400000</v>
      </c>
      <c r="C4" s="363"/>
      <c r="E4" s="360">
        <v>1533499.9</v>
      </c>
      <c r="F4" s="364">
        <v>44408</v>
      </c>
      <c r="I4" s="359" t="s">
        <v>1686</v>
      </c>
      <c r="J4" s="389">
        <v>800000</v>
      </c>
    </row>
    <row r="5" spans="1:11" x14ac:dyDescent="0.2">
      <c r="A5" s="361" t="s">
        <v>1498</v>
      </c>
      <c r="B5" s="365">
        <v>70</v>
      </c>
      <c r="C5" s="366"/>
      <c r="E5" s="360">
        <v>1905978.55</v>
      </c>
      <c r="F5" s="364">
        <v>44439</v>
      </c>
      <c r="I5" s="359" t="s">
        <v>1687</v>
      </c>
      <c r="J5" s="389">
        <v>1600000</v>
      </c>
    </row>
    <row r="6" spans="1:11" ht="12.75" thickBot="1" x14ac:dyDescent="0.25">
      <c r="A6" s="361" t="s">
        <v>1499</v>
      </c>
      <c r="B6" s="367">
        <v>129540</v>
      </c>
      <c r="C6" s="368">
        <f>SUM(B2:B6)</f>
        <v>836610</v>
      </c>
      <c r="D6" s="359" t="s">
        <v>1518</v>
      </c>
      <c r="I6" s="359" t="s">
        <v>1688</v>
      </c>
      <c r="J6" s="363">
        <v>2531650.5600000001</v>
      </c>
    </row>
    <row r="7" spans="1:11" x14ac:dyDescent="0.2">
      <c r="A7" s="361" t="s">
        <v>1500</v>
      </c>
      <c r="B7" s="369">
        <v>329896</v>
      </c>
      <c r="I7" s="359" t="s">
        <v>1689</v>
      </c>
      <c r="J7" s="363">
        <v>4931650.5599999996</v>
      </c>
    </row>
    <row r="8" spans="1:11" x14ac:dyDescent="0.2">
      <c r="A8" s="361" t="s">
        <v>1501</v>
      </c>
      <c r="B8" s="370">
        <v>276616.59999999998</v>
      </c>
    </row>
    <row r="9" spans="1:11" x14ac:dyDescent="0.2">
      <c r="A9" s="361" t="s">
        <v>1502</v>
      </c>
      <c r="B9" s="370">
        <v>50383.4</v>
      </c>
    </row>
    <row r="10" spans="1:11" x14ac:dyDescent="0.2">
      <c r="A10" s="361" t="s">
        <v>1503</v>
      </c>
      <c r="B10" s="370">
        <v>220000</v>
      </c>
    </row>
    <row r="11" spans="1:11" x14ac:dyDescent="0.2">
      <c r="A11" s="361" t="s">
        <v>1504</v>
      </c>
      <c r="B11" s="370">
        <v>59427.6</v>
      </c>
      <c r="I11" s="395" t="s">
        <v>4</v>
      </c>
      <c r="J11" s="395" t="s">
        <v>15</v>
      </c>
      <c r="K11" s="395" t="s">
        <v>5</v>
      </c>
    </row>
    <row r="12" spans="1:11" x14ac:dyDescent="0.2">
      <c r="A12" s="361" t="s">
        <v>1505</v>
      </c>
      <c r="B12" s="370">
        <v>102968.3</v>
      </c>
      <c r="I12" s="379" t="s">
        <v>1616</v>
      </c>
      <c r="J12" s="380">
        <v>40777</v>
      </c>
      <c r="K12" s="379" t="s">
        <v>76</v>
      </c>
    </row>
    <row r="13" spans="1:11" x14ac:dyDescent="0.2">
      <c r="A13" s="361" t="s">
        <v>1506</v>
      </c>
      <c r="B13" s="370">
        <v>83358</v>
      </c>
      <c r="I13" s="379" t="s">
        <v>1691</v>
      </c>
      <c r="J13" s="380">
        <v>264330.45</v>
      </c>
      <c r="K13" s="379" t="s">
        <v>35</v>
      </c>
    </row>
    <row r="14" spans="1:11" x14ac:dyDescent="0.2">
      <c r="A14" s="361" t="s">
        <v>1507</v>
      </c>
      <c r="B14" s="370">
        <v>4246.1000000000004</v>
      </c>
      <c r="I14" s="379" t="s">
        <v>1692</v>
      </c>
      <c r="J14" s="380">
        <v>94892.55</v>
      </c>
      <c r="K14" s="379" t="s">
        <v>52</v>
      </c>
    </row>
    <row r="15" spans="1:11" x14ac:dyDescent="0.2">
      <c r="A15" s="361" t="s">
        <v>1508</v>
      </c>
      <c r="B15" s="370">
        <v>12365.75</v>
      </c>
      <c r="I15" s="379" t="s">
        <v>1677</v>
      </c>
      <c r="J15" s="380">
        <v>4458.45</v>
      </c>
      <c r="K15" s="379" t="s">
        <v>52</v>
      </c>
    </row>
    <row r="16" spans="1:11" x14ac:dyDescent="0.2">
      <c r="A16" s="361" t="s">
        <v>1509</v>
      </c>
      <c r="B16" s="370">
        <v>42579</v>
      </c>
      <c r="I16" s="379" t="s">
        <v>1693</v>
      </c>
      <c r="J16" s="380">
        <v>219810.8</v>
      </c>
      <c r="K16" s="379" t="s">
        <v>35</v>
      </c>
    </row>
    <row r="17" spans="1:17" x14ac:dyDescent="0.2">
      <c r="A17" s="361" t="s">
        <v>1510</v>
      </c>
      <c r="B17" s="370">
        <v>7632</v>
      </c>
      <c r="I17" s="379" t="s">
        <v>1694</v>
      </c>
      <c r="J17" s="380">
        <v>131994.25</v>
      </c>
      <c r="K17" s="379" t="s">
        <v>76</v>
      </c>
    </row>
    <row r="18" spans="1:17" x14ac:dyDescent="0.2">
      <c r="A18" s="361" t="s">
        <v>1511</v>
      </c>
      <c r="B18" s="362">
        <v>201423.25</v>
      </c>
      <c r="I18" s="379" t="s">
        <v>1695</v>
      </c>
      <c r="J18" s="380">
        <v>43736.5</v>
      </c>
      <c r="K18" s="379" t="s">
        <v>102</v>
      </c>
      <c r="L18" s="363">
        <f>SUM(J12:J18)</f>
        <v>800000</v>
      </c>
    </row>
    <row r="19" spans="1:17" x14ac:dyDescent="0.2">
      <c r="A19" s="361" t="s">
        <v>1512</v>
      </c>
      <c r="B19" s="370">
        <v>49655.1</v>
      </c>
      <c r="C19" s="371"/>
    </row>
    <row r="20" spans="1:17" ht="12.75" thickBot="1" x14ac:dyDescent="0.25">
      <c r="A20" s="372" t="s">
        <v>1513</v>
      </c>
      <c r="B20" s="373">
        <v>40750</v>
      </c>
      <c r="C20" s="368">
        <f>SUM(B7:B17,B19:B20)</f>
        <v>1279877.8500000001</v>
      </c>
      <c r="D20" s="359" t="s">
        <v>1519</v>
      </c>
    </row>
    <row r="21" spans="1:17" x14ac:dyDescent="0.2">
      <c r="A21" s="374" t="s">
        <v>1514</v>
      </c>
      <c r="B21" s="375">
        <v>159594.9</v>
      </c>
      <c r="G21" s="390"/>
      <c r="H21" s="390"/>
      <c r="I21" s="390"/>
      <c r="J21" s="390"/>
      <c r="K21" s="390"/>
      <c r="L21" s="390"/>
      <c r="M21" s="390"/>
      <c r="N21" s="391"/>
      <c r="O21" s="392"/>
      <c r="P21" s="391"/>
      <c r="Q21" s="393"/>
    </row>
    <row r="22" spans="1:17" x14ac:dyDescent="0.2">
      <c r="A22" s="361" t="s">
        <v>1515</v>
      </c>
      <c r="B22" s="362">
        <v>294920.5</v>
      </c>
      <c r="G22" s="390"/>
      <c r="H22" s="392"/>
      <c r="I22" s="394"/>
      <c r="J22" s="394"/>
      <c r="K22" s="394"/>
      <c r="L22" s="390"/>
      <c r="M22" s="390"/>
      <c r="N22" s="391"/>
      <c r="O22" s="392"/>
      <c r="P22" s="391"/>
      <c r="Q22" s="393"/>
    </row>
    <row r="23" spans="1:17" x14ac:dyDescent="0.2">
      <c r="A23" s="361" t="s">
        <v>1516</v>
      </c>
      <c r="B23" s="362">
        <v>102834.6</v>
      </c>
      <c r="G23" s="390"/>
      <c r="H23" s="390"/>
      <c r="I23" s="390"/>
      <c r="J23" s="390"/>
      <c r="K23" s="390"/>
      <c r="L23" s="390"/>
      <c r="M23" s="390"/>
      <c r="N23" s="391"/>
      <c r="O23" s="392"/>
      <c r="P23" s="391"/>
      <c r="Q23" s="393"/>
    </row>
    <row r="24" spans="1:17" x14ac:dyDescent="0.2">
      <c r="A24" s="361" t="s">
        <v>1517</v>
      </c>
      <c r="B24" s="362">
        <v>102244.9</v>
      </c>
      <c r="C24" s="363">
        <f>SUM(B18,B21:B27)</f>
        <v>1161018.1500000001</v>
      </c>
      <c r="D24" s="359" t="s">
        <v>1520</v>
      </c>
      <c r="G24" s="390"/>
      <c r="H24" s="390"/>
      <c r="I24" s="390"/>
      <c r="J24" s="392"/>
      <c r="K24" s="390"/>
      <c r="L24" s="390"/>
      <c r="M24" s="390"/>
      <c r="N24" s="390"/>
      <c r="O24" s="390"/>
      <c r="P24" s="391"/>
      <c r="Q24" s="393"/>
    </row>
    <row r="25" spans="1:17" x14ac:dyDescent="0.2">
      <c r="A25" s="379" t="s">
        <v>1521</v>
      </c>
      <c r="B25" s="380">
        <v>34052</v>
      </c>
      <c r="G25" s="390"/>
      <c r="H25" s="390"/>
      <c r="I25" s="390"/>
      <c r="J25" s="392"/>
      <c r="K25" s="390"/>
      <c r="L25" s="390"/>
      <c r="M25" s="390"/>
      <c r="N25" s="390"/>
      <c r="O25" s="390"/>
      <c r="P25" s="391"/>
      <c r="Q25" s="393"/>
    </row>
    <row r="26" spans="1:17" x14ac:dyDescent="0.2">
      <c r="A26" s="379" t="s">
        <v>1522</v>
      </c>
      <c r="B26" s="380">
        <v>100412.4</v>
      </c>
      <c r="D26" s="359" t="s">
        <v>1524</v>
      </c>
      <c r="G26" s="390"/>
      <c r="H26" s="390"/>
      <c r="I26" s="390"/>
      <c r="J26" s="392"/>
      <c r="K26" s="390"/>
      <c r="L26" s="390"/>
      <c r="M26" s="390"/>
      <c r="N26" s="390"/>
      <c r="O26" s="390"/>
      <c r="P26" s="391"/>
      <c r="Q26" s="393"/>
    </row>
    <row r="27" spans="1:17" x14ac:dyDescent="0.2">
      <c r="A27" s="379" t="s">
        <v>1523</v>
      </c>
      <c r="B27" s="380">
        <v>165535.6</v>
      </c>
      <c r="C27" s="376">
        <f>SUM(C1:C24)</f>
        <v>3277506</v>
      </c>
      <c r="D27" s="377">
        <f>-E27+C27</f>
        <v>-387312.04999999981</v>
      </c>
      <c r="E27" s="360">
        <f>E2+E3+E4</f>
        <v>3664818.05</v>
      </c>
      <c r="G27" s="390"/>
      <c r="H27" s="390"/>
      <c r="I27" s="390"/>
      <c r="J27" s="392"/>
      <c r="K27" s="390"/>
      <c r="L27" s="390"/>
      <c r="M27" s="390"/>
      <c r="N27" s="391"/>
      <c r="O27" s="392"/>
      <c r="P27" s="390"/>
      <c r="Q27" s="393"/>
    </row>
    <row r="28" spans="1:17" x14ac:dyDescent="0.2">
      <c r="G28" s="390"/>
      <c r="H28" s="390"/>
      <c r="I28" s="390"/>
      <c r="J28" s="392"/>
      <c r="K28" s="390"/>
      <c r="L28" s="390"/>
      <c r="M28" s="390"/>
      <c r="N28" s="391"/>
      <c r="O28" s="392"/>
      <c r="P28" s="390"/>
      <c r="Q28" s="393"/>
    </row>
    <row r="29" spans="1:17" x14ac:dyDescent="0.2">
      <c r="G29" s="390"/>
      <c r="H29" s="390"/>
      <c r="I29" s="390"/>
      <c r="J29" s="392"/>
      <c r="K29" s="390"/>
      <c r="L29" s="390"/>
      <c r="M29" s="390"/>
      <c r="N29" s="391"/>
      <c r="O29" s="392"/>
      <c r="P29" s="390"/>
      <c r="Q29" s="393"/>
    </row>
    <row r="30" spans="1:17" x14ac:dyDescent="0.2">
      <c r="G30" s="390"/>
      <c r="H30" s="390"/>
      <c r="I30" s="390"/>
      <c r="J30" s="390"/>
      <c r="K30" s="390"/>
      <c r="L30" s="390"/>
      <c r="M30" s="390"/>
      <c r="N30" s="391"/>
      <c r="O30" s="392"/>
      <c r="P30" s="391"/>
      <c r="Q30" s="393"/>
    </row>
    <row r="31" spans="1:17" x14ac:dyDescent="0.2">
      <c r="G31" s="390"/>
      <c r="H31" s="390"/>
      <c r="I31" s="390"/>
      <c r="J31" s="392"/>
      <c r="K31" s="390"/>
      <c r="L31" s="390"/>
      <c r="M31" s="390"/>
      <c r="N31" s="390"/>
      <c r="O31" s="390"/>
      <c r="P31" s="391"/>
      <c r="Q31" s="393"/>
    </row>
    <row r="32" spans="1:17" x14ac:dyDescent="0.2">
      <c r="G32" s="390"/>
      <c r="H32" s="390"/>
      <c r="I32" s="390"/>
      <c r="J32" s="392"/>
      <c r="K32" s="390"/>
      <c r="L32" s="390"/>
      <c r="M32" s="390"/>
      <c r="N32" s="390"/>
      <c r="O32" s="390"/>
      <c r="P32" s="391"/>
      <c r="Q32" s="393"/>
    </row>
    <row r="33" spans="7:17" x14ac:dyDescent="0.2">
      <c r="G33" s="390"/>
      <c r="H33" s="390"/>
      <c r="I33" s="390"/>
      <c r="J33" s="392"/>
      <c r="K33" s="390"/>
      <c r="L33" s="390"/>
      <c r="M33" s="390"/>
      <c r="N33" s="391"/>
      <c r="O33" s="392"/>
      <c r="P33" s="390"/>
      <c r="Q33" s="393"/>
    </row>
    <row r="34" spans="7:17" x14ac:dyDescent="0.2">
      <c r="G34" s="390"/>
      <c r="H34" s="390"/>
      <c r="I34" s="390"/>
      <c r="J34" s="392"/>
      <c r="K34" s="390"/>
      <c r="L34" s="390"/>
      <c r="M34" s="390"/>
      <c r="N34" s="391"/>
      <c r="O34" s="392"/>
      <c r="P34" s="390"/>
      <c r="Q34" s="393"/>
    </row>
    <row r="35" spans="7:17" x14ac:dyDescent="0.2">
      <c r="G35" s="390"/>
      <c r="H35" s="390"/>
      <c r="I35" s="390"/>
      <c r="J35" s="392"/>
      <c r="K35" s="390"/>
      <c r="L35" s="390"/>
      <c r="M35" s="390"/>
      <c r="N35" s="391"/>
      <c r="O35" s="392"/>
      <c r="P35" s="390"/>
      <c r="Q35" s="393"/>
    </row>
    <row r="36" spans="7:17" x14ac:dyDescent="0.2">
      <c r="G36" s="390"/>
      <c r="H36" s="390"/>
      <c r="I36" s="390"/>
      <c r="J36" s="392"/>
      <c r="K36" s="390"/>
      <c r="L36" s="390"/>
      <c r="M36" s="390"/>
      <c r="N36" s="391"/>
      <c r="O36" s="392"/>
      <c r="P36" s="390"/>
      <c r="Q36" s="393"/>
    </row>
    <row r="37" spans="7:17" x14ac:dyDescent="0.2">
      <c r="G37" s="390"/>
      <c r="H37" s="390"/>
      <c r="I37" s="390"/>
      <c r="J37" s="392"/>
      <c r="K37" s="390"/>
      <c r="L37" s="390"/>
      <c r="M37" s="390"/>
      <c r="N37" s="391"/>
      <c r="O37" s="392"/>
      <c r="P37" s="390"/>
      <c r="Q37" s="393"/>
    </row>
    <row r="38" spans="7:17" x14ac:dyDescent="0.2">
      <c r="G38" s="390"/>
      <c r="H38" s="390"/>
      <c r="I38" s="390"/>
      <c r="J38" s="392"/>
      <c r="K38" s="390"/>
      <c r="L38" s="390"/>
      <c r="M38" s="390"/>
      <c r="N38" s="391"/>
      <c r="O38" s="392"/>
      <c r="P38" s="390"/>
      <c r="Q38" s="393"/>
    </row>
    <row r="39" spans="7:17" x14ac:dyDescent="0.2">
      <c r="G39" s="390"/>
      <c r="H39" s="390"/>
      <c r="I39" s="390"/>
      <c r="J39" s="390"/>
      <c r="K39" s="390"/>
      <c r="L39" s="390"/>
      <c r="M39" s="390"/>
      <c r="N39" s="391"/>
      <c r="O39" s="392"/>
      <c r="P39" s="390"/>
      <c r="Q39" s="393"/>
    </row>
    <row r="40" spans="7:17" x14ac:dyDescent="0.2">
      <c r="G40" s="390"/>
      <c r="H40" s="390"/>
      <c r="I40" s="390"/>
      <c r="J40" s="392"/>
      <c r="K40" s="390"/>
      <c r="L40" s="390"/>
      <c r="M40" s="390"/>
      <c r="N40" s="391"/>
      <c r="O40" s="392"/>
      <c r="P40" s="390"/>
      <c r="Q40" s="393"/>
    </row>
    <row r="41" spans="7:17" x14ac:dyDescent="0.2">
      <c r="G41" s="390"/>
      <c r="H41" s="390"/>
      <c r="I41" s="390"/>
      <c r="J41" s="392"/>
      <c r="K41" s="390"/>
      <c r="L41" s="390"/>
      <c r="M41" s="390"/>
      <c r="N41" s="391"/>
      <c r="O41" s="392"/>
      <c r="P41" s="390"/>
      <c r="Q41" s="393"/>
    </row>
    <row r="42" spans="7:17" x14ac:dyDescent="0.2">
      <c r="G42" s="390"/>
      <c r="H42" s="390"/>
      <c r="I42" s="390"/>
      <c r="J42" s="392"/>
      <c r="K42" s="390"/>
      <c r="L42" s="390"/>
      <c r="M42" s="390"/>
      <c r="N42" s="391"/>
      <c r="O42" s="392"/>
      <c r="P42" s="390"/>
      <c r="Q42" s="393"/>
    </row>
    <row r="43" spans="7:17" x14ac:dyDescent="0.2">
      <c r="G43" s="390"/>
      <c r="H43" s="390"/>
      <c r="I43" s="390"/>
      <c r="J43" s="390"/>
      <c r="K43" s="390"/>
      <c r="L43" s="390"/>
      <c r="M43" s="390"/>
      <c r="N43" s="391"/>
      <c r="O43" s="392"/>
      <c r="P43" s="391"/>
      <c r="Q43" s="393"/>
    </row>
    <row r="44" spans="7:17" x14ac:dyDescent="0.2">
      <c r="G44" s="390"/>
      <c r="H44" s="390"/>
      <c r="I44" s="390"/>
      <c r="J44" s="392"/>
      <c r="K44" s="390"/>
      <c r="L44" s="390"/>
      <c r="M44" s="390"/>
      <c r="N44" s="390"/>
      <c r="O44" s="390"/>
      <c r="P44" s="391"/>
      <c r="Q44" s="393"/>
    </row>
    <row r="45" spans="7:17" x14ac:dyDescent="0.2">
      <c r="G45" s="390"/>
      <c r="H45" s="390"/>
      <c r="I45" s="390"/>
      <c r="J45" s="392"/>
      <c r="K45" s="390"/>
      <c r="L45" s="390"/>
      <c r="M45" s="390"/>
      <c r="N45" s="390"/>
      <c r="O45" s="390"/>
      <c r="P45" s="391"/>
      <c r="Q45" s="393"/>
    </row>
    <row r="46" spans="7:17" x14ac:dyDescent="0.2">
      <c r="G46" s="390"/>
      <c r="H46" s="390"/>
      <c r="I46" s="390"/>
      <c r="J46" s="392"/>
      <c r="K46" s="390"/>
      <c r="L46" s="390"/>
      <c r="M46" s="390"/>
      <c r="N46" s="390"/>
      <c r="O46" s="390"/>
      <c r="P46" s="391"/>
      <c r="Q46" s="393"/>
    </row>
    <row r="47" spans="7:17" x14ac:dyDescent="0.2">
      <c r="G47" s="390"/>
      <c r="H47" s="390"/>
      <c r="I47" s="390"/>
      <c r="J47" s="392"/>
      <c r="K47" s="390"/>
      <c r="L47" s="390"/>
      <c r="M47" s="390"/>
      <c r="N47" s="390"/>
      <c r="O47" s="390"/>
      <c r="P47" s="391"/>
      <c r="Q47" s="393"/>
    </row>
    <row r="48" spans="7:17" x14ac:dyDescent="0.2">
      <c r="G48" s="390"/>
      <c r="H48" s="390"/>
      <c r="I48" s="390"/>
      <c r="J48" s="392"/>
      <c r="K48" s="390"/>
      <c r="L48" s="390"/>
      <c r="M48" s="390"/>
      <c r="N48" s="390"/>
      <c r="O48" s="390"/>
      <c r="P48" s="391"/>
      <c r="Q48" s="393"/>
    </row>
    <row r="49" spans="7:17" x14ac:dyDescent="0.2">
      <c r="G49" s="390"/>
      <c r="H49" s="390"/>
      <c r="I49" s="390"/>
      <c r="J49" s="392"/>
      <c r="K49" s="390"/>
      <c r="L49" s="390"/>
      <c r="M49" s="390"/>
      <c r="N49" s="390"/>
      <c r="O49" s="390"/>
      <c r="P49" s="391"/>
      <c r="Q49" s="393"/>
    </row>
    <row r="50" spans="7:17" x14ac:dyDescent="0.2">
      <c r="G50" s="390"/>
      <c r="H50" s="390"/>
      <c r="I50" s="390"/>
      <c r="J50" s="392"/>
      <c r="K50" s="390"/>
      <c r="L50" s="390"/>
      <c r="M50" s="390"/>
      <c r="N50" s="390"/>
      <c r="O50" s="390"/>
      <c r="P50" s="391"/>
      <c r="Q50" s="393"/>
    </row>
    <row r="51" spans="7:17" x14ac:dyDescent="0.2">
      <c r="G51" s="390"/>
      <c r="H51" s="390"/>
      <c r="I51" s="390"/>
      <c r="J51" s="392"/>
      <c r="K51" s="390"/>
      <c r="L51" s="390"/>
      <c r="M51" s="390"/>
      <c r="N51" s="391"/>
      <c r="O51" s="392"/>
      <c r="P51" s="390"/>
      <c r="Q51" s="393"/>
    </row>
    <row r="52" spans="7:17" x14ac:dyDescent="0.2">
      <c r="G52" s="390"/>
      <c r="H52" s="390"/>
      <c r="I52" s="390"/>
      <c r="J52" s="392"/>
      <c r="K52" s="390"/>
      <c r="L52" s="390"/>
      <c r="M52" s="390"/>
      <c r="N52" s="391"/>
      <c r="O52" s="392"/>
      <c r="P52" s="390"/>
      <c r="Q52" s="393"/>
    </row>
    <row r="53" spans="7:17" x14ac:dyDescent="0.2">
      <c r="G53" s="390"/>
      <c r="H53" s="390"/>
      <c r="I53" s="390"/>
      <c r="J53" s="392"/>
      <c r="K53" s="390"/>
      <c r="L53" s="390"/>
      <c r="M53" s="390"/>
      <c r="N53" s="391"/>
      <c r="O53" s="392"/>
      <c r="P53" s="390"/>
      <c r="Q53" s="393"/>
    </row>
    <row r="54" spans="7:17" x14ac:dyDescent="0.2">
      <c r="G54" s="390"/>
      <c r="H54" s="390"/>
      <c r="I54" s="390"/>
      <c r="J54" s="392"/>
      <c r="K54" s="390"/>
      <c r="L54" s="390"/>
      <c r="M54" s="390"/>
      <c r="N54" s="391"/>
      <c r="O54" s="392"/>
      <c r="P54" s="390"/>
      <c r="Q54" s="393"/>
    </row>
    <row r="55" spans="7:17" x14ac:dyDescent="0.2">
      <c r="G55" s="390"/>
      <c r="H55" s="390"/>
      <c r="I55" s="390"/>
      <c r="J55" s="392"/>
      <c r="K55" s="390"/>
      <c r="L55" s="390"/>
      <c r="M55" s="390"/>
      <c r="N55" s="391"/>
      <c r="O55" s="392"/>
      <c r="P55" s="390"/>
      <c r="Q55" s="393"/>
    </row>
    <row r="56" spans="7:17" x14ac:dyDescent="0.2">
      <c r="G56" s="390"/>
      <c r="H56" s="390"/>
      <c r="I56" s="390"/>
      <c r="J56" s="392"/>
      <c r="K56" s="390"/>
      <c r="L56" s="390"/>
      <c r="M56" s="390"/>
      <c r="N56" s="391"/>
      <c r="O56" s="392"/>
      <c r="P56" s="390"/>
      <c r="Q56" s="393"/>
    </row>
    <row r="57" spans="7:17" x14ac:dyDescent="0.2">
      <c r="G57" s="390"/>
      <c r="H57" s="390"/>
      <c r="I57" s="390"/>
      <c r="J57" s="392"/>
      <c r="K57" s="390"/>
      <c r="L57" s="390"/>
      <c r="M57" s="390"/>
      <c r="N57" s="391"/>
      <c r="O57" s="392"/>
      <c r="P57" s="390"/>
      <c r="Q57" s="393"/>
    </row>
    <row r="58" spans="7:17" x14ac:dyDescent="0.2">
      <c r="G58" s="390"/>
      <c r="H58" s="390"/>
      <c r="I58" s="390"/>
      <c r="J58" s="392"/>
      <c r="K58" s="390"/>
      <c r="L58" s="390"/>
      <c r="M58" s="390"/>
      <c r="N58" s="391"/>
      <c r="O58" s="392"/>
      <c r="P58" s="390"/>
      <c r="Q58" s="393"/>
    </row>
    <row r="59" spans="7:17" x14ac:dyDescent="0.2">
      <c r="G59" s="390"/>
      <c r="H59" s="390"/>
      <c r="I59" s="390"/>
      <c r="J59" s="392"/>
      <c r="K59" s="390"/>
      <c r="L59" s="390"/>
      <c r="M59" s="390"/>
      <c r="N59" s="391"/>
      <c r="O59" s="392"/>
      <c r="P59" s="390"/>
      <c r="Q59" s="393"/>
    </row>
    <row r="60" spans="7:17" x14ac:dyDescent="0.2">
      <c r="G60" s="390"/>
      <c r="H60" s="390"/>
      <c r="I60" s="390"/>
      <c r="J60" s="392"/>
      <c r="K60" s="390"/>
      <c r="L60" s="390"/>
      <c r="M60" s="390"/>
      <c r="N60" s="391"/>
      <c r="O60" s="392"/>
      <c r="P60" s="390"/>
      <c r="Q60" s="393"/>
    </row>
    <row r="61" spans="7:17" x14ac:dyDescent="0.2">
      <c r="G61" s="390"/>
      <c r="H61" s="390"/>
      <c r="I61" s="390"/>
      <c r="J61" s="390"/>
      <c r="K61" s="390"/>
      <c r="L61" s="390"/>
      <c r="M61" s="390"/>
      <c r="N61" s="391"/>
      <c r="O61" s="392"/>
      <c r="P61" s="391"/>
      <c r="Q61" s="393"/>
    </row>
    <row r="62" spans="7:17" x14ac:dyDescent="0.2">
      <c r="G62" s="390"/>
      <c r="H62" s="390"/>
      <c r="I62" s="390"/>
      <c r="J62" s="392"/>
      <c r="K62" s="390"/>
      <c r="L62" s="390"/>
      <c r="M62" s="390"/>
      <c r="N62" s="390"/>
      <c r="O62" s="390"/>
      <c r="P62" s="391"/>
      <c r="Q62" s="393"/>
    </row>
    <row r="63" spans="7:17" x14ac:dyDescent="0.2">
      <c r="G63" s="390"/>
      <c r="H63" s="390"/>
      <c r="I63" s="390"/>
      <c r="J63" s="392"/>
      <c r="K63" s="390"/>
      <c r="L63" s="390"/>
      <c r="M63" s="390"/>
      <c r="N63" s="391"/>
      <c r="O63" s="392"/>
      <c r="P63" s="390"/>
      <c r="Q63" s="393"/>
    </row>
    <row r="64" spans="7:17" x14ac:dyDescent="0.2">
      <c r="G64" s="390"/>
      <c r="H64" s="390"/>
      <c r="I64" s="390"/>
      <c r="J64" s="392"/>
      <c r="K64" s="390"/>
      <c r="L64" s="390"/>
      <c r="M64" s="390"/>
      <c r="N64" s="391"/>
      <c r="O64" s="392"/>
      <c r="P64" s="390"/>
      <c r="Q64" s="393"/>
    </row>
    <row r="65" spans="7:17" x14ac:dyDescent="0.2">
      <c r="G65" s="390"/>
      <c r="H65" s="390"/>
      <c r="I65" s="390"/>
      <c r="J65" s="392"/>
      <c r="K65" s="390"/>
      <c r="L65" s="390"/>
      <c r="M65" s="390"/>
      <c r="N65" s="391"/>
      <c r="O65" s="392"/>
      <c r="P65" s="390"/>
      <c r="Q65" s="393"/>
    </row>
    <row r="66" spans="7:17" x14ac:dyDescent="0.2">
      <c r="G66" s="390"/>
      <c r="H66" s="390"/>
      <c r="I66" s="390"/>
      <c r="J66" s="390"/>
      <c r="K66" s="390"/>
      <c r="L66" s="390"/>
      <c r="M66" s="390"/>
      <c r="N66" s="391"/>
      <c r="O66" s="392"/>
      <c r="P66" s="391"/>
      <c r="Q66" s="393"/>
    </row>
    <row r="67" spans="7:17" x14ac:dyDescent="0.2">
      <c r="G67" s="390"/>
      <c r="H67" s="390"/>
      <c r="I67" s="390"/>
      <c r="J67" s="392"/>
      <c r="K67" s="390"/>
      <c r="L67" s="390"/>
      <c r="M67" s="390"/>
      <c r="N67" s="390"/>
      <c r="O67" s="390"/>
      <c r="P67" s="391"/>
      <c r="Q67" s="393"/>
    </row>
    <row r="68" spans="7:17" x14ac:dyDescent="0.2">
      <c r="G68" s="390"/>
      <c r="H68" s="390"/>
      <c r="I68" s="390"/>
      <c r="J68" s="392"/>
      <c r="K68" s="390"/>
      <c r="L68" s="390"/>
      <c r="M68" s="390"/>
      <c r="N68" s="390"/>
      <c r="O68" s="390"/>
      <c r="P68" s="391"/>
      <c r="Q68" s="393"/>
    </row>
    <row r="69" spans="7:17" x14ac:dyDescent="0.2">
      <c r="G69" s="390"/>
      <c r="H69" s="390"/>
      <c r="I69" s="390"/>
      <c r="J69" s="392"/>
      <c r="K69" s="390"/>
      <c r="L69" s="390"/>
      <c r="M69" s="390"/>
      <c r="N69" s="390"/>
      <c r="O69" s="390"/>
      <c r="P69" s="391"/>
      <c r="Q69" s="393"/>
    </row>
    <row r="70" spans="7:17" x14ac:dyDescent="0.2">
      <c r="G70" s="390"/>
      <c r="H70" s="390"/>
      <c r="I70" s="390"/>
      <c r="J70" s="392"/>
      <c r="K70" s="390"/>
      <c r="L70" s="390"/>
      <c r="M70" s="390"/>
      <c r="N70" s="390"/>
      <c r="O70" s="390"/>
      <c r="P70" s="391"/>
      <c r="Q70" s="393"/>
    </row>
    <row r="71" spans="7:17" x14ac:dyDescent="0.2">
      <c r="G71" s="390"/>
      <c r="H71" s="390"/>
      <c r="I71" s="390"/>
      <c r="J71" s="392"/>
      <c r="K71" s="390"/>
      <c r="L71" s="390"/>
      <c r="M71" s="390"/>
      <c r="N71" s="391"/>
      <c r="O71" s="392"/>
      <c r="P71" s="390"/>
      <c r="Q71" s="393"/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30"/>
  <sheetViews>
    <sheetView tabSelected="1" zoomScaleNormal="100" workbookViewId="0">
      <pane xSplit="4" ySplit="8" topLeftCell="E9" activePane="bottomRight" state="frozen"/>
      <selection pane="topRight" activeCell="E1" sqref="E1"/>
      <selection pane="bottomLeft" activeCell="A9" sqref="A9"/>
      <selection pane="bottomRight" activeCell="L72" sqref="L72"/>
    </sheetView>
  </sheetViews>
  <sheetFormatPr defaultRowHeight="11.25" x14ac:dyDescent="0.2"/>
  <cols>
    <col min="1" max="1" width="49.83203125" bestFit="1" customWidth="1"/>
    <col min="2" max="2" width="10.33203125" customWidth="1"/>
    <col min="3" max="4" width="12.83203125" customWidth="1"/>
    <col min="5" max="5" width="21.83203125" style="227" customWidth="1"/>
    <col min="6" max="6" width="14.83203125" style="227" customWidth="1"/>
    <col min="7" max="12" width="15.5" style="227" customWidth="1"/>
    <col min="13" max="13" width="15.1640625" style="227" customWidth="1"/>
    <col min="14" max="14" width="14.1640625" customWidth="1"/>
  </cols>
  <sheetData>
    <row r="1" spans="1:14" x14ac:dyDescent="0.2">
      <c r="E1" s="235"/>
      <c r="F1" s="235"/>
      <c r="G1" s="235"/>
      <c r="H1" s="235"/>
      <c r="I1" s="235"/>
      <c r="J1" s="235"/>
      <c r="K1" s="235"/>
      <c r="L1" s="235"/>
      <c r="M1" s="235"/>
    </row>
    <row r="3" spans="1:14" x14ac:dyDescent="0.2">
      <c r="A3" s="7" t="s">
        <v>5</v>
      </c>
      <c r="B3" t="s">
        <v>1022</v>
      </c>
      <c r="D3" s="237"/>
      <c r="E3" s="238"/>
    </row>
    <row r="4" spans="1:14" x14ac:dyDescent="0.2">
      <c r="A4" s="7" t="s">
        <v>367</v>
      </c>
      <c r="B4" t="s">
        <v>1022</v>
      </c>
    </row>
    <row r="5" spans="1:14" ht="12" x14ac:dyDescent="0.2">
      <c r="A5" s="7" t="s">
        <v>335</v>
      </c>
      <c r="B5" t="s">
        <v>1023</v>
      </c>
      <c r="D5" s="232" t="s">
        <v>1193</v>
      </c>
      <c r="E5" s="232">
        <f>SUM(E9:E105)</f>
        <v>-165441833.06</v>
      </c>
      <c r="F5" s="232">
        <f>SUM(F9:F105)</f>
        <v>201561262.52000001</v>
      </c>
      <c r="G5" s="232">
        <f t="shared" ref="G5:M5" si="0">SUM(G9:G105)</f>
        <v>6879.23</v>
      </c>
      <c r="H5" s="232">
        <f t="shared" si="0"/>
        <v>567010</v>
      </c>
      <c r="I5" s="232">
        <f t="shared" si="0"/>
        <v>1260546.5899999999</v>
      </c>
      <c r="J5" s="232">
        <f t="shared" si="0"/>
        <v>180406.76</v>
      </c>
      <c r="K5" s="232">
        <f>SUM(K9:K105)+E3</f>
        <v>4420411.2300000004</v>
      </c>
      <c r="L5" s="232">
        <f t="shared" si="0"/>
        <v>91300.51</v>
      </c>
      <c r="M5" s="232">
        <f t="shared" si="0"/>
        <v>42645983.780000001</v>
      </c>
      <c r="N5" s="352">
        <f>'Источник &gt;&gt;'!G82-'Data for wholesale'!M5</f>
        <v>0</v>
      </c>
    </row>
    <row r="6" spans="1:14" x14ac:dyDescent="0.2">
      <c r="A6" s="35"/>
      <c r="B6" s="35"/>
      <c r="C6" s="35"/>
      <c r="D6" s="35"/>
    </row>
    <row r="7" spans="1:14" x14ac:dyDescent="0.2">
      <c r="A7" s="47" t="s">
        <v>368</v>
      </c>
      <c r="B7" s="47"/>
      <c r="C7" s="47"/>
      <c r="D7" s="47"/>
      <c r="E7" s="7" t="s">
        <v>366</v>
      </c>
      <c r="F7" s="47"/>
      <c r="G7" s="47"/>
      <c r="H7" s="47"/>
      <c r="I7" s="47"/>
      <c r="J7" s="47"/>
      <c r="K7" s="47"/>
      <c r="L7" s="47"/>
      <c r="M7" s="47"/>
    </row>
    <row r="8" spans="1:14" ht="12.75" x14ac:dyDescent="0.2">
      <c r="A8" s="149" t="s">
        <v>3</v>
      </c>
      <c r="B8" s="7" t="s">
        <v>7</v>
      </c>
      <c r="C8" s="150" t="s">
        <v>369</v>
      </c>
      <c r="D8" s="150" t="s">
        <v>2</v>
      </c>
      <c r="E8" s="408" t="s">
        <v>385</v>
      </c>
      <c r="F8" s="409" t="s">
        <v>365</v>
      </c>
      <c r="G8" s="409" t="s">
        <v>351</v>
      </c>
      <c r="H8" s="409" t="s">
        <v>352</v>
      </c>
      <c r="I8" s="409" t="s">
        <v>353</v>
      </c>
      <c r="J8" s="409" t="s">
        <v>354</v>
      </c>
      <c r="K8" s="409" t="s">
        <v>355</v>
      </c>
      <c r="L8" s="409" t="s">
        <v>356</v>
      </c>
      <c r="M8" s="407" t="s">
        <v>1039</v>
      </c>
    </row>
    <row r="9" spans="1:14" x14ac:dyDescent="0.2">
      <c r="A9" s="47" t="s">
        <v>33</v>
      </c>
      <c r="E9" s="231">
        <v>-34032</v>
      </c>
      <c r="F9" s="231"/>
      <c r="G9" s="231"/>
      <c r="H9" s="231"/>
      <c r="I9" s="231"/>
      <c r="J9" s="231"/>
      <c r="K9" s="231"/>
      <c r="L9" s="231"/>
      <c r="M9" s="231">
        <v>-34032</v>
      </c>
    </row>
    <row r="10" spans="1:14" x14ac:dyDescent="0.2">
      <c r="A10" s="47" t="s">
        <v>41</v>
      </c>
      <c r="E10" s="230">
        <v>-198121</v>
      </c>
      <c r="F10" s="230"/>
      <c r="G10" s="230"/>
      <c r="H10" s="230"/>
      <c r="I10" s="230"/>
      <c r="J10" s="230"/>
      <c r="K10" s="230"/>
      <c r="L10" s="230"/>
      <c r="M10" s="230">
        <v>-198121</v>
      </c>
    </row>
    <row r="11" spans="1:14" x14ac:dyDescent="0.2">
      <c r="A11" s="47" t="s">
        <v>44</v>
      </c>
      <c r="E11" s="230">
        <v>-700</v>
      </c>
      <c r="F11" s="230"/>
      <c r="G11" s="230"/>
      <c r="H11" s="230"/>
      <c r="I11" s="230"/>
      <c r="J11" s="230"/>
      <c r="K11" s="230"/>
      <c r="L11" s="230"/>
      <c r="M11" s="230">
        <v>-700</v>
      </c>
    </row>
    <row r="12" spans="1:14" x14ac:dyDescent="0.2">
      <c r="A12" s="47" t="s">
        <v>48</v>
      </c>
      <c r="E12" s="231">
        <v>-169458.16</v>
      </c>
      <c r="F12" s="231"/>
      <c r="G12" s="411"/>
      <c r="H12" s="411">
        <v>560150</v>
      </c>
      <c r="I12" s="411">
        <v>420966.67</v>
      </c>
      <c r="J12" s="231"/>
      <c r="K12" s="231"/>
      <c r="L12" s="231"/>
      <c r="M12" s="231">
        <v>811658.51</v>
      </c>
    </row>
    <row r="13" spans="1:14" x14ac:dyDescent="0.2">
      <c r="A13" s="47" t="s">
        <v>54</v>
      </c>
      <c r="E13" s="230">
        <v>-30012.37</v>
      </c>
      <c r="F13" s="230"/>
      <c r="G13" s="230"/>
      <c r="H13" s="230"/>
      <c r="I13" s="230"/>
      <c r="J13" s="230"/>
      <c r="K13" s="230"/>
      <c r="L13" s="230"/>
      <c r="M13" s="230">
        <v>-30012.37</v>
      </c>
    </row>
    <row r="14" spans="1:14" x14ac:dyDescent="0.2">
      <c r="A14" s="47" t="s">
        <v>60</v>
      </c>
      <c r="E14" s="230">
        <v>-3201565.86</v>
      </c>
      <c r="F14" s="230"/>
      <c r="G14" s="230"/>
      <c r="H14" s="230"/>
      <c r="I14" s="230"/>
      <c r="J14" s="230"/>
      <c r="K14" s="230"/>
      <c r="L14" s="230"/>
      <c r="M14" s="230">
        <v>-3201565.86</v>
      </c>
    </row>
    <row r="15" spans="1:14" x14ac:dyDescent="0.2">
      <c r="A15" s="234" t="s">
        <v>69</v>
      </c>
      <c r="E15" s="230">
        <v>-8839</v>
      </c>
      <c r="F15" s="230">
        <v>9674477.8699999992</v>
      </c>
      <c r="G15" s="231">
        <v>6879.23</v>
      </c>
      <c r="H15" s="230">
        <v>6860</v>
      </c>
      <c r="I15" s="230">
        <v>50930.5</v>
      </c>
      <c r="J15" s="230">
        <v>12466</v>
      </c>
      <c r="K15" s="230">
        <v>4247391.32</v>
      </c>
      <c r="L15" s="230"/>
      <c r="M15" s="230">
        <v>13990165.92</v>
      </c>
    </row>
    <row r="16" spans="1:14" x14ac:dyDescent="0.2">
      <c r="A16" s="47" t="s">
        <v>94</v>
      </c>
      <c r="E16" s="230">
        <v>-7495</v>
      </c>
      <c r="F16" s="230"/>
      <c r="G16" s="230"/>
      <c r="H16" s="230"/>
      <c r="I16" s="230"/>
      <c r="J16" s="230"/>
      <c r="K16" s="230"/>
      <c r="L16" s="230"/>
      <c r="M16" s="230">
        <v>-7495</v>
      </c>
    </row>
    <row r="17" spans="1:13" x14ac:dyDescent="0.2">
      <c r="A17" s="47" t="s">
        <v>98</v>
      </c>
      <c r="E17" s="230">
        <v>-19615479.080000002</v>
      </c>
      <c r="F17" s="230"/>
      <c r="G17" s="230"/>
      <c r="H17" s="230"/>
      <c r="I17" s="230"/>
      <c r="J17" s="230"/>
      <c r="K17" s="230"/>
      <c r="L17" s="230"/>
      <c r="M17" s="230">
        <v>-19615479.080000002</v>
      </c>
    </row>
    <row r="18" spans="1:13" x14ac:dyDescent="0.2">
      <c r="A18" s="47" t="s">
        <v>99</v>
      </c>
      <c r="E18" s="230">
        <v>-11721091.359999999</v>
      </c>
      <c r="F18" s="230">
        <v>7367617.5999999996</v>
      </c>
      <c r="G18" s="230"/>
      <c r="H18" s="230"/>
      <c r="I18" s="230"/>
      <c r="J18" s="230"/>
      <c r="K18" s="230">
        <v>170200</v>
      </c>
      <c r="L18" s="230"/>
      <c r="M18" s="230">
        <v>-4183273.76</v>
      </c>
    </row>
    <row r="19" spans="1:13" x14ac:dyDescent="0.2">
      <c r="A19" s="47" t="s">
        <v>103</v>
      </c>
      <c r="E19" s="230">
        <v>-860926.44</v>
      </c>
      <c r="F19" s="230"/>
      <c r="G19" s="230"/>
      <c r="H19" s="230"/>
      <c r="I19" s="230"/>
      <c r="J19" s="230"/>
      <c r="K19" s="230"/>
      <c r="L19" s="230"/>
      <c r="M19" s="230">
        <v>-860926.44</v>
      </c>
    </row>
    <row r="20" spans="1:13" x14ac:dyDescent="0.2">
      <c r="A20" s="47" t="s">
        <v>105</v>
      </c>
      <c r="E20" s="230">
        <v>-86513</v>
      </c>
      <c r="F20" s="230"/>
      <c r="G20" s="230"/>
      <c r="H20" s="230"/>
      <c r="I20" s="230"/>
      <c r="J20" s="230"/>
      <c r="K20" s="230"/>
      <c r="L20" s="230"/>
      <c r="M20" s="230">
        <v>-86513</v>
      </c>
    </row>
    <row r="21" spans="1:13" x14ac:dyDescent="0.2">
      <c r="A21" s="47" t="s">
        <v>106</v>
      </c>
      <c r="E21" s="230">
        <v>-819186</v>
      </c>
      <c r="F21" s="230"/>
      <c r="G21" s="230"/>
      <c r="H21" s="230"/>
      <c r="I21" s="230"/>
      <c r="J21" s="230"/>
      <c r="K21" s="230"/>
      <c r="L21" s="230"/>
      <c r="M21" s="230">
        <v>-819186</v>
      </c>
    </row>
    <row r="22" spans="1:13" x14ac:dyDescent="0.2">
      <c r="A22" s="47" t="s">
        <v>109</v>
      </c>
      <c r="E22" s="230">
        <v>-11533.5</v>
      </c>
      <c r="F22" s="230"/>
      <c r="G22" s="230"/>
      <c r="H22" s="230"/>
      <c r="I22" s="230"/>
      <c r="J22" s="230"/>
      <c r="K22" s="230"/>
      <c r="L22" s="230"/>
      <c r="M22" s="230">
        <v>-11533.5</v>
      </c>
    </row>
    <row r="23" spans="1:13" x14ac:dyDescent="0.2">
      <c r="A23" s="47" t="s">
        <v>111</v>
      </c>
      <c r="E23" s="230">
        <v>-166755.06</v>
      </c>
      <c r="F23" s="230"/>
      <c r="G23" s="230"/>
      <c r="H23" s="230"/>
      <c r="I23" s="230"/>
      <c r="J23" s="230"/>
      <c r="K23" s="230"/>
      <c r="L23" s="230"/>
      <c r="M23" s="230">
        <v>-166755.06</v>
      </c>
    </row>
    <row r="24" spans="1:13" x14ac:dyDescent="0.2">
      <c r="A24" s="47" t="s">
        <v>114</v>
      </c>
      <c r="E24" s="230">
        <v>-36635.9</v>
      </c>
      <c r="F24" s="230"/>
      <c r="G24" s="230"/>
      <c r="H24" s="230"/>
      <c r="I24" s="230"/>
      <c r="J24" s="230"/>
      <c r="K24" s="230"/>
      <c r="L24" s="230"/>
      <c r="M24" s="230">
        <v>-36635.9</v>
      </c>
    </row>
    <row r="25" spans="1:13" x14ac:dyDescent="0.2">
      <c r="A25" s="47" t="s">
        <v>116</v>
      </c>
      <c r="E25" s="230">
        <v>-229099.86</v>
      </c>
      <c r="F25" s="230"/>
      <c r="G25" s="230"/>
      <c r="H25" s="230"/>
      <c r="I25" s="230"/>
      <c r="J25" s="230"/>
      <c r="K25" s="230"/>
      <c r="L25" s="230"/>
      <c r="M25" s="230">
        <v>-229099.86</v>
      </c>
    </row>
    <row r="26" spans="1:13" x14ac:dyDescent="0.2">
      <c r="A26" s="47" t="s">
        <v>117</v>
      </c>
      <c r="E26" s="230">
        <v>-1759.12</v>
      </c>
      <c r="F26" s="230"/>
      <c r="G26" s="230"/>
      <c r="H26" s="230"/>
      <c r="I26" s="230"/>
      <c r="J26" s="230"/>
      <c r="K26" s="230"/>
      <c r="L26" s="230"/>
      <c r="M26" s="230">
        <v>-1759.12</v>
      </c>
    </row>
    <row r="27" spans="1:13" x14ac:dyDescent="0.2">
      <c r="A27" s="47" t="s">
        <v>119</v>
      </c>
      <c r="E27" s="230">
        <v>-50473</v>
      </c>
      <c r="F27" s="230"/>
      <c r="G27" s="230"/>
      <c r="H27" s="230"/>
      <c r="I27" s="230"/>
      <c r="J27" s="230"/>
      <c r="K27" s="230"/>
      <c r="L27" s="230"/>
      <c r="M27" s="230">
        <v>-50473</v>
      </c>
    </row>
    <row r="28" spans="1:13" x14ac:dyDescent="0.2">
      <c r="A28" s="47" t="s">
        <v>120</v>
      </c>
      <c r="E28" s="230">
        <v>-82254</v>
      </c>
      <c r="F28" s="230"/>
      <c r="G28" s="230"/>
      <c r="H28" s="230"/>
      <c r="I28" s="230"/>
      <c r="J28" s="230"/>
      <c r="K28" s="230"/>
      <c r="L28" s="230"/>
      <c r="M28" s="230">
        <v>-82254</v>
      </c>
    </row>
    <row r="29" spans="1:13" x14ac:dyDescent="0.2">
      <c r="A29" s="47" t="s">
        <v>121</v>
      </c>
      <c r="E29" s="230">
        <v>-57290.6</v>
      </c>
      <c r="F29" s="230"/>
      <c r="G29" s="230"/>
      <c r="H29" s="230"/>
      <c r="I29" s="230"/>
      <c r="J29" s="230"/>
      <c r="K29" s="230"/>
      <c r="L29" s="230"/>
      <c r="M29" s="230">
        <v>-57290.6</v>
      </c>
    </row>
    <row r="30" spans="1:13" x14ac:dyDescent="0.2">
      <c r="A30" s="47" t="s">
        <v>125</v>
      </c>
      <c r="E30" s="230">
        <v>-1618908.33</v>
      </c>
      <c r="F30" s="230"/>
      <c r="G30" s="230"/>
      <c r="H30" s="230"/>
      <c r="I30" s="230"/>
      <c r="J30" s="230"/>
      <c r="K30" s="230"/>
      <c r="L30" s="230"/>
      <c r="M30" s="230">
        <v>-1618908.33</v>
      </c>
    </row>
    <row r="31" spans="1:13" x14ac:dyDescent="0.2">
      <c r="A31" s="47" t="s">
        <v>127</v>
      </c>
      <c r="E31" s="230">
        <v>-7199.46</v>
      </c>
      <c r="F31" s="230"/>
      <c r="G31" s="230"/>
      <c r="H31" s="230"/>
      <c r="I31" s="230"/>
      <c r="J31" s="230"/>
      <c r="K31" s="230"/>
      <c r="L31" s="230"/>
      <c r="M31" s="230">
        <v>-7199.46</v>
      </c>
    </row>
    <row r="32" spans="1:13" x14ac:dyDescent="0.2">
      <c r="A32" s="47" t="s">
        <v>130</v>
      </c>
      <c r="E32" s="230">
        <v>-9548</v>
      </c>
      <c r="F32" s="230"/>
      <c r="G32" s="230"/>
      <c r="H32" s="230"/>
      <c r="I32" s="230"/>
      <c r="J32" s="230"/>
      <c r="K32" s="230"/>
      <c r="L32" s="230"/>
      <c r="M32" s="230">
        <v>-9548</v>
      </c>
    </row>
    <row r="33" spans="1:13" x14ac:dyDescent="0.2">
      <c r="A33" s="47" t="s">
        <v>133</v>
      </c>
      <c r="E33" s="230">
        <v>-255220.18</v>
      </c>
      <c r="F33" s="230"/>
      <c r="G33" s="230"/>
      <c r="H33" s="230"/>
      <c r="I33" s="230"/>
      <c r="J33" s="230"/>
      <c r="K33" s="230"/>
      <c r="L33" s="230"/>
      <c r="M33" s="230">
        <v>-255220.18</v>
      </c>
    </row>
    <row r="34" spans="1:13" x14ac:dyDescent="0.2">
      <c r="A34" s="47" t="s">
        <v>134</v>
      </c>
      <c r="E34" s="230">
        <v>-10198</v>
      </c>
      <c r="F34" s="230"/>
      <c r="G34" s="230"/>
      <c r="H34" s="230"/>
      <c r="I34" s="230"/>
      <c r="J34" s="230"/>
      <c r="K34" s="230"/>
      <c r="L34" s="230"/>
      <c r="M34" s="230">
        <v>-10198</v>
      </c>
    </row>
    <row r="35" spans="1:13" x14ac:dyDescent="0.2">
      <c r="A35" t="s">
        <v>135</v>
      </c>
      <c r="E35" s="230">
        <v>-73000</v>
      </c>
      <c r="F35" s="230"/>
      <c r="G35" s="230"/>
      <c r="H35" s="230"/>
      <c r="I35" s="230"/>
      <c r="J35" s="230"/>
      <c r="K35" s="230"/>
      <c r="L35" s="230"/>
      <c r="M35" s="230">
        <v>-73000</v>
      </c>
    </row>
    <row r="36" spans="1:13" x14ac:dyDescent="0.2">
      <c r="A36" s="47" t="s">
        <v>137</v>
      </c>
      <c r="E36" s="230">
        <v>-134160.04999999999</v>
      </c>
      <c r="F36" s="230"/>
      <c r="G36" s="230"/>
      <c r="H36" s="230"/>
      <c r="I36" s="230"/>
      <c r="J36" s="230"/>
      <c r="K36" s="230"/>
      <c r="L36" s="230"/>
      <c r="M36" s="230">
        <v>-134160.04999999999</v>
      </c>
    </row>
    <row r="37" spans="1:13" x14ac:dyDescent="0.2">
      <c r="A37" s="47" t="s">
        <v>140</v>
      </c>
      <c r="E37" s="230">
        <v>-625.94000000000005</v>
      </c>
      <c r="F37" s="230"/>
      <c r="G37" s="230"/>
      <c r="H37" s="230"/>
      <c r="I37" s="230"/>
      <c r="J37" s="230"/>
      <c r="K37" s="230"/>
      <c r="L37" s="230"/>
      <c r="M37" s="230">
        <v>-625.94000000000005</v>
      </c>
    </row>
    <row r="38" spans="1:13" x14ac:dyDescent="0.2">
      <c r="A38" s="47" t="s">
        <v>142</v>
      </c>
      <c r="E38" s="230">
        <v>-205125.58</v>
      </c>
      <c r="F38" s="230"/>
      <c r="G38" s="230"/>
      <c r="H38" s="230"/>
      <c r="I38" s="230"/>
      <c r="J38" s="230"/>
      <c r="K38" s="230"/>
      <c r="L38" s="230"/>
      <c r="M38" s="230">
        <v>-205125.58</v>
      </c>
    </row>
    <row r="39" spans="1:13" x14ac:dyDescent="0.2">
      <c r="A39" s="47" t="s">
        <v>145</v>
      </c>
      <c r="E39" s="230">
        <v>-53</v>
      </c>
      <c r="F39" s="230"/>
      <c r="G39" s="230"/>
      <c r="H39" s="230"/>
      <c r="I39" s="230"/>
      <c r="J39" s="230"/>
      <c r="K39" s="230"/>
      <c r="L39" s="230"/>
      <c r="M39" s="230">
        <v>-53</v>
      </c>
    </row>
    <row r="40" spans="1:13" x14ac:dyDescent="0.2">
      <c r="A40" s="47" t="s">
        <v>148</v>
      </c>
      <c r="E40" s="230">
        <v>-342272.85</v>
      </c>
      <c r="F40" s="230">
        <v>940525</v>
      </c>
      <c r="G40" s="230"/>
      <c r="H40" s="230"/>
      <c r="I40" s="230"/>
      <c r="J40" s="230"/>
      <c r="K40" s="230"/>
      <c r="L40" s="230"/>
      <c r="M40" s="230">
        <v>598252.15</v>
      </c>
    </row>
    <row r="41" spans="1:13" x14ac:dyDescent="0.2">
      <c r="A41" s="47" t="s">
        <v>149</v>
      </c>
      <c r="E41" s="230">
        <v>-580403.11</v>
      </c>
      <c r="F41" s="230"/>
      <c r="G41" s="230"/>
      <c r="H41" s="230"/>
      <c r="I41" s="230"/>
      <c r="J41" s="230"/>
      <c r="K41" s="230"/>
      <c r="L41" s="230"/>
      <c r="M41" s="230">
        <v>-580403.11</v>
      </c>
    </row>
    <row r="42" spans="1:13" x14ac:dyDescent="0.2">
      <c r="A42" s="47" t="s">
        <v>150</v>
      </c>
      <c r="E42" s="230">
        <v>-413.01</v>
      </c>
      <c r="F42" s="230"/>
      <c r="G42" s="230"/>
      <c r="H42" s="230"/>
      <c r="I42" s="230"/>
      <c r="J42" s="230"/>
      <c r="K42" s="230"/>
      <c r="L42" s="230"/>
      <c r="M42" s="230">
        <v>-413.01</v>
      </c>
    </row>
    <row r="43" spans="1:13" x14ac:dyDescent="0.2">
      <c r="A43" s="47" t="s">
        <v>152</v>
      </c>
      <c r="E43" s="230">
        <v>-241562</v>
      </c>
      <c r="F43" s="230"/>
      <c r="G43" s="230"/>
      <c r="H43" s="230"/>
      <c r="I43" s="230"/>
      <c r="J43" s="230"/>
      <c r="K43" s="230"/>
      <c r="L43" s="230"/>
      <c r="M43" s="230">
        <v>-241562</v>
      </c>
    </row>
    <row r="44" spans="1:13" x14ac:dyDescent="0.2">
      <c r="A44" s="47" t="s">
        <v>154</v>
      </c>
      <c r="E44" s="230">
        <v>-178707.59999999998</v>
      </c>
      <c r="F44" s="230"/>
      <c r="G44" s="230"/>
      <c r="H44" s="230"/>
      <c r="I44" s="230"/>
      <c r="J44" s="230"/>
      <c r="K44" s="230"/>
      <c r="L44" s="230"/>
      <c r="M44" s="230">
        <v>-178707.59999999998</v>
      </c>
    </row>
    <row r="45" spans="1:13" x14ac:dyDescent="0.2">
      <c r="A45" s="47" t="s">
        <v>156</v>
      </c>
      <c r="E45" s="230">
        <v>-110330.7</v>
      </c>
      <c r="F45" s="230"/>
      <c r="G45" s="230"/>
      <c r="H45" s="230"/>
      <c r="I45" s="230"/>
      <c r="J45" s="230"/>
      <c r="K45" s="230"/>
      <c r="L45" s="230"/>
      <c r="M45" s="230">
        <v>-110330.7</v>
      </c>
    </row>
    <row r="46" spans="1:13" x14ac:dyDescent="0.2">
      <c r="A46" s="47" t="s">
        <v>158</v>
      </c>
      <c r="E46" s="230">
        <v>-245.97</v>
      </c>
      <c r="F46" s="230"/>
      <c r="G46" s="230"/>
      <c r="H46" s="230"/>
      <c r="I46" s="230"/>
      <c r="J46" s="230"/>
      <c r="K46" s="230"/>
      <c r="L46" s="230"/>
      <c r="M46" s="230">
        <v>-245.97</v>
      </c>
    </row>
    <row r="47" spans="1:13" x14ac:dyDescent="0.2">
      <c r="A47" s="47" t="s">
        <v>164</v>
      </c>
      <c r="E47" s="230">
        <v>-79689.259999999995</v>
      </c>
      <c r="F47" s="230"/>
      <c r="G47" s="230"/>
      <c r="H47" s="230"/>
      <c r="I47" s="230"/>
      <c r="J47" s="230"/>
      <c r="K47" s="230"/>
      <c r="L47" s="230"/>
      <c r="M47" s="230">
        <v>-79689.259999999995</v>
      </c>
    </row>
    <row r="48" spans="1:13" x14ac:dyDescent="0.2">
      <c r="A48" s="47" t="s">
        <v>168</v>
      </c>
      <c r="E48" s="230">
        <v>-35353.949999999997</v>
      </c>
      <c r="F48" s="230"/>
      <c r="G48" s="230"/>
      <c r="H48" s="230"/>
      <c r="I48" s="230"/>
      <c r="J48" s="230"/>
      <c r="K48" s="230"/>
      <c r="L48" s="230"/>
      <c r="M48" s="230">
        <v>-35353.949999999997</v>
      </c>
    </row>
    <row r="49" spans="1:13" x14ac:dyDescent="0.2">
      <c r="A49" s="47" t="s">
        <v>173</v>
      </c>
      <c r="E49" s="230">
        <v>-57267</v>
      </c>
      <c r="F49" s="230"/>
      <c r="G49" s="230"/>
      <c r="H49" s="230"/>
      <c r="I49" s="230"/>
      <c r="J49" s="230"/>
      <c r="K49" s="230"/>
      <c r="L49" s="230"/>
      <c r="M49" s="230">
        <v>-57267</v>
      </c>
    </row>
    <row r="50" spans="1:13" x14ac:dyDescent="0.2">
      <c r="A50" s="47" t="s">
        <v>178</v>
      </c>
      <c r="E50" s="230">
        <v>-1123932.3999999999</v>
      </c>
      <c r="F50" s="230"/>
      <c r="G50" s="230"/>
      <c r="H50" s="230"/>
      <c r="I50" s="230"/>
      <c r="J50" s="230"/>
      <c r="K50" s="230"/>
      <c r="L50" s="230"/>
      <c r="M50" s="230">
        <v>-1123932.3999999999</v>
      </c>
    </row>
    <row r="51" spans="1:13" x14ac:dyDescent="0.2">
      <c r="A51" s="47" t="s">
        <v>180</v>
      </c>
      <c r="E51" s="230"/>
      <c r="F51" s="230"/>
      <c r="G51" s="230"/>
      <c r="H51" s="230"/>
      <c r="I51" s="230"/>
      <c r="J51" s="230"/>
      <c r="K51" s="230"/>
      <c r="L51" s="230">
        <v>85942.5</v>
      </c>
      <c r="M51" s="230">
        <v>85942.5</v>
      </c>
    </row>
    <row r="52" spans="1:13" x14ac:dyDescent="0.2">
      <c r="A52" s="47" t="s">
        <v>183</v>
      </c>
      <c r="E52" s="230">
        <v>-18087.14</v>
      </c>
      <c r="F52" s="230"/>
      <c r="G52" s="230"/>
      <c r="H52" s="230"/>
      <c r="I52" s="230"/>
      <c r="J52" s="230"/>
      <c r="K52" s="230"/>
      <c r="L52" s="230"/>
      <c r="M52" s="230">
        <v>-18087.14</v>
      </c>
    </row>
    <row r="53" spans="1:13" x14ac:dyDescent="0.2">
      <c r="A53" s="47" t="s">
        <v>185</v>
      </c>
      <c r="E53" s="230"/>
      <c r="F53" s="230">
        <v>5949681.5600000005</v>
      </c>
      <c r="G53" s="230"/>
      <c r="H53" s="230"/>
      <c r="I53" s="230"/>
      <c r="J53" s="230"/>
      <c r="K53" s="230"/>
      <c r="L53" s="230"/>
      <c r="M53" s="230">
        <v>5949681.5600000005</v>
      </c>
    </row>
    <row r="54" spans="1:13" x14ac:dyDescent="0.2">
      <c r="A54" s="47" t="s">
        <v>240</v>
      </c>
      <c r="E54" s="230">
        <v>-37241077.140000001</v>
      </c>
      <c r="F54" s="230">
        <v>72695969.930000007</v>
      </c>
      <c r="G54" s="230"/>
      <c r="H54" s="230"/>
      <c r="I54" s="230"/>
      <c r="J54" s="230"/>
      <c r="K54" s="230"/>
      <c r="L54" s="230"/>
      <c r="M54" s="230">
        <v>35454892.790000007</v>
      </c>
    </row>
    <row r="55" spans="1:13" x14ac:dyDescent="0.2">
      <c r="A55" s="47" t="s">
        <v>250</v>
      </c>
      <c r="E55" s="230">
        <v>-3775.8</v>
      </c>
      <c r="F55" s="230"/>
      <c r="G55" s="230"/>
      <c r="H55" s="230"/>
      <c r="I55" s="230"/>
      <c r="J55" s="230"/>
      <c r="K55" s="230"/>
      <c r="L55" s="230"/>
      <c r="M55" s="230">
        <v>-3775.8</v>
      </c>
    </row>
    <row r="56" spans="1:13" x14ac:dyDescent="0.2">
      <c r="A56" s="47" t="s">
        <v>256</v>
      </c>
      <c r="E56" s="230">
        <v>-144999.4</v>
      </c>
      <c r="F56" s="230"/>
      <c r="G56" s="230"/>
      <c r="H56" s="230"/>
      <c r="I56" s="230"/>
      <c r="J56" s="230"/>
      <c r="K56" s="230"/>
      <c r="L56" s="230"/>
      <c r="M56" s="230">
        <v>-144999.4</v>
      </c>
    </row>
    <row r="57" spans="1:13" x14ac:dyDescent="0.2">
      <c r="A57" s="47" t="s">
        <v>258</v>
      </c>
      <c r="E57" s="230">
        <v>-694717.67999999993</v>
      </c>
      <c r="F57" s="230"/>
      <c r="G57" s="230"/>
      <c r="H57" s="230"/>
      <c r="I57" s="230"/>
      <c r="J57" s="230"/>
      <c r="K57" s="230"/>
      <c r="L57" s="230"/>
      <c r="M57" s="230">
        <v>-694717.67999999993</v>
      </c>
    </row>
    <row r="58" spans="1:13" x14ac:dyDescent="0.2">
      <c r="A58" s="47" t="s">
        <v>262</v>
      </c>
      <c r="E58" s="230">
        <v>-118621.49</v>
      </c>
      <c r="F58" s="230"/>
      <c r="G58" s="230"/>
      <c r="H58" s="230"/>
      <c r="I58" s="230"/>
      <c r="J58" s="230"/>
      <c r="K58" s="230"/>
      <c r="L58" s="230"/>
      <c r="M58" s="230">
        <v>-118621.49</v>
      </c>
    </row>
    <row r="59" spans="1:13" x14ac:dyDescent="0.2">
      <c r="A59" s="47" t="s">
        <v>265</v>
      </c>
      <c r="E59" s="230">
        <v>-887638.04999999993</v>
      </c>
      <c r="F59" s="230"/>
      <c r="G59" s="230"/>
      <c r="H59" s="230"/>
      <c r="I59" s="230"/>
      <c r="J59" s="230"/>
      <c r="K59" s="230"/>
      <c r="L59" s="230"/>
      <c r="M59" s="230">
        <v>-887638.04999999993</v>
      </c>
    </row>
    <row r="60" spans="1:13" x14ac:dyDescent="0.2">
      <c r="A60" s="47" t="s">
        <v>266</v>
      </c>
      <c r="E60" s="230">
        <v>-47278.38</v>
      </c>
      <c r="F60" s="230"/>
      <c r="G60" s="230"/>
      <c r="H60" s="230"/>
      <c r="I60" s="230"/>
      <c r="J60" s="230"/>
      <c r="K60" s="230"/>
      <c r="L60" s="230"/>
      <c r="M60" s="230">
        <v>-47278.38</v>
      </c>
    </row>
    <row r="61" spans="1:13" x14ac:dyDescent="0.2">
      <c r="A61" s="47" t="s">
        <v>267</v>
      </c>
      <c r="E61" s="230">
        <v>-149105.75</v>
      </c>
      <c r="F61" s="230"/>
      <c r="G61" s="230"/>
      <c r="H61" s="230"/>
      <c r="I61" s="230"/>
      <c r="J61" s="230"/>
      <c r="K61" s="230"/>
      <c r="L61" s="230"/>
      <c r="M61" s="230">
        <v>-149105.75</v>
      </c>
    </row>
    <row r="62" spans="1:13" x14ac:dyDescent="0.2">
      <c r="A62" s="47" t="s">
        <v>271</v>
      </c>
      <c r="E62" s="230"/>
      <c r="F62" s="230"/>
      <c r="G62" s="230"/>
      <c r="H62" s="230"/>
      <c r="I62" s="230"/>
      <c r="J62" s="230"/>
      <c r="K62" s="230"/>
      <c r="L62" s="230">
        <v>0.01</v>
      </c>
      <c r="M62" s="230">
        <v>0.01</v>
      </c>
    </row>
    <row r="63" spans="1:13" x14ac:dyDescent="0.2">
      <c r="A63" s="47" t="s">
        <v>275</v>
      </c>
      <c r="E63" s="230">
        <v>-944662.40000000014</v>
      </c>
      <c r="F63" s="230"/>
      <c r="G63" s="230"/>
      <c r="H63" s="230"/>
      <c r="I63" s="230"/>
      <c r="J63" s="230"/>
      <c r="K63" s="230"/>
      <c r="L63" s="230"/>
      <c r="M63" s="230">
        <v>-944662.40000000014</v>
      </c>
    </row>
    <row r="64" spans="1:13" x14ac:dyDescent="0.2">
      <c r="A64" s="47" t="s">
        <v>276</v>
      </c>
      <c r="E64" s="230">
        <v>-46500</v>
      </c>
      <c r="F64" s="230"/>
      <c r="G64" s="230"/>
      <c r="H64" s="230"/>
      <c r="I64" s="230"/>
      <c r="J64" s="230"/>
      <c r="K64" s="230"/>
      <c r="L64" s="230"/>
      <c r="M64" s="230">
        <v>-46500</v>
      </c>
    </row>
    <row r="65" spans="1:13" x14ac:dyDescent="0.2">
      <c r="A65" s="47" t="s">
        <v>277</v>
      </c>
      <c r="E65" s="230"/>
      <c r="F65" s="410">
        <v>1011182.09</v>
      </c>
      <c r="G65" s="230"/>
      <c r="H65" s="230"/>
      <c r="I65" s="410">
        <v>788649.41999999993</v>
      </c>
      <c r="J65" s="410">
        <v>167939.96000000002</v>
      </c>
      <c r="K65" s="410">
        <v>2819.91</v>
      </c>
      <c r="L65" s="410"/>
      <c r="M65" s="230">
        <v>1970591.3799999997</v>
      </c>
    </row>
    <row r="66" spans="1:13" x14ac:dyDescent="0.2">
      <c r="A66" s="47" t="s">
        <v>279</v>
      </c>
      <c r="E66" s="230">
        <v>-400029.78</v>
      </c>
      <c r="F66" s="230"/>
      <c r="G66" s="230"/>
      <c r="H66" s="230"/>
      <c r="I66" s="230"/>
      <c r="J66" s="230"/>
      <c r="K66" s="230"/>
      <c r="L66" s="230"/>
      <c r="M66" s="230">
        <v>-400029.78</v>
      </c>
    </row>
    <row r="67" spans="1:13" x14ac:dyDescent="0.2">
      <c r="A67" s="47" t="s">
        <v>280</v>
      </c>
      <c r="E67" s="230">
        <v>-44239338.730000004</v>
      </c>
      <c r="F67" s="230">
        <v>42790263</v>
      </c>
      <c r="G67" s="230"/>
      <c r="H67" s="230"/>
      <c r="I67" s="230"/>
      <c r="J67" s="230"/>
      <c r="K67" s="230"/>
      <c r="L67" s="230"/>
      <c r="M67" s="230">
        <v>-1449075.7300000042</v>
      </c>
    </row>
    <row r="68" spans="1:13" x14ac:dyDescent="0.2">
      <c r="A68" s="47" t="s">
        <v>285</v>
      </c>
      <c r="E68" s="230">
        <v>-28302906.390000001</v>
      </c>
      <c r="F68" s="230">
        <v>50792891</v>
      </c>
      <c r="G68" s="230"/>
      <c r="H68" s="230"/>
      <c r="I68" s="230"/>
      <c r="J68" s="230"/>
      <c r="K68" s="230"/>
      <c r="L68" s="230"/>
      <c r="M68" s="230">
        <v>22489984.609999999</v>
      </c>
    </row>
    <row r="69" spans="1:13" x14ac:dyDescent="0.2">
      <c r="A69" s="47" t="s">
        <v>292</v>
      </c>
      <c r="E69" s="230">
        <v>-988652.84</v>
      </c>
      <c r="F69" s="230">
        <v>565994.06999999995</v>
      </c>
      <c r="G69" s="230"/>
      <c r="H69" s="230"/>
      <c r="I69" s="230"/>
      <c r="J69" s="230"/>
      <c r="K69" s="230"/>
      <c r="L69" s="230"/>
      <c r="M69" s="230">
        <v>-422658.77</v>
      </c>
    </row>
    <row r="70" spans="1:13" x14ac:dyDescent="0.2">
      <c r="A70" s="47" t="s">
        <v>296</v>
      </c>
      <c r="E70" s="230">
        <v>-538811.61</v>
      </c>
      <c r="F70" s="230"/>
      <c r="G70" s="230"/>
      <c r="H70" s="230"/>
      <c r="I70" s="230"/>
      <c r="J70" s="230"/>
      <c r="K70" s="230"/>
      <c r="L70" s="230"/>
      <c r="M70" s="230">
        <v>-538811.61</v>
      </c>
    </row>
    <row r="71" spans="1:13" x14ac:dyDescent="0.2">
      <c r="A71" t="s">
        <v>298</v>
      </c>
      <c r="E71" s="230">
        <v>-30096</v>
      </c>
      <c r="F71" s="230">
        <v>3383464</v>
      </c>
      <c r="G71" s="230"/>
      <c r="H71" s="230"/>
      <c r="I71" s="230"/>
      <c r="J71" s="230"/>
      <c r="K71" s="230"/>
      <c r="L71" s="230"/>
      <c r="M71" s="230">
        <v>3353368</v>
      </c>
    </row>
    <row r="72" spans="1:13" x14ac:dyDescent="0.2">
      <c r="A72" s="47" t="s">
        <v>310</v>
      </c>
      <c r="E72" s="230">
        <v>-0.01</v>
      </c>
      <c r="F72" s="230">
        <v>5018850</v>
      </c>
      <c r="G72" s="230"/>
      <c r="H72" s="230"/>
      <c r="I72" s="230"/>
      <c r="J72" s="230"/>
      <c r="K72" s="230"/>
      <c r="L72" s="410">
        <v>5358</v>
      </c>
      <c r="M72" s="230">
        <v>5024207.99</v>
      </c>
    </row>
    <row r="73" spans="1:13" x14ac:dyDescent="0.2">
      <c r="A73" s="47" t="s">
        <v>315</v>
      </c>
      <c r="E73" s="230">
        <v>-1345382.9100000001</v>
      </c>
      <c r="F73" s="230"/>
      <c r="G73" s="230"/>
      <c r="H73" s="230"/>
      <c r="I73" s="230"/>
      <c r="J73" s="230"/>
      <c r="K73" s="230"/>
      <c r="L73" s="230"/>
      <c r="M73" s="230">
        <v>-1345382.9100000001</v>
      </c>
    </row>
    <row r="74" spans="1:13" x14ac:dyDescent="0.2">
      <c r="A74" s="47" t="s">
        <v>324</v>
      </c>
      <c r="E74" s="230">
        <v>-544281</v>
      </c>
      <c r="F74" s="230">
        <v>1370346.4</v>
      </c>
      <c r="G74" s="230"/>
      <c r="H74" s="230"/>
      <c r="I74" s="230"/>
      <c r="J74" s="230"/>
      <c r="K74" s="230"/>
      <c r="L74" s="230"/>
      <c r="M74" s="230">
        <v>826065.39999999991</v>
      </c>
    </row>
    <row r="75" spans="1:13" x14ac:dyDescent="0.2">
      <c r="A75" s="47" t="s">
        <v>327</v>
      </c>
      <c r="E75" s="230">
        <v>-85944.35</v>
      </c>
      <c r="F75" s="230"/>
      <c r="G75" s="230"/>
      <c r="H75" s="230"/>
      <c r="I75" s="230"/>
      <c r="J75" s="230"/>
      <c r="K75" s="230"/>
      <c r="L75" s="230"/>
      <c r="M75" s="230">
        <v>-85944.35</v>
      </c>
    </row>
    <row r="76" spans="1:13" x14ac:dyDescent="0.2">
      <c r="A76" s="47" t="s">
        <v>328</v>
      </c>
      <c r="E76" s="230">
        <v>-273140.3</v>
      </c>
      <c r="F76" s="230"/>
      <c r="G76" s="230"/>
      <c r="H76" s="230"/>
      <c r="I76" s="230"/>
      <c r="J76" s="230"/>
      <c r="K76" s="230"/>
      <c r="L76" s="230"/>
      <c r="M76" s="230">
        <v>-273140.3</v>
      </c>
    </row>
    <row r="77" spans="1:13" x14ac:dyDescent="0.2">
      <c r="A77" s="47" t="s">
        <v>549</v>
      </c>
      <c r="E77" s="230">
        <v>-95438.37</v>
      </c>
      <c r="F77" s="230"/>
      <c r="G77" s="230"/>
      <c r="H77" s="230"/>
      <c r="I77" s="230"/>
      <c r="J77" s="230"/>
      <c r="K77" s="230"/>
      <c r="L77" s="230"/>
      <c r="M77" s="230">
        <v>-95438.37</v>
      </c>
    </row>
    <row r="78" spans="1:13" x14ac:dyDescent="0.2">
      <c r="A78" s="47" t="s">
        <v>726</v>
      </c>
      <c r="E78" s="230">
        <v>-1144349</v>
      </c>
      <c r="F78" s="230"/>
      <c r="G78" s="230"/>
      <c r="H78" s="230"/>
      <c r="I78" s="230"/>
      <c r="J78" s="230"/>
      <c r="K78" s="230"/>
      <c r="L78" s="230"/>
      <c r="M78" s="230">
        <v>-1144349</v>
      </c>
    </row>
    <row r="79" spans="1:13" x14ac:dyDescent="0.2">
      <c r="A79" s="47" t="s">
        <v>730</v>
      </c>
      <c r="E79" s="230">
        <v>-69037.63</v>
      </c>
      <c r="F79" s="230"/>
      <c r="G79" s="230"/>
      <c r="H79" s="230"/>
      <c r="I79" s="230"/>
      <c r="J79" s="230"/>
      <c r="K79" s="230"/>
      <c r="L79" s="230"/>
      <c r="M79" s="230">
        <v>-69037.63</v>
      </c>
    </row>
    <row r="80" spans="1:13" x14ac:dyDescent="0.2">
      <c r="A80" s="47" t="s">
        <v>732</v>
      </c>
      <c r="E80" s="230">
        <v>-103355.81</v>
      </c>
      <c r="F80" s="230"/>
      <c r="G80" s="230"/>
      <c r="H80" s="230"/>
      <c r="I80" s="230"/>
      <c r="J80" s="230"/>
      <c r="K80" s="230"/>
      <c r="L80" s="230"/>
      <c r="M80" s="230">
        <v>-103355.81</v>
      </c>
    </row>
    <row r="81" spans="1:13" x14ac:dyDescent="0.2">
      <c r="A81" s="47" t="s">
        <v>733</v>
      </c>
      <c r="E81" s="230">
        <v>-721170</v>
      </c>
      <c r="F81" s="230"/>
      <c r="G81" s="230"/>
      <c r="H81" s="230"/>
      <c r="I81" s="230"/>
      <c r="J81" s="230"/>
      <c r="K81" s="230"/>
      <c r="L81" s="230"/>
      <c r="M81" s="230">
        <v>-721170</v>
      </c>
    </row>
    <row r="82" spans="1:13" x14ac:dyDescent="0.2">
      <c r="A82" s="47" t="s">
        <v>734</v>
      </c>
      <c r="E82" s="230">
        <v>-278680.69</v>
      </c>
      <c r="F82" s="230"/>
      <c r="G82" s="230"/>
      <c r="H82" s="230"/>
      <c r="I82" s="230"/>
      <c r="J82" s="230"/>
      <c r="K82" s="230"/>
      <c r="L82" s="230"/>
      <c r="M82" s="230">
        <v>-278680.69</v>
      </c>
    </row>
    <row r="83" spans="1:13" x14ac:dyDescent="0.2">
      <c r="A83" t="s">
        <v>874</v>
      </c>
      <c r="E83" s="230">
        <v>-139331</v>
      </c>
      <c r="F83" s="230"/>
      <c r="G83" s="230"/>
      <c r="H83" s="230"/>
      <c r="I83" s="230"/>
      <c r="J83" s="230"/>
      <c r="K83" s="230"/>
      <c r="L83" s="230"/>
      <c r="M83" s="230">
        <v>-139331</v>
      </c>
    </row>
    <row r="84" spans="1:13" x14ac:dyDescent="0.2">
      <c r="A84" t="s">
        <v>769</v>
      </c>
      <c r="E84" s="230">
        <v>-301128.5</v>
      </c>
      <c r="F84" s="230"/>
      <c r="G84" s="230"/>
      <c r="H84" s="230"/>
      <c r="I84" s="230"/>
      <c r="J84" s="230"/>
      <c r="K84" s="230"/>
      <c r="L84" s="230"/>
      <c r="M84" s="230">
        <v>-301128.5</v>
      </c>
    </row>
    <row r="85" spans="1:13" x14ac:dyDescent="0.2">
      <c r="A85" t="s">
        <v>1198</v>
      </c>
      <c r="E85" s="230">
        <v>-220629.55</v>
      </c>
      <c r="F85" s="230"/>
      <c r="G85" s="230"/>
      <c r="H85" s="230"/>
      <c r="I85" s="230"/>
      <c r="J85" s="230"/>
      <c r="K85" s="230"/>
      <c r="L85" s="230"/>
      <c r="M85" s="230">
        <v>-220629.55</v>
      </c>
    </row>
    <row r="86" spans="1:13" x14ac:dyDescent="0.2">
      <c r="A86" t="s">
        <v>1136</v>
      </c>
      <c r="E86" s="230">
        <v>-1861824.5699999998</v>
      </c>
      <c r="F86" s="230"/>
      <c r="G86" s="230"/>
      <c r="H86" s="230"/>
      <c r="I86" s="230"/>
      <c r="J86" s="230"/>
      <c r="K86" s="230"/>
      <c r="L86" s="230"/>
      <c r="M86" s="230">
        <v>-1861824.5699999998</v>
      </c>
    </row>
    <row r="87" spans="1:13" x14ac:dyDescent="0.2">
      <c r="A87" t="s">
        <v>1390</v>
      </c>
      <c r="E87" s="230">
        <v>-66196.14</v>
      </c>
      <c r="F87" s="230"/>
      <c r="G87" s="230"/>
      <c r="H87" s="230"/>
      <c r="I87" s="230"/>
      <c r="J87" s="230"/>
      <c r="K87" s="230"/>
      <c r="L87" s="230"/>
      <c r="M87" s="230">
        <v>-66196.14</v>
      </c>
    </row>
    <row r="88" spans="1:13" x14ac:dyDescent="0.2">
      <c r="A88" t="s">
        <v>1485</v>
      </c>
      <c r="E88" s="230">
        <v>-85906.98</v>
      </c>
      <c r="F88" s="230"/>
      <c r="G88" s="230"/>
      <c r="H88" s="230"/>
      <c r="I88" s="230"/>
      <c r="J88" s="230"/>
      <c r="K88" s="230"/>
      <c r="L88" s="230"/>
      <c r="M88" s="230">
        <v>-85906.98</v>
      </c>
    </row>
    <row r="89" spans="1:13" x14ac:dyDescent="0.2">
      <c r="A89" t="s">
        <v>1394</v>
      </c>
      <c r="E89" s="230">
        <v>-117513.43</v>
      </c>
      <c r="F89" s="230"/>
      <c r="G89" s="230"/>
      <c r="H89" s="230"/>
      <c r="I89" s="230"/>
      <c r="J89" s="230"/>
      <c r="K89" s="230"/>
      <c r="L89" s="230"/>
      <c r="M89" s="230">
        <v>-117513.43</v>
      </c>
    </row>
    <row r="90" spans="1:13" x14ac:dyDescent="0.2">
      <c r="A90" t="s">
        <v>1428</v>
      </c>
      <c r="E90" s="230">
        <v>-172960.58</v>
      </c>
      <c r="F90" s="230"/>
      <c r="G90" s="230"/>
      <c r="H90" s="230"/>
      <c r="I90" s="230"/>
      <c r="J90" s="230"/>
      <c r="K90" s="230"/>
      <c r="L90" s="230"/>
      <c r="M90" s="230">
        <v>-172960.58</v>
      </c>
    </row>
    <row r="91" spans="1:13" x14ac:dyDescent="0.2">
      <c r="A91" t="s">
        <v>1469</v>
      </c>
      <c r="E91" s="230">
        <v>-281250</v>
      </c>
      <c r="F91" s="230"/>
      <c r="G91" s="230"/>
      <c r="H91" s="230"/>
      <c r="I91" s="230"/>
      <c r="J91" s="230">
        <v>0.8</v>
      </c>
      <c r="K91" s="230"/>
      <c r="L91" s="230"/>
      <c r="M91" s="230">
        <v>-281249.2</v>
      </c>
    </row>
    <row r="92" spans="1:13" x14ac:dyDescent="0.2">
      <c r="A92" t="s">
        <v>1486</v>
      </c>
      <c r="E92" s="230">
        <v>-95860</v>
      </c>
      <c r="F92" s="230"/>
      <c r="G92" s="230"/>
      <c r="H92" s="230"/>
      <c r="I92" s="230"/>
      <c r="J92" s="230"/>
      <c r="K92" s="230"/>
      <c r="L92" s="230"/>
      <c r="M92" s="230">
        <v>-95860</v>
      </c>
    </row>
    <row r="93" spans="1:13" x14ac:dyDescent="0.2">
      <c r="A93" t="s">
        <v>1596</v>
      </c>
      <c r="E93" s="230">
        <v>-869.5</v>
      </c>
      <c r="F93" s="230"/>
      <c r="G93" s="230"/>
      <c r="H93" s="230"/>
      <c r="I93" s="230"/>
      <c r="J93" s="230"/>
      <c r="K93" s="230"/>
      <c r="L93" s="230"/>
      <c r="M93" s="230">
        <v>-869.5</v>
      </c>
    </row>
    <row r="94" spans="1:13" x14ac:dyDescent="0.2">
      <c r="A94" t="s">
        <v>1632</v>
      </c>
      <c r="E94" s="230">
        <v>-151396.46</v>
      </c>
      <c r="F94" s="230"/>
      <c r="G94" s="230"/>
      <c r="H94" s="230"/>
      <c r="I94" s="230"/>
      <c r="J94" s="230"/>
      <c r="K94" s="230"/>
      <c r="L94" s="230"/>
      <c r="M94" s="230">
        <v>-151396.46</v>
      </c>
    </row>
    <row r="95" spans="1:13" x14ac:dyDescent="0.2">
      <c r="A95" t="s">
        <v>1640</v>
      </c>
      <c r="E95" s="230">
        <v>-36451</v>
      </c>
      <c r="F95" s="230"/>
      <c r="G95" s="230"/>
      <c r="H95" s="230"/>
      <c r="I95" s="230"/>
      <c r="J95" s="230"/>
      <c r="K95" s="230"/>
      <c r="L95" s="230"/>
      <c r="M95" s="230">
        <v>-36451</v>
      </c>
    </row>
    <row r="96" spans="1:13" x14ac:dyDescent="0.2">
      <c r="E96"/>
      <c r="F96"/>
      <c r="G96"/>
      <c r="H96"/>
      <c r="I96"/>
      <c r="J96"/>
      <c r="K96"/>
      <c r="L96"/>
      <c r="M96"/>
    </row>
    <row r="97" spans="1:13" x14ac:dyDescent="0.2">
      <c r="E97"/>
      <c r="F97"/>
      <c r="G97"/>
      <c r="H97"/>
      <c r="I97"/>
      <c r="J97"/>
      <c r="K97"/>
      <c r="L97"/>
      <c r="M97"/>
    </row>
    <row r="98" spans="1:13" x14ac:dyDescent="0.2">
      <c r="E98"/>
      <c r="F98"/>
      <c r="G98"/>
      <c r="H98"/>
      <c r="I98"/>
      <c r="J98"/>
      <c r="K98"/>
      <c r="L98"/>
      <c r="M98"/>
    </row>
    <row r="99" spans="1:13" x14ac:dyDescent="0.2">
      <c r="E99"/>
      <c r="F99"/>
      <c r="G99"/>
      <c r="H99"/>
      <c r="I99"/>
      <c r="J99"/>
      <c r="K99"/>
      <c r="L99"/>
      <c r="M99"/>
    </row>
    <row r="100" spans="1:13" x14ac:dyDescent="0.2">
      <c r="E100"/>
      <c r="F100"/>
      <c r="G100"/>
      <c r="H100"/>
      <c r="I100"/>
      <c r="J100"/>
      <c r="K100"/>
      <c r="L100"/>
      <c r="M100"/>
    </row>
    <row r="101" spans="1:13" x14ac:dyDescent="0.2">
      <c r="E101"/>
      <c r="F101"/>
      <c r="G101"/>
      <c r="H101"/>
      <c r="I101"/>
      <c r="J101"/>
      <c r="K101"/>
      <c r="L101"/>
      <c r="M101"/>
    </row>
    <row r="102" spans="1:13" x14ac:dyDescent="0.2">
      <c r="A102" s="47"/>
      <c r="B102" s="47"/>
      <c r="C102" s="47"/>
      <c r="D102" s="47"/>
    </row>
    <row r="103" spans="1:13" x14ac:dyDescent="0.2">
      <c r="A103" s="47"/>
      <c r="B103" s="47"/>
      <c r="C103" s="47"/>
      <c r="D103" s="47"/>
    </row>
    <row r="104" spans="1:13" x14ac:dyDescent="0.2">
      <c r="A104" s="47"/>
      <c r="B104" s="47"/>
      <c r="C104" s="47"/>
      <c r="D104" s="47"/>
    </row>
    <row r="105" spans="1:13" x14ac:dyDescent="0.2">
      <c r="A105" s="47"/>
      <c r="B105" s="47"/>
      <c r="C105" s="47"/>
      <c r="D105" s="47"/>
    </row>
    <row r="106" spans="1:13" x14ac:dyDescent="0.2">
      <c r="A106" s="47"/>
      <c r="B106" s="47"/>
      <c r="C106" s="47"/>
      <c r="D106" s="47"/>
    </row>
    <row r="107" spans="1:13" x14ac:dyDescent="0.2">
      <c r="A107" s="47"/>
      <c r="B107" s="47"/>
      <c r="C107" s="47"/>
      <c r="D107" s="47"/>
    </row>
    <row r="108" spans="1:13" x14ac:dyDescent="0.2">
      <c r="A108" s="47"/>
      <c r="B108" s="47"/>
      <c r="C108" s="47"/>
      <c r="D108" s="47"/>
    </row>
    <row r="109" spans="1:13" x14ac:dyDescent="0.2">
      <c r="A109" s="47"/>
      <c r="B109" s="47"/>
      <c r="C109" s="47"/>
      <c r="D109" s="47"/>
    </row>
    <row r="110" spans="1:13" x14ac:dyDescent="0.2">
      <c r="A110" s="47"/>
      <c r="B110" s="47"/>
      <c r="C110" s="47"/>
      <c r="D110" s="47"/>
    </row>
    <row r="111" spans="1:13" x14ac:dyDescent="0.2">
      <c r="A111" s="47"/>
      <c r="B111" s="47"/>
      <c r="C111" s="47"/>
      <c r="D111" s="47"/>
    </row>
    <row r="112" spans="1:13" x14ac:dyDescent="0.2">
      <c r="A112" s="47"/>
      <c r="B112" s="47"/>
      <c r="C112" s="47"/>
      <c r="D112" s="47"/>
    </row>
    <row r="113" spans="1:4" x14ac:dyDescent="0.2">
      <c r="A113" s="47"/>
      <c r="B113" s="47"/>
      <c r="C113" s="47"/>
      <c r="D113" s="47"/>
    </row>
    <row r="114" spans="1:4" x14ac:dyDescent="0.2">
      <c r="A114" s="47"/>
      <c r="B114" s="47"/>
      <c r="C114" s="47"/>
      <c r="D114" s="47"/>
    </row>
    <row r="115" spans="1:4" x14ac:dyDescent="0.2">
      <c r="A115" s="47"/>
      <c r="B115" s="47"/>
      <c r="C115" s="47"/>
      <c r="D115" s="47"/>
    </row>
    <row r="116" spans="1:4" x14ac:dyDescent="0.2">
      <c r="A116" s="47"/>
      <c r="B116" s="47"/>
      <c r="C116" s="47"/>
      <c r="D116" s="47"/>
    </row>
    <row r="117" spans="1:4" x14ac:dyDescent="0.2">
      <c r="A117" s="47"/>
      <c r="B117" s="47"/>
      <c r="C117" s="47"/>
      <c r="D117" s="47"/>
    </row>
    <row r="118" spans="1:4" x14ac:dyDescent="0.2">
      <c r="A118" s="47"/>
      <c r="B118" s="47"/>
      <c r="C118" s="47"/>
      <c r="D118" s="47"/>
    </row>
    <row r="119" spans="1:4" x14ac:dyDescent="0.2">
      <c r="A119" s="47"/>
      <c r="B119" s="47"/>
      <c r="C119" s="47"/>
      <c r="D119" s="47"/>
    </row>
    <row r="120" spans="1:4" x14ac:dyDescent="0.2">
      <c r="A120" s="47"/>
      <c r="B120" s="47"/>
      <c r="C120" s="47"/>
      <c r="D120" s="47"/>
    </row>
    <row r="121" spans="1:4" x14ac:dyDescent="0.2">
      <c r="A121" s="47"/>
      <c r="B121" s="47"/>
      <c r="C121" s="47"/>
      <c r="D121" s="47"/>
    </row>
    <row r="122" spans="1:4" x14ac:dyDescent="0.2">
      <c r="A122" s="47"/>
      <c r="B122" s="47"/>
      <c r="C122" s="47"/>
      <c r="D122" s="47"/>
    </row>
    <row r="123" spans="1:4" x14ac:dyDescent="0.2">
      <c r="A123" s="47"/>
      <c r="B123" s="47"/>
      <c r="C123" s="47"/>
      <c r="D123" s="47"/>
    </row>
    <row r="124" spans="1:4" x14ac:dyDescent="0.2">
      <c r="A124" s="47"/>
      <c r="B124" s="47"/>
      <c r="C124" s="47"/>
      <c r="D124" s="47"/>
    </row>
    <row r="125" spans="1:4" x14ac:dyDescent="0.2">
      <c r="A125" s="47"/>
      <c r="B125" s="47"/>
      <c r="C125" s="47"/>
      <c r="D125" s="47"/>
    </row>
    <row r="126" spans="1:4" x14ac:dyDescent="0.2">
      <c r="A126" s="47"/>
      <c r="B126" s="47"/>
      <c r="C126" s="47"/>
      <c r="D126" s="47"/>
    </row>
    <row r="127" spans="1:4" x14ac:dyDescent="0.2">
      <c r="A127" s="47"/>
      <c r="B127" s="47"/>
      <c r="C127" s="47"/>
      <c r="D127" s="47"/>
    </row>
    <row r="128" spans="1:4" x14ac:dyDescent="0.2">
      <c r="A128" s="47"/>
      <c r="B128" s="47"/>
      <c r="C128" s="47"/>
      <c r="D128" s="47"/>
    </row>
    <row r="129" spans="1:4" x14ac:dyDescent="0.2">
      <c r="A129" s="47"/>
      <c r="B129" s="47"/>
      <c r="C129" s="47"/>
      <c r="D129" s="47"/>
    </row>
    <row r="130" spans="1:4" x14ac:dyDescent="0.2">
      <c r="A130" s="47"/>
      <c r="B130" s="47"/>
      <c r="C130" s="47"/>
      <c r="D130" s="47"/>
    </row>
    <row r="131" spans="1:4" x14ac:dyDescent="0.2">
      <c r="A131" s="47"/>
      <c r="B131" s="47"/>
      <c r="C131" s="47"/>
      <c r="D131" s="47"/>
    </row>
    <row r="132" spans="1:4" x14ac:dyDescent="0.2">
      <c r="A132" s="47"/>
      <c r="B132" s="47"/>
      <c r="C132" s="47"/>
      <c r="D132" s="47"/>
    </row>
    <row r="133" spans="1:4" x14ac:dyDescent="0.2">
      <c r="A133" s="47"/>
      <c r="B133" s="47"/>
      <c r="C133" s="47"/>
      <c r="D133" s="47"/>
    </row>
    <row r="134" spans="1:4" x14ac:dyDescent="0.2">
      <c r="A134" s="47"/>
      <c r="B134" s="47"/>
      <c r="C134" s="47"/>
      <c r="D134" s="47"/>
    </row>
    <row r="135" spans="1:4" x14ac:dyDescent="0.2">
      <c r="A135" s="47"/>
      <c r="B135" s="47"/>
      <c r="C135" s="47"/>
      <c r="D135" s="47"/>
    </row>
    <row r="136" spans="1:4" x14ac:dyDescent="0.2">
      <c r="A136" s="47"/>
      <c r="B136" s="47"/>
      <c r="C136" s="47"/>
      <c r="D136" s="47"/>
    </row>
    <row r="137" spans="1:4" x14ac:dyDescent="0.2">
      <c r="A137" s="47"/>
      <c r="B137" s="47"/>
      <c r="C137" s="47"/>
      <c r="D137" s="47"/>
    </row>
    <row r="138" spans="1:4" x14ac:dyDescent="0.2">
      <c r="A138" s="47"/>
      <c r="B138" s="47"/>
      <c r="C138" s="47"/>
      <c r="D138" s="47"/>
    </row>
    <row r="139" spans="1:4" x14ac:dyDescent="0.2">
      <c r="A139" s="47"/>
      <c r="B139" s="47"/>
      <c r="C139" s="47"/>
      <c r="D139" s="47"/>
    </row>
    <row r="140" spans="1:4" x14ac:dyDescent="0.2">
      <c r="A140" s="47"/>
      <c r="B140" s="47"/>
      <c r="C140" s="47"/>
      <c r="D140" s="47"/>
    </row>
    <row r="141" spans="1:4" x14ac:dyDescent="0.2">
      <c r="A141" s="47"/>
      <c r="B141" s="47"/>
      <c r="C141" s="47"/>
      <c r="D141" s="47"/>
    </row>
    <row r="142" spans="1:4" x14ac:dyDescent="0.2">
      <c r="A142" s="47"/>
      <c r="B142" s="47"/>
      <c r="C142" s="47"/>
      <c r="D142" s="47"/>
    </row>
    <row r="143" spans="1:4" x14ac:dyDescent="0.2">
      <c r="A143" s="47"/>
      <c r="B143" s="47"/>
      <c r="C143" s="47"/>
      <c r="D143" s="47"/>
    </row>
    <row r="144" spans="1:4" x14ac:dyDescent="0.2">
      <c r="A144" s="47"/>
      <c r="B144" s="47"/>
      <c r="C144" s="47"/>
      <c r="D144" s="47"/>
    </row>
    <row r="145" spans="1:4" x14ac:dyDescent="0.2">
      <c r="A145" s="47"/>
      <c r="B145" s="47"/>
      <c r="C145" s="47"/>
      <c r="D145" s="47"/>
    </row>
    <row r="146" spans="1:4" x14ac:dyDescent="0.2">
      <c r="A146" s="47"/>
      <c r="B146" s="47"/>
      <c r="C146" s="47"/>
      <c r="D146" s="47"/>
    </row>
    <row r="147" spans="1:4" x14ac:dyDescent="0.2">
      <c r="A147" s="47"/>
      <c r="B147" s="47"/>
      <c r="C147" s="47"/>
      <c r="D147" s="47"/>
    </row>
    <row r="148" spans="1:4" x14ac:dyDescent="0.2">
      <c r="A148" s="47"/>
      <c r="B148" s="47"/>
      <c r="C148" s="47"/>
      <c r="D148" s="47"/>
    </row>
    <row r="149" spans="1:4" x14ac:dyDescent="0.2">
      <c r="A149" s="47"/>
      <c r="B149" s="47"/>
      <c r="C149" s="47"/>
      <c r="D149" s="47"/>
    </row>
    <row r="150" spans="1:4" x14ac:dyDescent="0.2">
      <c r="A150" s="47"/>
      <c r="B150" s="47"/>
      <c r="C150" s="47"/>
      <c r="D150" s="47"/>
    </row>
    <row r="151" spans="1:4" x14ac:dyDescent="0.2">
      <c r="A151" s="47"/>
      <c r="B151" s="47"/>
      <c r="C151" s="47"/>
      <c r="D151" s="47"/>
    </row>
    <row r="152" spans="1:4" x14ac:dyDescent="0.2">
      <c r="A152" s="47"/>
      <c r="B152" s="47"/>
      <c r="C152" s="47"/>
      <c r="D152" s="47"/>
    </row>
    <row r="153" spans="1:4" x14ac:dyDescent="0.2">
      <c r="A153" s="47"/>
      <c r="B153" s="47"/>
      <c r="C153" s="47"/>
      <c r="D153" s="47"/>
    </row>
    <row r="154" spans="1:4" x14ac:dyDescent="0.2">
      <c r="A154" s="47"/>
      <c r="B154" s="47"/>
      <c r="C154" s="47"/>
      <c r="D154" s="47"/>
    </row>
    <row r="155" spans="1:4" x14ac:dyDescent="0.2">
      <c r="A155" s="47"/>
      <c r="B155" s="47"/>
      <c r="C155" s="47"/>
      <c r="D155" s="47"/>
    </row>
    <row r="156" spans="1:4" x14ac:dyDescent="0.2">
      <c r="A156" s="47"/>
      <c r="B156" s="47"/>
      <c r="C156" s="47"/>
      <c r="D156" s="47"/>
    </row>
    <row r="157" spans="1:4" x14ac:dyDescent="0.2">
      <c r="A157" s="47"/>
      <c r="B157" s="47"/>
      <c r="C157" s="47"/>
      <c r="D157" s="47"/>
    </row>
    <row r="158" spans="1:4" x14ac:dyDescent="0.2">
      <c r="A158" s="47"/>
      <c r="B158" s="47"/>
      <c r="C158" s="47"/>
      <c r="D158" s="47"/>
    </row>
    <row r="159" spans="1:4" x14ac:dyDescent="0.2">
      <c r="A159" s="47"/>
      <c r="B159" s="47"/>
      <c r="C159" s="47"/>
      <c r="D159" s="47"/>
    </row>
    <row r="160" spans="1:4" x14ac:dyDescent="0.2">
      <c r="A160" s="47"/>
      <c r="B160" s="47"/>
      <c r="C160" s="47"/>
      <c r="D160" s="47"/>
    </row>
    <row r="161" spans="1:4" x14ac:dyDescent="0.2">
      <c r="A161" s="47"/>
      <c r="B161" s="47"/>
      <c r="C161" s="47"/>
      <c r="D161" s="47"/>
    </row>
    <row r="162" spans="1:4" x14ac:dyDescent="0.2">
      <c r="A162" s="47"/>
      <c r="B162" s="47"/>
      <c r="C162" s="47"/>
      <c r="D162" s="47"/>
    </row>
    <row r="163" spans="1:4" x14ac:dyDescent="0.2">
      <c r="A163" s="47"/>
      <c r="B163" s="47"/>
      <c r="C163" s="47"/>
      <c r="D163" s="47"/>
    </row>
    <row r="164" spans="1:4" x14ac:dyDescent="0.2">
      <c r="A164" s="47"/>
      <c r="B164" s="47"/>
      <c r="C164" s="47"/>
      <c r="D164" s="47"/>
    </row>
    <row r="165" spans="1:4" x14ac:dyDescent="0.2">
      <c r="A165" s="47"/>
      <c r="B165" s="47"/>
      <c r="C165" s="47"/>
      <c r="D165" s="47"/>
    </row>
    <row r="166" spans="1:4" x14ac:dyDescent="0.2">
      <c r="A166" s="47"/>
      <c r="B166" s="47"/>
      <c r="C166" s="47"/>
      <c r="D166" s="47"/>
    </row>
    <row r="167" spans="1:4" x14ac:dyDescent="0.2">
      <c r="A167" s="47"/>
      <c r="B167" s="47"/>
      <c r="C167" s="47"/>
      <c r="D167" s="47"/>
    </row>
    <row r="168" spans="1:4" x14ac:dyDescent="0.2">
      <c r="A168" s="47"/>
      <c r="B168" s="47"/>
      <c r="C168" s="47"/>
      <c r="D168" s="47"/>
    </row>
    <row r="169" spans="1:4" x14ac:dyDescent="0.2">
      <c r="A169" s="47"/>
      <c r="B169" s="47"/>
      <c r="C169" s="47"/>
      <c r="D169" s="47"/>
    </row>
    <row r="170" spans="1:4" x14ac:dyDescent="0.2">
      <c r="A170" s="47"/>
      <c r="B170" s="47"/>
      <c r="C170" s="47"/>
      <c r="D170" s="47"/>
    </row>
    <row r="171" spans="1:4" x14ac:dyDescent="0.2">
      <c r="A171" s="47"/>
      <c r="B171" s="47"/>
      <c r="C171" s="47"/>
      <c r="D171" s="47"/>
    </row>
    <row r="172" spans="1:4" x14ac:dyDescent="0.2">
      <c r="A172" s="47"/>
      <c r="B172" s="47"/>
      <c r="C172" s="47"/>
      <c r="D172" s="47"/>
    </row>
    <row r="173" spans="1:4" x14ac:dyDescent="0.2">
      <c r="A173" s="47"/>
      <c r="B173" s="47"/>
      <c r="C173" s="47"/>
      <c r="D173" s="47"/>
    </row>
    <row r="174" spans="1:4" x14ac:dyDescent="0.2">
      <c r="A174" s="47"/>
      <c r="B174" s="47"/>
      <c r="C174" s="47"/>
      <c r="D174" s="47"/>
    </row>
    <row r="175" spans="1:4" x14ac:dyDescent="0.2">
      <c r="A175" s="47"/>
      <c r="B175" s="47"/>
      <c r="C175" s="47"/>
      <c r="D175" s="47"/>
    </row>
    <row r="176" spans="1:4" x14ac:dyDescent="0.2">
      <c r="A176" s="47"/>
      <c r="B176" s="47"/>
      <c r="C176" s="47"/>
      <c r="D176" s="47"/>
    </row>
    <row r="177" spans="1:4" x14ac:dyDescent="0.2">
      <c r="A177" s="47"/>
      <c r="B177" s="47"/>
      <c r="C177" s="47"/>
      <c r="D177" s="47"/>
    </row>
    <row r="178" spans="1:4" x14ac:dyDescent="0.2">
      <c r="A178" s="47"/>
      <c r="B178" s="47"/>
      <c r="C178" s="47"/>
      <c r="D178" s="47"/>
    </row>
    <row r="179" spans="1:4" x14ac:dyDescent="0.2">
      <c r="A179" s="47"/>
      <c r="B179" s="47"/>
      <c r="C179" s="47"/>
      <c r="D179" s="47"/>
    </row>
    <row r="180" spans="1:4" x14ac:dyDescent="0.2">
      <c r="A180" s="47"/>
      <c r="B180" s="47"/>
      <c r="C180" s="47"/>
      <c r="D180" s="47"/>
    </row>
    <row r="181" spans="1:4" x14ac:dyDescent="0.2">
      <c r="A181" s="47"/>
      <c r="B181" s="47"/>
      <c r="C181" s="47"/>
      <c r="D181" s="47"/>
    </row>
    <row r="182" spans="1:4" x14ac:dyDescent="0.2">
      <c r="A182" s="47"/>
      <c r="B182" s="47"/>
      <c r="C182" s="47"/>
      <c r="D182" s="47"/>
    </row>
    <row r="183" spans="1:4" x14ac:dyDescent="0.2">
      <c r="A183" s="47"/>
      <c r="B183" s="47"/>
      <c r="C183" s="47"/>
      <c r="D183" s="47"/>
    </row>
    <row r="184" spans="1:4" x14ac:dyDescent="0.2">
      <c r="A184" s="47"/>
      <c r="B184" s="47"/>
      <c r="C184" s="47"/>
      <c r="D184" s="47"/>
    </row>
    <row r="185" spans="1:4" x14ac:dyDescent="0.2">
      <c r="A185" s="47"/>
      <c r="B185" s="47"/>
      <c r="C185" s="47"/>
      <c r="D185" s="47"/>
    </row>
    <row r="186" spans="1:4" x14ac:dyDescent="0.2">
      <c r="A186" s="47"/>
      <c r="B186" s="47"/>
      <c r="C186" s="47"/>
      <c r="D186" s="47"/>
    </row>
    <row r="187" spans="1:4" x14ac:dyDescent="0.2">
      <c r="A187" s="47"/>
      <c r="B187" s="47"/>
      <c r="C187" s="47"/>
      <c r="D187" s="47"/>
    </row>
    <row r="188" spans="1:4" x14ac:dyDescent="0.2">
      <c r="A188" s="47"/>
      <c r="B188" s="47"/>
      <c r="C188" s="47"/>
      <c r="D188" s="47"/>
    </row>
    <row r="189" spans="1:4" x14ac:dyDescent="0.2">
      <c r="A189" s="47"/>
      <c r="B189" s="47"/>
      <c r="C189" s="47"/>
      <c r="D189" s="47"/>
    </row>
    <row r="190" spans="1:4" x14ac:dyDescent="0.2">
      <c r="A190" s="47"/>
      <c r="B190" s="47"/>
      <c r="C190" s="47"/>
      <c r="D190" s="47"/>
    </row>
    <row r="191" spans="1:4" x14ac:dyDescent="0.2">
      <c r="A191" s="47"/>
      <c r="B191" s="47"/>
      <c r="C191" s="47"/>
      <c r="D191" s="47"/>
    </row>
    <row r="192" spans="1:4" x14ac:dyDescent="0.2">
      <c r="A192" s="47"/>
      <c r="B192" s="47"/>
      <c r="C192" s="47"/>
      <c r="D192" s="47"/>
    </row>
    <row r="193" spans="1:4" x14ac:dyDescent="0.2">
      <c r="A193" s="47"/>
      <c r="B193" s="47"/>
      <c r="C193" s="47"/>
      <c r="D193" s="47"/>
    </row>
    <row r="194" spans="1:4" x14ac:dyDescent="0.2">
      <c r="A194" s="47"/>
      <c r="B194" s="47"/>
      <c r="C194" s="47"/>
      <c r="D194" s="47"/>
    </row>
    <row r="195" spans="1:4" x14ac:dyDescent="0.2">
      <c r="A195" s="47"/>
      <c r="B195" s="47"/>
      <c r="C195" s="47"/>
      <c r="D195" s="47"/>
    </row>
    <row r="196" spans="1:4" x14ac:dyDescent="0.2">
      <c r="A196" s="47"/>
      <c r="B196" s="47"/>
      <c r="C196" s="47"/>
      <c r="D196" s="47"/>
    </row>
    <row r="197" spans="1:4" x14ac:dyDescent="0.2">
      <c r="A197" s="47"/>
      <c r="B197" s="47"/>
      <c r="C197" s="47"/>
      <c r="D197" s="47"/>
    </row>
    <row r="198" spans="1:4" x14ac:dyDescent="0.2">
      <c r="A198" s="47"/>
      <c r="B198" s="47"/>
      <c r="C198" s="47"/>
      <c r="D198" s="47"/>
    </row>
    <row r="199" spans="1:4" x14ac:dyDescent="0.2">
      <c r="A199" s="47"/>
      <c r="B199" s="47"/>
      <c r="C199" s="47"/>
      <c r="D199" s="47"/>
    </row>
    <row r="200" spans="1:4" x14ac:dyDescent="0.2">
      <c r="A200" s="47"/>
      <c r="B200" s="47"/>
      <c r="C200" s="47"/>
      <c r="D200" s="47"/>
    </row>
    <row r="201" spans="1:4" x14ac:dyDescent="0.2">
      <c r="A201" s="47"/>
      <c r="B201" s="47"/>
      <c r="C201" s="47"/>
      <c r="D201" s="47"/>
    </row>
    <row r="202" spans="1:4" x14ac:dyDescent="0.2">
      <c r="A202" s="47"/>
      <c r="B202" s="47"/>
      <c r="C202" s="47"/>
      <c r="D202" s="47"/>
    </row>
    <row r="203" spans="1:4" x14ac:dyDescent="0.2">
      <c r="A203" s="47"/>
      <c r="B203" s="47"/>
      <c r="C203" s="47"/>
      <c r="D203" s="47"/>
    </row>
    <row r="204" spans="1:4" x14ac:dyDescent="0.2">
      <c r="A204" s="47"/>
      <c r="B204" s="47"/>
      <c r="C204" s="47"/>
      <c r="D204" s="47"/>
    </row>
    <row r="205" spans="1:4" x14ac:dyDescent="0.2">
      <c r="A205" s="47"/>
      <c r="B205" s="47"/>
      <c r="C205" s="47"/>
      <c r="D205" s="47"/>
    </row>
    <row r="206" spans="1:4" x14ac:dyDescent="0.2">
      <c r="A206" s="47"/>
      <c r="B206" s="47"/>
      <c r="C206" s="47"/>
      <c r="D206" s="47"/>
    </row>
    <row r="207" spans="1:4" x14ac:dyDescent="0.2">
      <c r="A207" s="47"/>
      <c r="B207" s="47"/>
      <c r="C207" s="47"/>
      <c r="D207" s="47"/>
    </row>
    <row r="208" spans="1:4" x14ac:dyDescent="0.2">
      <c r="A208" s="47"/>
      <c r="B208" s="47"/>
      <c r="C208" s="47"/>
      <c r="D208" s="47"/>
    </row>
    <row r="209" spans="1:4" x14ac:dyDescent="0.2">
      <c r="A209" s="47"/>
      <c r="B209" s="47"/>
      <c r="C209" s="47"/>
      <c r="D209" s="47"/>
    </row>
    <row r="210" spans="1:4" x14ac:dyDescent="0.2">
      <c r="A210" s="47"/>
      <c r="B210" s="47"/>
      <c r="C210" s="47"/>
      <c r="D210" s="47"/>
    </row>
    <row r="211" spans="1:4" x14ac:dyDescent="0.2">
      <c r="A211" s="47"/>
      <c r="B211" s="47"/>
      <c r="C211" s="47"/>
      <c r="D211" s="47"/>
    </row>
    <row r="212" spans="1:4" x14ac:dyDescent="0.2">
      <c r="A212" s="47"/>
      <c r="B212" s="47"/>
      <c r="C212" s="47"/>
      <c r="D212" s="47"/>
    </row>
    <row r="213" spans="1:4" x14ac:dyDescent="0.2">
      <c r="A213" s="47"/>
      <c r="B213" s="47"/>
      <c r="C213" s="47"/>
      <c r="D213" s="47"/>
    </row>
    <row r="214" spans="1:4" x14ac:dyDescent="0.2">
      <c r="A214" s="47"/>
      <c r="B214" s="47"/>
      <c r="C214" s="47"/>
      <c r="D214" s="47"/>
    </row>
    <row r="215" spans="1:4" x14ac:dyDescent="0.2">
      <c r="A215" s="47"/>
      <c r="B215" s="47"/>
      <c r="C215" s="47"/>
      <c r="D215" s="47"/>
    </row>
    <row r="216" spans="1:4" x14ac:dyDescent="0.2">
      <c r="A216" s="47"/>
      <c r="B216" s="47"/>
      <c r="C216" s="47"/>
      <c r="D216" s="47"/>
    </row>
    <row r="217" spans="1:4" x14ac:dyDescent="0.2">
      <c r="A217" s="47"/>
      <c r="B217" s="47"/>
      <c r="C217" s="47"/>
      <c r="D217" s="47"/>
    </row>
    <row r="218" spans="1:4" x14ac:dyDescent="0.2">
      <c r="A218" s="47"/>
      <c r="B218" s="47"/>
      <c r="C218" s="47"/>
      <c r="D218" s="47"/>
    </row>
    <row r="219" spans="1:4" x14ac:dyDescent="0.2">
      <c r="A219" s="47"/>
      <c r="B219" s="47"/>
      <c r="C219" s="47"/>
      <c r="D219" s="47"/>
    </row>
    <row r="220" spans="1:4" x14ac:dyDescent="0.2">
      <c r="A220" s="47"/>
      <c r="B220" s="47"/>
      <c r="C220" s="47"/>
      <c r="D220" s="47"/>
    </row>
    <row r="221" spans="1:4" x14ac:dyDescent="0.2">
      <c r="A221" s="47"/>
      <c r="B221" s="47"/>
      <c r="C221" s="47"/>
      <c r="D221" s="47"/>
    </row>
    <row r="222" spans="1:4" x14ac:dyDescent="0.2">
      <c r="A222" s="47"/>
      <c r="B222" s="47"/>
      <c r="C222" s="47"/>
      <c r="D222" s="47"/>
    </row>
    <row r="223" spans="1:4" x14ac:dyDescent="0.2">
      <c r="A223" s="47"/>
      <c r="B223" s="47"/>
      <c r="C223" s="47"/>
      <c r="D223" s="47"/>
    </row>
    <row r="224" spans="1:4" x14ac:dyDescent="0.2">
      <c r="A224" s="47"/>
      <c r="B224" s="47"/>
      <c r="C224" s="47"/>
      <c r="D224" s="47"/>
    </row>
    <row r="225" spans="1:4" x14ac:dyDescent="0.2">
      <c r="A225" s="47"/>
      <c r="B225" s="47"/>
      <c r="C225" s="47"/>
      <c r="D225" s="47"/>
    </row>
    <row r="226" spans="1:4" x14ac:dyDescent="0.2">
      <c r="A226" s="47"/>
      <c r="B226" s="47"/>
      <c r="C226" s="47"/>
      <c r="D226" s="47"/>
    </row>
    <row r="227" spans="1:4" x14ac:dyDescent="0.2">
      <c r="A227" s="47"/>
      <c r="B227" s="47"/>
      <c r="C227" s="47"/>
      <c r="D227" s="47"/>
    </row>
    <row r="228" spans="1:4" x14ac:dyDescent="0.2">
      <c r="A228" s="47"/>
      <c r="B228" s="47"/>
      <c r="C228" s="47"/>
      <c r="D228" s="47"/>
    </row>
    <row r="229" spans="1:4" x14ac:dyDescent="0.2">
      <c r="A229" s="47"/>
      <c r="B229" s="47"/>
      <c r="C229" s="47"/>
      <c r="D229" s="47"/>
    </row>
    <row r="230" spans="1:4" x14ac:dyDescent="0.2">
      <c r="A230" s="47"/>
      <c r="B230" s="47"/>
      <c r="C230" s="47"/>
      <c r="D230" s="47"/>
    </row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000"/>
  <sheetViews>
    <sheetView showGridLines="0" workbookViewId="0">
      <pane xSplit="1" ySplit="8" topLeftCell="F135" activePane="bottomRight" state="frozen"/>
      <selection pane="topRight" activeCell="B1" sqref="B1"/>
      <selection pane="bottomLeft" activeCell="A9" sqref="A9"/>
      <selection pane="bottomRight" activeCell="G161" sqref="G161:AD167"/>
    </sheetView>
  </sheetViews>
  <sheetFormatPr defaultRowHeight="11.25" outlineLevelCol="1" x14ac:dyDescent="0.2"/>
  <cols>
    <col min="1" max="1" width="49.83203125" bestFit="1" customWidth="1"/>
    <col min="2" max="2" width="16.6640625" bestFit="1" customWidth="1"/>
    <col min="3" max="3" width="12.83203125" customWidth="1"/>
    <col min="4" max="4" width="10.83203125" customWidth="1"/>
    <col min="5" max="5" width="10.1640625" customWidth="1"/>
    <col min="6" max="6" width="4.5" customWidth="1"/>
    <col min="7" max="7" width="15.6640625" bestFit="1" customWidth="1"/>
    <col min="8" max="9" width="13.6640625" bestFit="1" customWidth="1"/>
    <col min="10" max="10" width="16" bestFit="1" customWidth="1"/>
    <col min="11" max="11" width="12.83203125" bestFit="1" customWidth="1"/>
    <col min="12" max="12" width="15.6640625" bestFit="1" customWidth="1"/>
    <col min="13" max="13" width="14.5" customWidth="1"/>
    <col min="14" max="17" width="2.83203125" customWidth="1"/>
    <col min="18" max="18" width="13" customWidth="1"/>
    <col min="19" max="19" width="18" bestFit="1" customWidth="1"/>
    <col min="20" max="20" width="11.5" hidden="1" customWidth="1" outlineLevel="1"/>
    <col min="21" max="21" width="13.6640625" bestFit="1" customWidth="1" collapsed="1"/>
    <col min="22" max="22" width="11.5" hidden="1" customWidth="1" outlineLevel="1"/>
    <col min="23" max="23" width="13.6640625" bestFit="1" customWidth="1" collapsed="1"/>
    <col min="24" max="24" width="11.5" hidden="1" customWidth="1" outlineLevel="1"/>
    <col min="25" max="25" width="16" bestFit="1" customWidth="1" collapsed="1"/>
    <col min="26" max="26" width="11.5" hidden="1" customWidth="1" outlineLevel="1"/>
    <col min="27" max="27" width="13" bestFit="1" customWidth="1" collapsed="1"/>
    <col min="28" max="28" width="13.6640625" bestFit="1" customWidth="1"/>
    <col min="29" max="29" width="14.5" customWidth="1"/>
    <col min="30" max="30" width="14.1640625" bestFit="1" customWidth="1"/>
  </cols>
  <sheetData>
    <row r="1" spans="1:30" x14ac:dyDescent="0.2">
      <c r="K1">
        <f t="array" ref="K1">MATCH(TRUE,ISBLANK(A9:A5000),0)</f>
        <v>155</v>
      </c>
      <c r="L1">
        <f t="array" ref="L1">MATCH(TRUE,ISBLANK(G9:G5000),0)</f>
        <v>160</v>
      </c>
    </row>
    <row r="2" spans="1:30" x14ac:dyDescent="0.2">
      <c r="A2" s="7" t="s">
        <v>5</v>
      </c>
      <c r="B2" t="s">
        <v>1022</v>
      </c>
      <c r="G2" s="35" t="s">
        <v>394</v>
      </c>
      <c r="K2" s="396" t="str">
        <f>IF(K1&gt;L1,"COPY FORMULAS DOWN !!!","OK")</f>
        <v>OK</v>
      </c>
      <c r="L2" s="396"/>
      <c r="M2" s="48"/>
    </row>
    <row r="3" spans="1:30" x14ac:dyDescent="0.2">
      <c r="A3" s="7" t="s">
        <v>366</v>
      </c>
      <c r="B3" t="s">
        <v>1022</v>
      </c>
    </row>
    <row r="4" spans="1:30" x14ac:dyDescent="0.2">
      <c r="A4" s="7" t="s">
        <v>367</v>
      </c>
      <c r="B4" t="s">
        <v>1022</v>
      </c>
      <c r="G4" s="9"/>
      <c r="M4" s="9">
        <f>-M5+D5</f>
        <v>0</v>
      </c>
    </row>
    <row r="5" spans="1:30" x14ac:dyDescent="0.2">
      <c r="A5" s="7" t="s">
        <v>335</v>
      </c>
      <c r="B5" t="s">
        <v>1023</v>
      </c>
      <c r="D5" s="45">
        <f>SUM(D9:D5000)</f>
        <v>42645983.780000024</v>
      </c>
      <c r="G5" s="45">
        <f>SUM(G9:G5000)</f>
        <v>203576105.09999999</v>
      </c>
      <c r="H5" s="45">
        <f t="shared" ref="H5:M5" si="0">SUM(H9:H5000)</f>
        <v>4420411.2300000004</v>
      </c>
      <c r="I5" s="45">
        <f t="shared" si="0"/>
        <v>5358.01</v>
      </c>
      <c r="J5" s="45">
        <f t="shared" si="0"/>
        <v>0</v>
      </c>
      <c r="K5" s="45">
        <f t="shared" si="0"/>
        <v>85942.5</v>
      </c>
      <c r="L5" s="45">
        <f t="shared" si="0"/>
        <v>-165441833.06</v>
      </c>
      <c r="M5" s="337">
        <f t="shared" si="0"/>
        <v>42645983.780000009</v>
      </c>
      <c r="R5" t="b">
        <f>M5=SUM(S5,U5,W5,Y5,AA5,AB5)</f>
        <v>1</v>
      </c>
      <c r="S5" s="45">
        <f>SUM(S9:S5000)</f>
        <v>96129852.400000006</v>
      </c>
      <c r="T5" s="46"/>
      <c r="U5" s="45">
        <f t="shared" ref="U5" si="1">SUM(U9:U5000)</f>
        <v>4250211.2300000004</v>
      </c>
      <c r="V5" s="46"/>
      <c r="W5" s="45">
        <f t="shared" ref="W5" si="2">SUM(W9:W5000)</f>
        <v>5358</v>
      </c>
      <c r="X5" s="46"/>
      <c r="Y5" s="45">
        <f t="shared" ref="Y5" si="3">SUM(Y9:Y5000)</f>
        <v>0</v>
      </c>
      <c r="Z5" s="46"/>
      <c r="AA5" s="45">
        <f t="shared" ref="AA5:AD5" si="4">SUM(AA9:AA5000)</f>
        <v>85942.5</v>
      </c>
      <c r="AB5" s="45">
        <f t="shared" si="4"/>
        <v>-57825380.349999987</v>
      </c>
      <c r="AC5" s="336">
        <f>SUM(AC9:AC5000)</f>
        <v>42645983.780000009</v>
      </c>
      <c r="AD5" s="337">
        <f t="shared" si="4"/>
        <v>100471364.13</v>
      </c>
    </row>
    <row r="6" spans="1:30" x14ac:dyDescent="0.2">
      <c r="A6" s="35"/>
      <c r="B6" s="35"/>
      <c r="C6" s="35"/>
      <c r="D6" s="35"/>
      <c r="E6" s="35"/>
      <c r="F6" s="35"/>
      <c r="G6" s="273">
        <f>GETPIVOTDATA("Итого",'Источник &gt;&gt;'!$A$1,"Сумма депозита","Positive")-'Adj Ageing by Brand'!G5-'Adj Ageing by Brand'!H5-'Adj Ageing by Brand'!I5-'Adj Ageing by Brand'!J5-'Adj Ageing by Brand'!K5</f>
        <v>9.0949470177292824E-9</v>
      </c>
      <c r="H6" s="274"/>
      <c r="I6" s="274"/>
      <c r="J6" s="274"/>
      <c r="K6" s="274"/>
      <c r="L6" s="273">
        <f>GETPIVOTDATA("Итого",'Источник &gt;&gt;'!$A$1,"Сумма депозита","Negative")-'Adj Ageing by Brand'!L5</f>
        <v>0</v>
      </c>
      <c r="AC6" s="270">
        <f>'Источник &gt;&gt;'!G82-AC5</f>
        <v>0</v>
      </c>
    </row>
    <row r="7" spans="1:30" s="35" customFormat="1" x14ac:dyDescent="0.2">
      <c r="A7" s="47" t="s">
        <v>368</v>
      </c>
      <c r="B7" s="47"/>
      <c r="C7" s="47"/>
      <c r="D7" s="47"/>
      <c r="E7"/>
      <c r="F7"/>
      <c r="G7" s="35" t="s">
        <v>389</v>
      </c>
      <c r="S7" s="35" t="s">
        <v>390</v>
      </c>
      <c r="AC7" s="270">
        <f>SUM(S5:AB5)-AC5</f>
        <v>0</v>
      </c>
    </row>
    <row r="8" spans="1:30" s="49" customFormat="1" ht="22.5" x14ac:dyDescent="0.2">
      <c r="A8" s="149" t="s">
        <v>3</v>
      </c>
      <c r="B8" s="150" t="s">
        <v>369</v>
      </c>
      <c r="C8" s="150" t="s">
        <v>2</v>
      </c>
      <c r="D8" s="17" t="s">
        <v>1021</v>
      </c>
      <c r="E8"/>
      <c r="F8" s="151"/>
      <c r="G8" s="152" t="s">
        <v>365</v>
      </c>
      <c r="H8" s="152" t="s">
        <v>361</v>
      </c>
      <c r="I8" s="152" t="s">
        <v>362</v>
      </c>
      <c r="J8" s="153" t="s">
        <v>363</v>
      </c>
      <c r="K8" s="152" t="s">
        <v>364</v>
      </c>
      <c r="L8" s="152" t="s">
        <v>385</v>
      </c>
      <c r="M8" s="152" t="s">
        <v>391</v>
      </c>
      <c r="S8" s="153" t="s">
        <v>365</v>
      </c>
      <c r="T8" s="154" t="s">
        <v>388</v>
      </c>
      <c r="U8" s="152" t="s">
        <v>361</v>
      </c>
      <c r="V8" s="154" t="s">
        <v>388</v>
      </c>
      <c r="W8" s="152" t="s">
        <v>362</v>
      </c>
      <c r="X8" s="154" t="s">
        <v>388</v>
      </c>
      <c r="Y8" s="152" t="s">
        <v>363</v>
      </c>
      <c r="Z8" s="154" t="s">
        <v>388</v>
      </c>
      <c r="AA8" s="153" t="s">
        <v>364</v>
      </c>
      <c r="AB8" s="152" t="s">
        <v>387</v>
      </c>
      <c r="AC8" s="152" t="s">
        <v>391</v>
      </c>
      <c r="AD8" s="246" t="s">
        <v>828</v>
      </c>
    </row>
    <row r="9" spans="1:30" x14ac:dyDescent="0.2">
      <c r="A9" t="s">
        <v>33</v>
      </c>
      <c r="B9" t="s">
        <v>31</v>
      </c>
      <c r="D9" s="9">
        <v>-34032</v>
      </c>
      <c r="F9" s="9"/>
      <c r="G9" s="254">
        <f t="array" ref="G9">SUM(('Отчет по покупателям УТ'!$J$6:$J$5000='Adj Ageing by Brand'!$B9)*('Отчет по покупателям УТ'!$H$6:$H$5000='Adj Ageing by Brand'!G$8)*('Отчет по покупателям УТ'!$M$6:$M$5000='Adj Ageing by Brand'!$A9)*('Отчет по покупателям УТ'!$K$6:$K$5000))</f>
        <v>0</v>
      </c>
      <c r="H9" s="254">
        <f t="array" ref="H9">SUM(('Отчет по покупателям УТ'!$J$6:$J$5000='Adj Ageing by Brand'!$B9)*('Отчет по покупателям УТ'!$H$6:$H$5000='Adj Ageing by Brand'!H$8)*('Отчет по покупателям УТ'!$M$6:$M$5000='Adj Ageing by Brand'!$A9)*('Отчет по покупателям УТ'!$K$6:$K$5000))</f>
        <v>0</v>
      </c>
      <c r="I9" s="254">
        <f t="array" ref="I9">SUM(('Отчет по покупателям УТ'!$J$6:$J$5000='Adj Ageing by Brand'!$B9)*('Отчет по покупателям УТ'!$H$6:$H$5000='Adj Ageing by Brand'!I$8)*('Отчет по покупателям УТ'!$M$6:$M$5000='Adj Ageing by Brand'!$A9)*('Отчет по покупателям УТ'!$K$6:$K$5000))</f>
        <v>0</v>
      </c>
      <c r="J9" s="254">
        <f t="array" ref="J9">SUM(('Отчет по покупателям УТ'!$J$6:$J$5000='Adj Ageing by Brand'!$B9)*('Отчет по покупателям УТ'!$H$6:$H$5000='Adj Ageing by Brand'!J$8)*('Отчет по покупателям УТ'!$M$6:$M$5000='Adj Ageing by Brand'!$A9)*('Отчет по покупателям УТ'!$K$6:$K$5000))</f>
        <v>0</v>
      </c>
      <c r="K9" s="254">
        <f t="array" ref="K9">SUM(('Отчет по покупателям УТ'!$J$6:$J$5000='Adj Ageing by Brand'!$B9)*('Отчет по покупателям УТ'!$H$6:$H$5000='Adj Ageing by Brand'!K$8)*('Отчет по покупателям УТ'!$M$6:$M$5000='Adj Ageing by Brand'!$A9)*('Отчет по покупателям УТ'!$K$6:$K$5000))</f>
        <v>0</v>
      </c>
      <c r="L9" s="254">
        <f t="array" ref="L9">SUM(('Отчет по покупателям УТ'!$J$6:$J$5000='Adj Ageing by Brand'!$B9)*('Отчет по покупателям УТ'!$H$6:$H$5000='Adj Ageing by Brand'!L$8)*('Отчет по покупателям УТ'!$M$6:$M$5000='Adj Ageing by Brand'!$A9)*('Отчет по покупателям УТ'!$K$6:$K$5000))</f>
        <v>-34032</v>
      </c>
      <c r="M9" s="44">
        <f t="shared" ref="M9:M40" si="5">SUM(G9:L9)</f>
        <v>-34032</v>
      </c>
      <c r="R9" t="b">
        <f>M9=SUM(S9,U9,W9,Y9,AA9,AB9)</f>
        <v>1</v>
      </c>
      <c r="S9" s="31">
        <f>IF(G9+T9&lt;0,0,G9+T9)</f>
        <v>0</v>
      </c>
      <c r="T9" s="31">
        <f t="shared" ref="T9:T40" si="6">IF(L9+K9+J9+I9+H9&lt;0,L9+K9+J9+I9+H9,0)</f>
        <v>-34032</v>
      </c>
      <c r="U9" s="31">
        <f t="shared" ref="U9:U40" si="7">IF(H9+V9&lt;0,0,H9+V9)</f>
        <v>0</v>
      </c>
      <c r="V9" s="31">
        <f t="shared" ref="V9:V40" si="8">IF(L9+K9+J9+I9&lt;0,L9+K9+J9+I9,0)</f>
        <v>-34032</v>
      </c>
      <c r="W9" s="31">
        <f t="shared" ref="W9:W40" si="9">IF(I9+X9&lt;0,0,I9+X9)</f>
        <v>0</v>
      </c>
      <c r="X9" s="31">
        <f t="shared" ref="X9:X40" si="10">IF(L9+K9+J9&lt;0,L9+K9+J9,0)</f>
        <v>-34032</v>
      </c>
      <c r="Y9" s="31">
        <f t="shared" ref="Y9:Y40" si="11">IF(J9+Z9&lt;0,0,J9+Z9)</f>
        <v>0</v>
      </c>
      <c r="Z9" s="31">
        <f t="shared" ref="Z9:Z40" si="12">IF(L9+K9&lt;0,L9+K9,0)</f>
        <v>-34032</v>
      </c>
      <c r="AA9" s="31">
        <f t="shared" ref="AA9:AA40" si="13">IF(K9+L9&lt;0,0,K9+L9)</f>
        <v>0</v>
      </c>
      <c r="AB9" s="31">
        <f t="shared" ref="AB9:AB40" si="14">IF(SUM(G9:L9)&lt;0,M9,0)</f>
        <v>-34032</v>
      </c>
      <c r="AC9" s="44">
        <f>SUM(AB9,AA9,Y9,W9,U9,S9)</f>
        <v>-34032</v>
      </c>
      <c r="AD9" s="9">
        <f>SUM(S9,U9,W9,Y9,AA9)</f>
        <v>0</v>
      </c>
    </row>
    <row r="10" spans="1:30" x14ac:dyDescent="0.2">
      <c r="A10" t="s">
        <v>41</v>
      </c>
      <c r="B10" t="s">
        <v>22</v>
      </c>
      <c r="D10" s="9">
        <v>-198121</v>
      </c>
      <c r="F10" s="9"/>
      <c r="G10" s="254">
        <f t="array" ref="G10">SUM(('Отчет по покупателям УТ'!$J$6:$J$5000='Adj Ageing by Brand'!$B10)*('Отчет по покупателям УТ'!$H$6:$H$5000='Adj Ageing by Brand'!G$8)*('Отчет по покупателям УТ'!$M$6:$M$5000='Adj Ageing by Brand'!$A10)*('Отчет по покупателям УТ'!$K$6:$K$5000))</f>
        <v>0</v>
      </c>
      <c r="H10" s="254">
        <f t="array" ref="H10">SUM(('Отчет по покупателям УТ'!$J$6:$J$5000='Adj Ageing by Brand'!$B10)*('Отчет по покупателям УТ'!$H$6:$H$5000='Adj Ageing by Brand'!H$8)*('Отчет по покупателям УТ'!$M$6:$M$5000='Adj Ageing by Brand'!$A10)*('Отчет по покупателям УТ'!$K$6:$K$5000))</f>
        <v>0</v>
      </c>
      <c r="I10" s="254">
        <f t="array" ref="I10">SUM(('Отчет по покупателям УТ'!$J$6:$J$5000='Adj Ageing by Brand'!$B10)*('Отчет по покупателям УТ'!$H$6:$H$5000='Adj Ageing by Brand'!I$8)*('Отчет по покупателям УТ'!$M$6:$M$5000='Adj Ageing by Brand'!$A10)*('Отчет по покупателям УТ'!$K$6:$K$5000))</f>
        <v>0</v>
      </c>
      <c r="J10" s="254">
        <f t="array" ref="J10">SUM(('Отчет по покупателям УТ'!$J$6:$J$5000='Adj Ageing by Brand'!$B10)*('Отчет по покупателям УТ'!$H$6:$H$5000='Adj Ageing by Brand'!J$8)*('Отчет по покупателям УТ'!$M$6:$M$5000='Adj Ageing by Brand'!$A10)*('Отчет по покупателям УТ'!$K$6:$K$5000))</f>
        <v>0</v>
      </c>
      <c r="K10" s="254">
        <f t="array" ref="K10">SUM(('Отчет по покупателям УТ'!$J$6:$J$5000='Adj Ageing by Brand'!$B10)*('Отчет по покупателям УТ'!$H$6:$H$5000='Adj Ageing by Brand'!K$8)*('Отчет по покупателям УТ'!$M$6:$M$5000='Adj Ageing by Brand'!$A10)*('Отчет по покупателям УТ'!$K$6:$K$5000))</f>
        <v>0</v>
      </c>
      <c r="L10" s="254">
        <f t="array" ref="L10">SUM(('Отчет по покупателям УТ'!$J$6:$J$5000='Adj Ageing by Brand'!$B10)*('Отчет по покупателям УТ'!$H$6:$H$5000='Adj Ageing by Brand'!L$8)*('Отчет по покупателям УТ'!$M$6:$M$5000='Adj Ageing by Brand'!$A10)*('Отчет по покупателям УТ'!$K$6:$K$5000))</f>
        <v>-198121</v>
      </c>
      <c r="M10" s="44">
        <f t="shared" si="5"/>
        <v>-198121</v>
      </c>
      <c r="R10" s="9" t="b">
        <f t="shared" ref="R10:R73" si="15">M10=SUM(S10,U10,W10,Y10,AA10,AB10)</f>
        <v>1</v>
      </c>
      <c r="S10" s="228">
        <f t="shared" ref="S10:S40" si="16">IF(G10+T10&lt;0,0,G10+T10)</f>
        <v>0</v>
      </c>
      <c r="T10" s="228">
        <f t="shared" si="6"/>
        <v>-198121</v>
      </c>
      <c r="U10" s="228">
        <f t="shared" si="7"/>
        <v>0</v>
      </c>
      <c r="V10" s="228">
        <f t="shared" si="8"/>
        <v>-198121</v>
      </c>
      <c r="W10" s="228">
        <f t="shared" si="9"/>
        <v>0</v>
      </c>
      <c r="X10" s="228">
        <f t="shared" si="10"/>
        <v>-198121</v>
      </c>
      <c r="Y10" s="228">
        <f t="shared" si="11"/>
        <v>0</v>
      </c>
      <c r="Z10" s="228">
        <f t="shared" si="12"/>
        <v>-198121</v>
      </c>
      <c r="AA10" s="228">
        <f t="shared" si="13"/>
        <v>0</v>
      </c>
      <c r="AB10" s="228">
        <f t="shared" si="14"/>
        <v>-198121</v>
      </c>
      <c r="AC10" s="247">
        <f t="shared" ref="AC10:AC73" si="17">SUM(AB10,AA10,Y10,W10,U10,S10)</f>
        <v>-198121</v>
      </c>
      <c r="AD10" s="227">
        <f t="shared" ref="AD10:AD73" si="18">SUM(S10,U10,W10,Y10,AA10)</f>
        <v>0</v>
      </c>
    </row>
    <row r="11" spans="1:30" x14ac:dyDescent="0.2">
      <c r="A11" t="s">
        <v>44</v>
      </c>
      <c r="B11" t="s">
        <v>396</v>
      </c>
      <c r="D11" s="9">
        <v>-700</v>
      </c>
      <c r="F11" s="9"/>
      <c r="G11" s="254">
        <f t="array" ref="G11">SUM(('Отчет по покупателям УТ'!$J$6:$J$5000='Adj Ageing by Brand'!$B11)*('Отчет по покупателям УТ'!$H$6:$H$5000='Adj Ageing by Brand'!G$8)*('Отчет по покупателям УТ'!$M$6:$M$5000='Adj Ageing by Brand'!$A11)*('Отчет по покупателям УТ'!$K$6:$K$5000))</f>
        <v>0</v>
      </c>
      <c r="H11" s="254">
        <f t="array" ref="H11">SUM(('Отчет по покупателям УТ'!$J$6:$J$5000='Adj Ageing by Brand'!$B11)*('Отчет по покупателям УТ'!$H$6:$H$5000='Adj Ageing by Brand'!H$8)*('Отчет по покупателям УТ'!$M$6:$M$5000='Adj Ageing by Brand'!$A11)*('Отчет по покупателям УТ'!$K$6:$K$5000))</f>
        <v>0</v>
      </c>
      <c r="I11" s="254">
        <f t="array" ref="I11">SUM(('Отчет по покупателям УТ'!$J$6:$J$5000='Adj Ageing by Brand'!$B11)*('Отчет по покупателям УТ'!$H$6:$H$5000='Adj Ageing by Brand'!I$8)*('Отчет по покупателям УТ'!$M$6:$M$5000='Adj Ageing by Brand'!$A11)*('Отчет по покупателям УТ'!$K$6:$K$5000))</f>
        <v>0</v>
      </c>
      <c r="J11" s="254">
        <f t="array" ref="J11">SUM(('Отчет по покупателям УТ'!$J$6:$J$5000='Adj Ageing by Brand'!$B11)*('Отчет по покупателям УТ'!$H$6:$H$5000='Adj Ageing by Brand'!J$8)*('Отчет по покупателям УТ'!$M$6:$M$5000='Adj Ageing by Brand'!$A11)*('Отчет по покупателям УТ'!$K$6:$K$5000))</f>
        <v>0</v>
      </c>
      <c r="K11" s="254">
        <f t="array" ref="K11">SUM(('Отчет по покупателям УТ'!$J$6:$J$5000='Adj Ageing by Brand'!$B11)*('Отчет по покупателям УТ'!$H$6:$H$5000='Adj Ageing by Brand'!K$8)*('Отчет по покупателям УТ'!$M$6:$M$5000='Adj Ageing by Brand'!$A11)*('Отчет по покупателям УТ'!$K$6:$K$5000))</f>
        <v>0</v>
      </c>
      <c r="L11" s="254">
        <f t="array" ref="L11">SUM(('Отчет по покупателям УТ'!$J$6:$J$5000='Adj Ageing by Brand'!$B11)*('Отчет по покупателям УТ'!$H$6:$H$5000='Adj Ageing by Brand'!L$8)*('Отчет по покупателям УТ'!$M$6:$M$5000='Adj Ageing by Brand'!$A11)*('Отчет по покупателям УТ'!$K$6:$K$5000))</f>
        <v>-700</v>
      </c>
      <c r="M11" s="44">
        <f t="shared" si="5"/>
        <v>-700</v>
      </c>
      <c r="R11" s="9" t="b">
        <f t="shared" si="15"/>
        <v>1</v>
      </c>
      <c r="S11" s="228">
        <f t="shared" si="16"/>
        <v>0</v>
      </c>
      <c r="T11" s="228">
        <f t="shared" si="6"/>
        <v>-700</v>
      </c>
      <c r="U11" s="228">
        <f t="shared" si="7"/>
        <v>0</v>
      </c>
      <c r="V11" s="228">
        <f t="shared" si="8"/>
        <v>-700</v>
      </c>
      <c r="W11" s="228">
        <f t="shared" si="9"/>
        <v>0</v>
      </c>
      <c r="X11" s="228">
        <f t="shared" si="10"/>
        <v>-700</v>
      </c>
      <c r="Y11" s="228">
        <f t="shared" si="11"/>
        <v>0</v>
      </c>
      <c r="Z11" s="228">
        <f t="shared" si="12"/>
        <v>-700</v>
      </c>
      <c r="AA11" s="228">
        <f t="shared" si="13"/>
        <v>0</v>
      </c>
      <c r="AB11" s="228">
        <f t="shared" si="14"/>
        <v>-700</v>
      </c>
      <c r="AC11" s="247">
        <f t="shared" si="17"/>
        <v>-700</v>
      </c>
      <c r="AD11" s="227">
        <f t="shared" si="18"/>
        <v>0</v>
      </c>
    </row>
    <row r="12" spans="1:30" x14ac:dyDescent="0.2">
      <c r="A12" t="s">
        <v>48</v>
      </c>
      <c r="B12" t="s">
        <v>22</v>
      </c>
      <c r="D12" s="9">
        <v>981116.66999999993</v>
      </c>
      <c r="F12" s="9"/>
      <c r="G12" s="254">
        <f t="array" ref="G12">SUM(('Отчет по покупателям УТ'!$J$6:$J$5000='Adj Ageing by Brand'!$B12)*('Отчет по покупателям УТ'!$H$6:$H$5000='Adj Ageing by Brand'!G$8)*('Отчет по покупателям УТ'!$M$6:$M$5000='Adj Ageing by Brand'!$A12)*('Отчет по покупателям УТ'!$K$6:$K$5000))</f>
        <v>981116.66999999993</v>
      </c>
      <c r="H12" s="254">
        <f t="array" ref="H12">SUM(('Отчет по покупателям УТ'!$J$6:$J$5000='Adj Ageing by Brand'!$B12)*('Отчет по покупателям УТ'!$H$6:$H$5000='Adj Ageing by Brand'!H$8)*('Отчет по покупателям УТ'!$M$6:$M$5000='Adj Ageing by Brand'!$A12)*('Отчет по покупателям УТ'!$K$6:$K$5000))</f>
        <v>0</v>
      </c>
      <c r="I12" s="254">
        <f t="array" ref="I12">SUM(('Отчет по покупателям УТ'!$J$6:$J$5000='Adj Ageing by Brand'!$B12)*('Отчет по покупателям УТ'!$H$6:$H$5000='Adj Ageing by Brand'!I$8)*('Отчет по покупателям УТ'!$M$6:$M$5000='Adj Ageing by Brand'!$A12)*('Отчет по покупателям УТ'!$K$6:$K$5000))</f>
        <v>0</v>
      </c>
      <c r="J12" s="254">
        <f t="array" ref="J12">SUM(('Отчет по покупателям УТ'!$J$6:$J$5000='Adj Ageing by Brand'!$B12)*('Отчет по покупателям УТ'!$H$6:$H$5000='Adj Ageing by Brand'!J$8)*('Отчет по покупателям УТ'!$M$6:$M$5000='Adj Ageing by Brand'!$A12)*('Отчет по покупателям УТ'!$K$6:$K$5000))</f>
        <v>0</v>
      </c>
      <c r="K12" s="254">
        <f t="array" ref="K12">SUM(('Отчет по покупателям УТ'!$J$6:$J$5000='Adj Ageing by Brand'!$B12)*('Отчет по покупателям УТ'!$H$6:$H$5000='Adj Ageing by Brand'!K$8)*('Отчет по покупателям УТ'!$M$6:$M$5000='Adj Ageing by Brand'!$A12)*('Отчет по покупателям УТ'!$K$6:$K$5000))</f>
        <v>0</v>
      </c>
      <c r="L12" s="254">
        <f t="array" ref="L12">SUM(('Отчет по покупателям УТ'!$J$6:$J$5000='Adj Ageing by Brand'!$B12)*('Отчет по покупателям УТ'!$H$6:$H$5000='Adj Ageing by Brand'!L$8)*('Отчет по покупателям УТ'!$M$6:$M$5000='Adj Ageing by Brand'!$A12)*('Отчет по покупателям УТ'!$K$6:$K$5000))</f>
        <v>0</v>
      </c>
      <c r="M12" s="44">
        <f t="shared" si="5"/>
        <v>981116.66999999993</v>
      </c>
      <c r="R12" s="9" t="b">
        <f t="shared" si="15"/>
        <v>1</v>
      </c>
      <c r="S12" s="228">
        <f t="shared" si="16"/>
        <v>981116.66999999993</v>
      </c>
      <c r="T12" s="228">
        <f t="shared" si="6"/>
        <v>0</v>
      </c>
      <c r="U12" s="228">
        <f t="shared" si="7"/>
        <v>0</v>
      </c>
      <c r="V12" s="228">
        <f t="shared" si="8"/>
        <v>0</v>
      </c>
      <c r="W12" s="228">
        <f t="shared" si="9"/>
        <v>0</v>
      </c>
      <c r="X12" s="228">
        <f t="shared" si="10"/>
        <v>0</v>
      </c>
      <c r="Y12" s="228">
        <f t="shared" si="11"/>
        <v>0</v>
      </c>
      <c r="Z12" s="228">
        <f t="shared" si="12"/>
        <v>0</v>
      </c>
      <c r="AA12" s="228">
        <f t="shared" si="13"/>
        <v>0</v>
      </c>
      <c r="AB12" s="228">
        <f t="shared" si="14"/>
        <v>0</v>
      </c>
      <c r="AC12" s="247">
        <f t="shared" si="17"/>
        <v>981116.66999999993</v>
      </c>
      <c r="AD12" s="227">
        <f t="shared" si="18"/>
        <v>981116.66999999993</v>
      </c>
    </row>
    <row r="13" spans="1:30" x14ac:dyDescent="0.2">
      <c r="A13" t="s">
        <v>48</v>
      </c>
      <c r="B13" t="s">
        <v>31</v>
      </c>
      <c r="D13" s="9">
        <v>-169458.16</v>
      </c>
      <c r="F13" s="9"/>
      <c r="G13" s="254">
        <f t="array" ref="G13">SUM(('Отчет по покупателям УТ'!$J$6:$J$5000='Adj Ageing by Brand'!$B13)*('Отчет по покупателям УТ'!$H$6:$H$5000='Adj Ageing by Brand'!G$8)*('Отчет по покупателям УТ'!$M$6:$M$5000='Adj Ageing by Brand'!$A13)*('Отчет по покупателям УТ'!$K$6:$K$5000))</f>
        <v>0</v>
      </c>
      <c r="H13" s="254">
        <f t="array" ref="H13">SUM(('Отчет по покупателям УТ'!$J$6:$J$5000='Adj Ageing by Brand'!$B13)*('Отчет по покупателям УТ'!$H$6:$H$5000='Adj Ageing by Brand'!H$8)*('Отчет по покупателям УТ'!$M$6:$M$5000='Adj Ageing by Brand'!$A13)*('Отчет по покупателям УТ'!$K$6:$K$5000))</f>
        <v>0</v>
      </c>
      <c r="I13" s="254">
        <f t="array" ref="I13">SUM(('Отчет по покупателям УТ'!$J$6:$J$5000='Adj Ageing by Brand'!$B13)*('Отчет по покупателям УТ'!$H$6:$H$5000='Adj Ageing by Brand'!I$8)*('Отчет по покупателям УТ'!$M$6:$M$5000='Adj Ageing by Brand'!$A13)*('Отчет по покупателям УТ'!$K$6:$K$5000))</f>
        <v>0</v>
      </c>
      <c r="J13" s="254">
        <f t="array" ref="J13">SUM(('Отчет по покупателям УТ'!$J$6:$J$5000='Adj Ageing by Brand'!$B13)*('Отчет по покупателям УТ'!$H$6:$H$5000='Adj Ageing by Brand'!J$8)*('Отчет по покупателям УТ'!$M$6:$M$5000='Adj Ageing by Brand'!$A13)*('Отчет по покупателям УТ'!$K$6:$K$5000))</f>
        <v>0</v>
      </c>
      <c r="K13" s="254">
        <f t="array" ref="K13">SUM(('Отчет по покупателям УТ'!$J$6:$J$5000='Adj Ageing by Brand'!$B13)*('Отчет по покупателям УТ'!$H$6:$H$5000='Adj Ageing by Brand'!K$8)*('Отчет по покупателям УТ'!$M$6:$M$5000='Adj Ageing by Brand'!$A13)*('Отчет по покупателям УТ'!$K$6:$K$5000))</f>
        <v>0</v>
      </c>
      <c r="L13" s="254">
        <f t="array" ref="L13">SUM(('Отчет по покупателям УТ'!$J$6:$J$5000='Adj Ageing by Brand'!$B13)*('Отчет по покупателям УТ'!$H$6:$H$5000='Adj Ageing by Brand'!L$8)*('Отчет по покупателям УТ'!$M$6:$M$5000='Adj Ageing by Brand'!$A13)*('Отчет по покупателям УТ'!$K$6:$K$5000))</f>
        <v>-169458.16</v>
      </c>
      <c r="M13" s="44">
        <f t="shared" si="5"/>
        <v>-169458.16</v>
      </c>
      <c r="R13" s="9" t="b">
        <f t="shared" si="15"/>
        <v>1</v>
      </c>
      <c r="S13" s="228">
        <f t="shared" si="16"/>
        <v>0</v>
      </c>
      <c r="T13" s="228">
        <f t="shared" si="6"/>
        <v>-169458.16</v>
      </c>
      <c r="U13" s="228">
        <f t="shared" si="7"/>
        <v>0</v>
      </c>
      <c r="V13" s="228">
        <f t="shared" si="8"/>
        <v>-169458.16</v>
      </c>
      <c r="W13" s="228">
        <f t="shared" si="9"/>
        <v>0</v>
      </c>
      <c r="X13" s="228">
        <f t="shared" si="10"/>
        <v>-169458.16</v>
      </c>
      <c r="Y13" s="228">
        <f t="shared" si="11"/>
        <v>0</v>
      </c>
      <c r="Z13" s="228">
        <f t="shared" si="12"/>
        <v>-169458.16</v>
      </c>
      <c r="AA13" s="228">
        <f t="shared" si="13"/>
        <v>0</v>
      </c>
      <c r="AB13" s="228">
        <f t="shared" si="14"/>
        <v>-169458.16</v>
      </c>
      <c r="AC13" s="247">
        <f t="shared" si="17"/>
        <v>-169458.16</v>
      </c>
      <c r="AD13" s="227">
        <f t="shared" si="18"/>
        <v>0</v>
      </c>
    </row>
    <row r="14" spans="1:30" x14ac:dyDescent="0.2">
      <c r="A14" t="s">
        <v>54</v>
      </c>
      <c r="B14" t="s">
        <v>22</v>
      </c>
      <c r="D14" s="9">
        <v>-12.07</v>
      </c>
      <c r="F14" s="9"/>
      <c r="G14" s="254">
        <f t="array" ref="G14">SUM(('Отчет по покупателям УТ'!$J$6:$J$5000='Adj Ageing by Brand'!$B14)*('Отчет по покупателям УТ'!$H$6:$H$5000='Adj Ageing by Brand'!G$8)*('Отчет по покупателям УТ'!$M$6:$M$5000='Adj Ageing by Brand'!$A14)*('Отчет по покупателям УТ'!$K$6:$K$5000))</f>
        <v>0</v>
      </c>
      <c r="H14" s="254">
        <f t="array" ref="H14">SUM(('Отчет по покупателям УТ'!$J$6:$J$5000='Adj Ageing by Brand'!$B14)*('Отчет по покупателям УТ'!$H$6:$H$5000='Adj Ageing by Brand'!H$8)*('Отчет по покупателям УТ'!$M$6:$M$5000='Adj Ageing by Brand'!$A14)*('Отчет по покупателям УТ'!$K$6:$K$5000))</f>
        <v>0</v>
      </c>
      <c r="I14" s="254">
        <f t="array" ref="I14">SUM(('Отчет по покупателям УТ'!$J$6:$J$5000='Adj Ageing by Brand'!$B14)*('Отчет по покупателям УТ'!$H$6:$H$5000='Adj Ageing by Brand'!I$8)*('Отчет по покупателям УТ'!$M$6:$M$5000='Adj Ageing by Brand'!$A14)*('Отчет по покупателям УТ'!$K$6:$K$5000))</f>
        <v>0</v>
      </c>
      <c r="J14" s="254">
        <f t="array" ref="J14">SUM(('Отчет по покупателям УТ'!$J$6:$J$5000='Adj Ageing by Brand'!$B14)*('Отчет по покупателям УТ'!$H$6:$H$5000='Adj Ageing by Brand'!J$8)*('Отчет по покупателям УТ'!$M$6:$M$5000='Adj Ageing by Brand'!$A14)*('Отчет по покупателям УТ'!$K$6:$K$5000))</f>
        <v>0</v>
      </c>
      <c r="K14" s="254">
        <f t="array" ref="K14">SUM(('Отчет по покупателям УТ'!$J$6:$J$5000='Adj Ageing by Brand'!$B14)*('Отчет по покупателям УТ'!$H$6:$H$5000='Adj Ageing by Brand'!K$8)*('Отчет по покупателям УТ'!$M$6:$M$5000='Adj Ageing by Brand'!$A14)*('Отчет по покупателям УТ'!$K$6:$K$5000))</f>
        <v>0</v>
      </c>
      <c r="L14" s="254">
        <f t="array" ref="L14">SUM(('Отчет по покупателям УТ'!$J$6:$J$5000='Adj Ageing by Brand'!$B14)*('Отчет по покупателям УТ'!$H$6:$H$5000='Adj Ageing by Brand'!L$8)*('Отчет по покупателям УТ'!$M$6:$M$5000='Adj Ageing by Brand'!$A14)*('Отчет по покупателям УТ'!$K$6:$K$5000))</f>
        <v>-12.07</v>
      </c>
      <c r="M14" s="44">
        <f t="shared" si="5"/>
        <v>-12.07</v>
      </c>
      <c r="R14" s="9" t="b">
        <f t="shared" si="15"/>
        <v>1</v>
      </c>
      <c r="S14" s="228">
        <f t="shared" si="16"/>
        <v>0</v>
      </c>
      <c r="T14" s="228">
        <f t="shared" si="6"/>
        <v>-12.07</v>
      </c>
      <c r="U14" s="228">
        <f t="shared" si="7"/>
        <v>0</v>
      </c>
      <c r="V14" s="228">
        <f t="shared" si="8"/>
        <v>-12.07</v>
      </c>
      <c r="W14" s="228">
        <f t="shared" si="9"/>
        <v>0</v>
      </c>
      <c r="X14" s="228">
        <f t="shared" si="10"/>
        <v>-12.07</v>
      </c>
      <c r="Y14" s="228">
        <f t="shared" si="11"/>
        <v>0</v>
      </c>
      <c r="Z14" s="228">
        <f t="shared" si="12"/>
        <v>-12.07</v>
      </c>
      <c r="AA14" s="228">
        <f t="shared" si="13"/>
        <v>0</v>
      </c>
      <c r="AB14" s="228">
        <f t="shared" si="14"/>
        <v>-12.07</v>
      </c>
      <c r="AC14" s="247">
        <f t="shared" si="17"/>
        <v>-12.07</v>
      </c>
      <c r="AD14" s="227">
        <f t="shared" si="18"/>
        <v>0</v>
      </c>
    </row>
    <row r="15" spans="1:30" x14ac:dyDescent="0.2">
      <c r="A15" t="s">
        <v>54</v>
      </c>
      <c r="B15" t="s">
        <v>23</v>
      </c>
      <c r="D15" s="9">
        <v>-30000.3</v>
      </c>
      <c r="F15" s="9"/>
      <c r="G15" s="254">
        <f t="array" ref="G15">SUM(('Отчет по покупателям УТ'!$J$6:$J$5000='Adj Ageing by Brand'!$B15)*('Отчет по покупателям УТ'!$H$6:$H$5000='Adj Ageing by Brand'!G$8)*('Отчет по покупателям УТ'!$M$6:$M$5000='Adj Ageing by Brand'!$A15)*('Отчет по покупателям УТ'!$K$6:$K$5000))</f>
        <v>0</v>
      </c>
      <c r="H15" s="254">
        <f t="array" ref="H15">SUM(('Отчет по покупателям УТ'!$J$6:$J$5000='Adj Ageing by Brand'!$B15)*('Отчет по покупателям УТ'!$H$6:$H$5000='Adj Ageing by Brand'!H$8)*('Отчет по покупателям УТ'!$M$6:$M$5000='Adj Ageing by Brand'!$A15)*('Отчет по покупателям УТ'!$K$6:$K$5000))</f>
        <v>0</v>
      </c>
      <c r="I15" s="254">
        <f t="array" ref="I15">SUM(('Отчет по покупателям УТ'!$J$6:$J$5000='Adj Ageing by Brand'!$B15)*('Отчет по покупателям УТ'!$H$6:$H$5000='Adj Ageing by Brand'!I$8)*('Отчет по покупателям УТ'!$M$6:$M$5000='Adj Ageing by Brand'!$A15)*('Отчет по покупателям УТ'!$K$6:$K$5000))</f>
        <v>0</v>
      </c>
      <c r="J15" s="254">
        <f t="array" ref="J15">SUM(('Отчет по покупателям УТ'!$J$6:$J$5000='Adj Ageing by Brand'!$B15)*('Отчет по покупателям УТ'!$H$6:$H$5000='Adj Ageing by Brand'!J$8)*('Отчет по покупателям УТ'!$M$6:$M$5000='Adj Ageing by Brand'!$A15)*('Отчет по покупателям УТ'!$K$6:$K$5000))</f>
        <v>0</v>
      </c>
      <c r="K15" s="254">
        <f t="array" ref="K15">SUM(('Отчет по покупателям УТ'!$J$6:$J$5000='Adj Ageing by Brand'!$B15)*('Отчет по покупателям УТ'!$H$6:$H$5000='Adj Ageing by Brand'!K$8)*('Отчет по покупателям УТ'!$M$6:$M$5000='Adj Ageing by Brand'!$A15)*('Отчет по покупателям УТ'!$K$6:$K$5000))</f>
        <v>0</v>
      </c>
      <c r="L15" s="254">
        <f t="array" ref="L15">SUM(('Отчет по покупателям УТ'!$J$6:$J$5000='Adj Ageing by Brand'!$B15)*('Отчет по покупателям УТ'!$H$6:$H$5000='Adj Ageing by Brand'!L$8)*('Отчет по покупателям УТ'!$M$6:$M$5000='Adj Ageing by Brand'!$A15)*('Отчет по покупателям УТ'!$K$6:$K$5000))</f>
        <v>-30000.3</v>
      </c>
      <c r="M15" s="44">
        <f t="shared" si="5"/>
        <v>-30000.3</v>
      </c>
      <c r="R15" s="9" t="b">
        <f t="shared" si="15"/>
        <v>1</v>
      </c>
      <c r="S15" s="228">
        <f t="shared" si="16"/>
        <v>0</v>
      </c>
      <c r="T15" s="228">
        <f t="shared" si="6"/>
        <v>-30000.3</v>
      </c>
      <c r="U15" s="228">
        <f t="shared" si="7"/>
        <v>0</v>
      </c>
      <c r="V15" s="228">
        <f t="shared" si="8"/>
        <v>-30000.3</v>
      </c>
      <c r="W15" s="228">
        <f t="shared" si="9"/>
        <v>0</v>
      </c>
      <c r="X15" s="228">
        <f t="shared" si="10"/>
        <v>-30000.3</v>
      </c>
      <c r="Y15" s="228">
        <f t="shared" si="11"/>
        <v>0</v>
      </c>
      <c r="Z15" s="228">
        <f t="shared" si="12"/>
        <v>-30000.3</v>
      </c>
      <c r="AA15" s="228">
        <f t="shared" si="13"/>
        <v>0</v>
      </c>
      <c r="AB15" s="228">
        <f t="shared" si="14"/>
        <v>-30000.3</v>
      </c>
      <c r="AC15" s="247">
        <f t="shared" si="17"/>
        <v>-30000.3</v>
      </c>
      <c r="AD15" s="227">
        <f t="shared" si="18"/>
        <v>0</v>
      </c>
    </row>
    <row r="16" spans="1:30" x14ac:dyDescent="0.2">
      <c r="A16" t="s">
        <v>60</v>
      </c>
      <c r="B16" t="s">
        <v>22</v>
      </c>
      <c r="D16" s="9">
        <v>-695601.70000000007</v>
      </c>
      <c r="F16" s="9"/>
      <c r="G16" s="254">
        <f t="array" ref="G16">SUM(('Отчет по покупателям УТ'!$J$6:$J$5000='Adj Ageing by Brand'!$B16)*('Отчет по покупателям УТ'!$H$6:$H$5000='Adj Ageing by Brand'!G$8)*('Отчет по покупателям УТ'!$M$6:$M$5000='Adj Ageing by Brand'!$A16)*('Отчет по покупателям УТ'!$K$6:$K$5000))</f>
        <v>0</v>
      </c>
      <c r="H16" s="254">
        <f t="array" ref="H16">SUM(('Отчет по покупателям УТ'!$J$6:$J$5000='Adj Ageing by Brand'!$B16)*('Отчет по покупателям УТ'!$H$6:$H$5000='Adj Ageing by Brand'!H$8)*('Отчет по покупателям УТ'!$M$6:$M$5000='Adj Ageing by Brand'!$A16)*('Отчет по покупателям УТ'!$K$6:$K$5000))</f>
        <v>0</v>
      </c>
      <c r="I16" s="254">
        <f t="array" ref="I16">SUM(('Отчет по покупателям УТ'!$J$6:$J$5000='Adj Ageing by Brand'!$B16)*('Отчет по покупателям УТ'!$H$6:$H$5000='Adj Ageing by Brand'!I$8)*('Отчет по покупателям УТ'!$M$6:$M$5000='Adj Ageing by Brand'!$A16)*('Отчет по покупателям УТ'!$K$6:$K$5000))</f>
        <v>0</v>
      </c>
      <c r="J16" s="254">
        <f t="array" ref="J16">SUM(('Отчет по покупателям УТ'!$J$6:$J$5000='Adj Ageing by Brand'!$B16)*('Отчет по покупателям УТ'!$H$6:$H$5000='Adj Ageing by Brand'!J$8)*('Отчет по покупателям УТ'!$M$6:$M$5000='Adj Ageing by Brand'!$A16)*('Отчет по покупателям УТ'!$K$6:$K$5000))</f>
        <v>0</v>
      </c>
      <c r="K16" s="254">
        <f t="array" ref="K16">SUM(('Отчет по покупателям УТ'!$J$6:$J$5000='Adj Ageing by Brand'!$B16)*('Отчет по покупателям УТ'!$H$6:$H$5000='Adj Ageing by Brand'!K$8)*('Отчет по покупателям УТ'!$M$6:$M$5000='Adj Ageing by Brand'!$A16)*('Отчет по покупателям УТ'!$K$6:$K$5000))</f>
        <v>0</v>
      </c>
      <c r="L16" s="254">
        <f t="array" ref="L16">SUM(('Отчет по покупателям УТ'!$J$6:$J$5000='Adj Ageing by Brand'!$B16)*('Отчет по покупателям УТ'!$H$6:$H$5000='Adj Ageing by Brand'!L$8)*('Отчет по покупателям УТ'!$M$6:$M$5000='Adj Ageing by Brand'!$A16)*('Отчет по покупателям УТ'!$K$6:$K$5000))</f>
        <v>-695601.70000000007</v>
      </c>
      <c r="M16" s="44">
        <f t="shared" si="5"/>
        <v>-695601.70000000007</v>
      </c>
      <c r="R16" s="9" t="b">
        <f t="shared" si="15"/>
        <v>1</v>
      </c>
      <c r="S16" s="228">
        <f t="shared" si="16"/>
        <v>0</v>
      </c>
      <c r="T16" s="228">
        <f t="shared" si="6"/>
        <v>-695601.70000000007</v>
      </c>
      <c r="U16" s="228">
        <f t="shared" si="7"/>
        <v>0</v>
      </c>
      <c r="V16" s="228">
        <f t="shared" si="8"/>
        <v>-695601.70000000007</v>
      </c>
      <c r="W16" s="228">
        <f t="shared" si="9"/>
        <v>0</v>
      </c>
      <c r="X16" s="228">
        <f t="shared" si="10"/>
        <v>-695601.70000000007</v>
      </c>
      <c r="Y16" s="228">
        <f t="shared" si="11"/>
        <v>0</v>
      </c>
      <c r="Z16" s="228">
        <f t="shared" si="12"/>
        <v>-695601.70000000007</v>
      </c>
      <c r="AA16" s="228">
        <f t="shared" si="13"/>
        <v>0</v>
      </c>
      <c r="AB16" s="228">
        <f t="shared" si="14"/>
        <v>-695601.70000000007</v>
      </c>
      <c r="AC16" s="247">
        <f t="shared" si="17"/>
        <v>-695601.70000000007</v>
      </c>
      <c r="AD16" s="227">
        <f t="shared" si="18"/>
        <v>0</v>
      </c>
    </row>
    <row r="17" spans="1:30" x14ac:dyDescent="0.2">
      <c r="A17" t="s">
        <v>60</v>
      </c>
      <c r="B17" t="s">
        <v>16</v>
      </c>
      <c r="D17" s="9">
        <v>-1616628.89</v>
      </c>
      <c r="F17" s="9"/>
      <c r="G17" s="254">
        <f t="array" ref="G17">SUM(('Отчет по покупателям УТ'!$J$6:$J$5000='Adj Ageing by Brand'!$B17)*('Отчет по покупателям УТ'!$H$6:$H$5000='Adj Ageing by Brand'!G$8)*('Отчет по покупателям УТ'!$M$6:$M$5000='Adj Ageing by Brand'!$A17)*('Отчет по покупателям УТ'!$K$6:$K$5000))</f>
        <v>0</v>
      </c>
      <c r="H17" s="254">
        <f t="array" ref="H17">SUM(('Отчет по покупателям УТ'!$J$6:$J$5000='Adj Ageing by Brand'!$B17)*('Отчет по покупателям УТ'!$H$6:$H$5000='Adj Ageing by Brand'!H$8)*('Отчет по покупателям УТ'!$M$6:$M$5000='Adj Ageing by Brand'!$A17)*('Отчет по покупателям УТ'!$K$6:$K$5000))</f>
        <v>0</v>
      </c>
      <c r="I17" s="254">
        <f t="array" ref="I17">SUM(('Отчет по покупателям УТ'!$J$6:$J$5000='Adj Ageing by Brand'!$B17)*('Отчет по покупателям УТ'!$H$6:$H$5000='Adj Ageing by Brand'!I$8)*('Отчет по покупателям УТ'!$M$6:$M$5000='Adj Ageing by Brand'!$A17)*('Отчет по покупателям УТ'!$K$6:$K$5000))</f>
        <v>0</v>
      </c>
      <c r="J17" s="254">
        <f t="array" ref="J17">SUM(('Отчет по покупателям УТ'!$J$6:$J$5000='Adj Ageing by Brand'!$B17)*('Отчет по покупателям УТ'!$H$6:$H$5000='Adj Ageing by Brand'!J$8)*('Отчет по покупателям УТ'!$M$6:$M$5000='Adj Ageing by Brand'!$A17)*('Отчет по покупателям УТ'!$K$6:$K$5000))</f>
        <v>0</v>
      </c>
      <c r="K17" s="254">
        <f t="array" ref="K17">SUM(('Отчет по покупателям УТ'!$J$6:$J$5000='Adj Ageing by Brand'!$B17)*('Отчет по покупателям УТ'!$H$6:$H$5000='Adj Ageing by Brand'!K$8)*('Отчет по покупателям УТ'!$M$6:$M$5000='Adj Ageing by Brand'!$A17)*('Отчет по покупателям УТ'!$K$6:$K$5000))</f>
        <v>0</v>
      </c>
      <c r="L17" s="254">
        <f t="array" ref="L17">SUM(('Отчет по покупателям УТ'!$J$6:$J$5000='Adj Ageing by Brand'!$B17)*('Отчет по покупателям УТ'!$H$6:$H$5000='Adj Ageing by Brand'!L$8)*('Отчет по покупателям УТ'!$M$6:$M$5000='Adj Ageing by Brand'!$A17)*('Отчет по покупателям УТ'!$K$6:$K$5000))</f>
        <v>-1616628.89</v>
      </c>
      <c r="M17" s="44">
        <f t="shared" si="5"/>
        <v>-1616628.89</v>
      </c>
      <c r="R17" s="9" t="b">
        <f t="shared" si="15"/>
        <v>1</v>
      </c>
      <c r="S17" s="228">
        <f t="shared" si="16"/>
        <v>0</v>
      </c>
      <c r="T17" s="228">
        <f t="shared" si="6"/>
        <v>-1616628.89</v>
      </c>
      <c r="U17" s="228">
        <f t="shared" si="7"/>
        <v>0</v>
      </c>
      <c r="V17" s="228">
        <f t="shared" si="8"/>
        <v>-1616628.89</v>
      </c>
      <c r="W17" s="228">
        <f t="shared" si="9"/>
        <v>0</v>
      </c>
      <c r="X17" s="228">
        <f t="shared" si="10"/>
        <v>-1616628.89</v>
      </c>
      <c r="Y17" s="228">
        <f t="shared" si="11"/>
        <v>0</v>
      </c>
      <c r="Z17" s="228">
        <f t="shared" si="12"/>
        <v>-1616628.89</v>
      </c>
      <c r="AA17" s="228">
        <f t="shared" si="13"/>
        <v>0</v>
      </c>
      <c r="AB17" s="228">
        <f t="shared" si="14"/>
        <v>-1616628.89</v>
      </c>
      <c r="AC17" s="247">
        <f t="shared" si="17"/>
        <v>-1616628.89</v>
      </c>
      <c r="AD17" s="227">
        <f t="shared" si="18"/>
        <v>0</v>
      </c>
    </row>
    <row r="18" spans="1:30" x14ac:dyDescent="0.2">
      <c r="A18" t="s">
        <v>60</v>
      </c>
      <c r="B18" t="s">
        <v>31</v>
      </c>
      <c r="D18" s="9">
        <v>-889335.27</v>
      </c>
      <c r="F18" s="9"/>
      <c r="G18" s="254">
        <f t="array" ref="G18">SUM(('Отчет по покупателям УТ'!$J$6:$J$5000='Adj Ageing by Brand'!$B18)*('Отчет по покупателям УТ'!$H$6:$H$5000='Adj Ageing by Brand'!G$8)*('Отчет по покупателям УТ'!$M$6:$M$5000='Adj Ageing by Brand'!$A18)*('Отчет по покупателям УТ'!$K$6:$K$5000))</f>
        <v>0</v>
      </c>
      <c r="H18" s="254">
        <f t="array" ref="H18">SUM(('Отчет по покупателям УТ'!$J$6:$J$5000='Adj Ageing by Brand'!$B18)*('Отчет по покупателям УТ'!$H$6:$H$5000='Adj Ageing by Brand'!H$8)*('Отчет по покупателям УТ'!$M$6:$M$5000='Adj Ageing by Brand'!$A18)*('Отчет по покупателям УТ'!$K$6:$K$5000))</f>
        <v>0</v>
      </c>
      <c r="I18" s="254">
        <f t="array" ref="I18">SUM(('Отчет по покупателям УТ'!$J$6:$J$5000='Adj Ageing by Brand'!$B18)*('Отчет по покупателям УТ'!$H$6:$H$5000='Adj Ageing by Brand'!I$8)*('Отчет по покупателям УТ'!$M$6:$M$5000='Adj Ageing by Brand'!$A18)*('Отчет по покупателям УТ'!$K$6:$K$5000))</f>
        <v>0</v>
      </c>
      <c r="J18" s="254">
        <f t="array" ref="J18">SUM(('Отчет по покупателям УТ'!$J$6:$J$5000='Adj Ageing by Brand'!$B18)*('Отчет по покупателям УТ'!$H$6:$H$5000='Adj Ageing by Brand'!J$8)*('Отчет по покупателям УТ'!$M$6:$M$5000='Adj Ageing by Brand'!$A18)*('Отчет по покупателям УТ'!$K$6:$K$5000))</f>
        <v>0</v>
      </c>
      <c r="K18" s="254">
        <f t="array" ref="K18">SUM(('Отчет по покупателям УТ'!$J$6:$J$5000='Adj Ageing by Brand'!$B18)*('Отчет по покупателям УТ'!$H$6:$H$5000='Adj Ageing by Brand'!K$8)*('Отчет по покупателям УТ'!$M$6:$M$5000='Adj Ageing by Brand'!$A18)*('Отчет по покупателям УТ'!$K$6:$K$5000))</f>
        <v>0</v>
      </c>
      <c r="L18" s="254">
        <f t="array" ref="L18">SUM(('Отчет по покупателям УТ'!$J$6:$J$5000='Adj Ageing by Brand'!$B18)*('Отчет по покупателям УТ'!$H$6:$H$5000='Adj Ageing by Brand'!L$8)*('Отчет по покупателям УТ'!$M$6:$M$5000='Adj Ageing by Brand'!$A18)*('Отчет по покупателям УТ'!$K$6:$K$5000))</f>
        <v>-889335.27</v>
      </c>
      <c r="M18" s="44">
        <f t="shared" si="5"/>
        <v>-889335.27</v>
      </c>
      <c r="R18" s="9" t="b">
        <f t="shared" si="15"/>
        <v>1</v>
      </c>
      <c r="S18" s="228">
        <f t="shared" si="16"/>
        <v>0</v>
      </c>
      <c r="T18" s="228">
        <f t="shared" si="6"/>
        <v>-889335.27</v>
      </c>
      <c r="U18" s="228">
        <f t="shared" si="7"/>
        <v>0</v>
      </c>
      <c r="V18" s="228">
        <f t="shared" si="8"/>
        <v>-889335.27</v>
      </c>
      <c r="W18" s="228">
        <f t="shared" si="9"/>
        <v>0</v>
      </c>
      <c r="X18" s="228">
        <f t="shared" si="10"/>
        <v>-889335.27</v>
      </c>
      <c r="Y18" s="228">
        <f t="shared" si="11"/>
        <v>0</v>
      </c>
      <c r="Z18" s="228">
        <f t="shared" si="12"/>
        <v>-889335.27</v>
      </c>
      <c r="AA18" s="228">
        <f t="shared" si="13"/>
        <v>0</v>
      </c>
      <c r="AB18" s="228">
        <f t="shared" si="14"/>
        <v>-889335.27</v>
      </c>
      <c r="AC18" s="247">
        <f t="shared" si="17"/>
        <v>-889335.27</v>
      </c>
      <c r="AD18" s="227">
        <f t="shared" si="18"/>
        <v>0</v>
      </c>
    </row>
    <row r="19" spans="1:30" x14ac:dyDescent="0.2">
      <c r="A19" t="s">
        <v>69</v>
      </c>
      <c r="B19" t="s">
        <v>22</v>
      </c>
      <c r="D19" s="9">
        <v>11603766.67</v>
      </c>
      <c r="F19" s="9"/>
      <c r="G19" s="254">
        <f t="array" ref="G19">SUM(('Отчет по покупателям УТ'!$J$6:$J$5000='Adj Ageing by Brand'!$B19)*('Отчет по покупателям УТ'!$H$6:$H$5000='Adj Ageing by Brand'!G$8)*('Отчет по покупателям УТ'!$M$6:$M$5000='Adj Ageing by Brand'!$A19)*('Отчет по покупателям УТ'!$K$6:$K$5000))</f>
        <v>7356375.3500000006</v>
      </c>
      <c r="H19" s="254">
        <f t="array" ref="H19">SUM(('Отчет по покупателям УТ'!$J$6:$J$5000='Adj Ageing by Brand'!$B19)*('Отчет по покупателям УТ'!$H$6:$H$5000='Adj Ageing by Brand'!H$8)*('Отчет по покупателям УТ'!$M$6:$M$5000='Adj Ageing by Brand'!$A19)*('Отчет по покупателям УТ'!$K$6:$K$5000))</f>
        <v>4247391.32</v>
      </c>
      <c r="I19" s="254">
        <f t="array" ref="I19">SUM(('Отчет по покупателям УТ'!$J$6:$J$5000='Adj Ageing by Brand'!$B19)*('Отчет по покупателям УТ'!$H$6:$H$5000='Adj Ageing by Brand'!I$8)*('Отчет по покупателям УТ'!$M$6:$M$5000='Adj Ageing by Brand'!$A19)*('Отчет по покупателям УТ'!$K$6:$K$5000))</f>
        <v>0</v>
      </c>
      <c r="J19" s="254">
        <f t="array" ref="J19">SUM(('Отчет по покупателям УТ'!$J$6:$J$5000='Adj Ageing by Brand'!$B19)*('Отчет по покупателям УТ'!$H$6:$H$5000='Adj Ageing by Brand'!J$8)*('Отчет по покупателям УТ'!$M$6:$M$5000='Adj Ageing by Brand'!$A19)*('Отчет по покупателям УТ'!$K$6:$K$5000))</f>
        <v>0</v>
      </c>
      <c r="K19" s="254">
        <f t="array" ref="K19">SUM(('Отчет по покупателям УТ'!$J$6:$J$5000='Adj Ageing by Brand'!$B19)*('Отчет по покупателям УТ'!$H$6:$H$5000='Adj Ageing by Brand'!K$8)*('Отчет по покупателям УТ'!$M$6:$M$5000='Adj Ageing by Brand'!$A19)*('Отчет по покупателям УТ'!$K$6:$K$5000))</f>
        <v>0</v>
      </c>
      <c r="L19" s="254">
        <f t="array" ref="L19">SUM(('Отчет по покупателям УТ'!$J$6:$J$5000='Adj Ageing by Brand'!$B19)*('Отчет по покупателям УТ'!$H$6:$H$5000='Adj Ageing by Brand'!L$8)*('Отчет по покупателям УТ'!$M$6:$M$5000='Adj Ageing by Brand'!$A19)*('Отчет по покупателям УТ'!$K$6:$K$5000))</f>
        <v>0</v>
      </c>
      <c r="M19" s="44">
        <f t="shared" si="5"/>
        <v>11603766.670000002</v>
      </c>
      <c r="R19" s="9" t="b">
        <f t="shared" si="15"/>
        <v>1</v>
      </c>
      <c r="S19" s="228">
        <f>IF(G19+T19&lt;0,0,G19+T19)</f>
        <v>7356375.3500000006</v>
      </c>
      <c r="T19" s="228">
        <f t="shared" si="6"/>
        <v>0</v>
      </c>
      <c r="U19" s="228">
        <f>IF(H19+V19&lt;0,0,H19+V19)</f>
        <v>4247391.32</v>
      </c>
      <c r="V19" s="228">
        <f t="shared" si="8"/>
        <v>0</v>
      </c>
      <c r="W19" s="228">
        <f t="shared" si="9"/>
        <v>0</v>
      </c>
      <c r="X19" s="228">
        <f t="shared" si="10"/>
        <v>0</v>
      </c>
      <c r="Y19" s="228">
        <f t="shared" si="11"/>
        <v>0</v>
      </c>
      <c r="Z19" s="228">
        <f t="shared" si="12"/>
        <v>0</v>
      </c>
      <c r="AA19" s="228">
        <f t="shared" si="13"/>
        <v>0</v>
      </c>
      <c r="AB19" s="228">
        <f t="shared" si="14"/>
        <v>0</v>
      </c>
      <c r="AC19" s="247">
        <f t="shared" si="17"/>
        <v>11603766.670000002</v>
      </c>
      <c r="AD19" s="227">
        <f t="shared" si="18"/>
        <v>11603766.670000002</v>
      </c>
    </row>
    <row r="20" spans="1:30" x14ac:dyDescent="0.2">
      <c r="A20" t="s">
        <v>69</v>
      </c>
      <c r="B20" t="s">
        <v>21</v>
      </c>
      <c r="D20" s="9">
        <v>652918.27999999991</v>
      </c>
      <c r="F20" s="9"/>
      <c r="G20" s="254">
        <f t="array" ref="G20">SUM(('Отчет по покупателям УТ'!$J$6:$J$5000='Adj Ageing by Brand'!$B20)*('Отчет по покупателям УТ'!$H$6:$H$5000='Adj Ageing by Brand'!G$8)*('Отчет по покупателям УТ'!$M$6:$M$5000='Adj Ageing by Brand'!$A20)*('Отчет по покупателям УТ'!$K$6:$K$5000))</f>
        <v>652918.27999999991</v>
      </c>
      <c r="H20" s="254">
        <f t="array" ref="H20">SUM(('Отчет по покупателям УТ'!$J$6:$J$5000='Adj Ageing by Brand'!$B20)*('Отчет по покупателям УТ'!$H$6:$H$5000='Adj Ageing by Brand'!H$8)*('Отчет по покупателям УТ'!$M$6:$M$5000='Adj Ageing by Brand'!$A20)*('Отчет по покупателям УТ'!$K$6:$K$5000))</f>
        <v>0</v>
      </c>
      <c r="I20" s="254">
        <f t="array" ref="I20">SUM(('Отчет по покупателям УТ'!$J$6:$J$5000='Adj Ageing by Brand'!$B20)*('Отчет по покупателям УТ'!$H$6:$H$5000='Adj Ageing by Brand'!I$8)*('Отчет по покупателям УТ'!$M$6:$M$5000='Adj Ageing by Brand'!$A20)*('Отчет по покупателям УТ'!$K$6:$K$5000))</f>
        <v>0</v>
      </c>
      <c r="J20" s="254">
        <f t="array" ref="J20">SUM(('Отчет по покупателям УТ'!$J$6:$J$5000='Adj Ageing by Brand'!$B20)*('Отчет по покупателям УТ'!$H$6:$H$5000='Adj Ageing by Brand'!J$8)*('Отчет по покупателям УТ'!$M$6:$M$5000='Adj Ageing by Brand'!$A20)*('Отчет по покупателям УТ'!$K$6:$K$5000))</f>
        <v>0</v>
      </c>
      <c r="K20" s="254">
        <f t="array" ref="K20">SUM(('Отчет по покупателям УТ'!$J$6:$J$5000='Adj Ageing by Brand'!$B20)*('Отчет по покупателям УТ'!$H$6:$H$5000='Adj Ageing by Brand'!K$8)*('Отчет по покупателям УТ'!$M$6:$M$5000='Adj Ageing by Brand'!$A20)*('Отчет по покупателям УТ'!$K$6:$K$5000))</f>
        <v>0</v>
      </c>
      <c r="L20" s="254">
        <f t="array" ref="L20">SUM(('Отчет по покупателям УТ'!$J$6:$J$5000='Adj Ageing by Brand'!$B20)*('Отчет по покупателям УТ'!$H$6:$H$5000='Adj Ageing by Brand'!L$8)*('Отчет по покупателям УТ'!$M$6:$M$5000='Adj Ageing by Brand'!$A20)*('Отчет по покупателям УТ'!$K$6:$K$5000))</f>
        <v>0</v>
      </c>
      <c r="M20" s="44">
        <f t="shared" si="5"/>
        <v>652918.27999999991</v>
      </c>
      <c r="R20" s="9" t="b">
        <f>M20=SUM(S20,U20,W20,Y20,AA20,AB20)</f>
        <v>1</v>
      </c>
      <c r="S20" s="228">
        <f t="shared" si="16"/>
        <v>652918.27999999991</v>
      </c>
      <c r="T20" s="228">
        <f t="shared" si="6"/>
        <v>0</v>
      </c>
      <c r="U20" s="228">
        <f t="shared" si="7"/>
        <v>0</v>
      </c>
      <c r="V20" s="228">
        <f t="shared" si="8"/>
        <v>0</v>
      </c>
      <c r="W20" s="228">
        <f>IF(I20+X20&lt;0,0,I20+X20)</f>
        <v>0</v>
      </c>
      <c r="X20" s="228">
        <f t="shared" si="10"/>
        <v>0</v>
      </c>
      <c r="Y20" s="228">
        <f t="shared" si="11"/>
        <v>0</v>
      </c>
      <c r="Z20" s="228">
        <f t="shared" si="12"/>
        <v>0</v>
      </c>
      <c r="AA20" s="228">
        <f t="shared" si="13"/>
        <v>0</v>
      </c>
      <c r="AB20" s="228">
        <f t="shared" si="14"/>
        <v>0</v>
      </c>
      <c r="AC20" s="247">
        <f t="shared" si="17"/>
        <v>652918.27999999991</v>
      </c>
      <c r="AD20" s="227">
        <f t="shared" si="18"/>
        <v>652918.27999999991</v>
      </c>
    </row>
    <row r="21" spans="1:30" x14ac:dyDescent="0.2">
      <c r="A21" t="s">
        <v>69</v>
      </c>
      <c r="B21" t="s">
        <v>31</v>
      </c>
      <c r="D21" s="9">
        <v>1742319.9700000002</v>
      </c>
      <c r="F21" s="9"/>
      <c r="G21" s="254">
        <f t="array" ref="G21">SUM(('Отчет по покупателям УТ'!$J$6:$J$5000='Adj Ageing by Brand'!$B21)*('Отчет по покупателям УТ'!$H$6:$H$5000='Adj Ageing by Brand'!G$8)*('Отчет по покупателям УТ'!$M$6:$M$5000='Adj Ageing by Brand'!$A21)*('Отчет по покупателям УТ'!$K$6:$K$5000))</f>
        <v>1742319.9700000002</v>
      </c>
      <c r="H21" s="254">
        <f t="array" ref="H21">SUM(('Отчет по покупателям УТ'!$J$6:$J$5000='Adj Ageing by Brand'!$B21)*('Отчет по покупателям УТ'!$H$6:$H$5000='Adj Ageing by Brand'!H$8)*('Отчет по покупателям УТ'!$M$6:$M$5000='Adj Ageing by Brand'!$A21)*('Отчет по покупателям УТ'!$K$6:$K$5000))</f>
        <v>0</v>
      </c>
      <c r="I21" s="254">
        <f t="array" ref="I21">SUM(('Отчет по покупателям УТ'!$J$6:$J$5000='Adj Ageing by Brand'!$B21)*('Отчет по покупателям УТ'!$H$6:$H$5000='Adj Ageing by Brand'!I$8)*('Отчет по покупателям УТ'!$M$6:$M$5000='Adj Ageing by Brand'!$A21)*('Отчет по покупателям УТ'!$K$6:$K$5000))</f>
        <v>0</v>
      </c>
      <c r="J21" s="254">
        <f t="array" ref="J21">SUM(('Отчет по покупателям УТ'!$J$6:$J$5000='Adj Ageing by Brand'!$B21)*('Отчет по покупателям УТ'!$H$6:$H$5000='Adj Ageing by Brand'!J$8)*('Отчет по покупателям УТ'!$M$6:$M$5000='Adj Ageing by Brand'!$A21)*('Отчет по покупателям УТ'!$K$6:$K$5000))</f>
        <v>0</v>
      </c>
      <c r="K21" s="254">
        <f t="array" ref="K21">SUM(('Отчет по покупателям УТ'!$J$6:$J$5000='Adj Ageing by Brand'!$B21)*('Отчет по покупателям УТ'!$H$6:$H$5000='Adj Ageing by Brand'!K$8)*('Отчет по покупателям УТ'!$M$6:$M$5000='Adj Ageing by Brand'!$A21)*('Отчет по покупателям УТ'!$K$6:$K$5000))</f>
        <v>0</v>
      </c>
      <c r="L21" s="254">
        <f t="array" ref="L21">SUM(('Отчет по покупателям УТ'!$J$6:$J$5000='Adj Ageing by Brand'!$B21)*('Отчет по покупателям УТ'!$H$6:$H$5000='Adj Ageing by Brand'!L$8)*('Отчет по покупателям УТ'!$M$6:$M$5000='Adj Ageing by Brand'!$A21)*('Отчет по покупателям УТ'!$K$6:$K$5000))</f>
        <v>0</v>
      </c>
      <c r="M21" s="44">
        <f t="shared" si="5"/>
        <v>1742319.9700000002</v>
      </c>
      <c r="R21" s="9" t="b">
        <f t="shared" si="15"/>
        <v>1</v>
      </c>
      <c r="S21" s="228">
        <f t="shared" si="16"/>
        <v>1742319.9700000002</v>
      </c>
      <c r="T21" s="228">
        <f t="shared" si="6"/>
        <v>0</v>
      </c>
      <c r="U21" s="228">
        <f>IF(H21+V21&lt;0,0,H21+V21)</f>
        <v>0</v>
      </c>
      <c r="V21" s="228">
        <f t="shared" si="8"/>
        <v>0</v>
      </c>
      <c r="W21" s="228">
        <f t="shared" si="9"/>
        <v>0</v>
      </c>
      <c r="X21" s="228">
        <f t="shared" si="10"/>
        <v>0</v>
      </c>
      <c r="Y21" s="228">
        <f t="shared" si="11"/>
        <v>0</v>
      </c>
      <c r="Z21" s="228">
        <f t="shared" si="12"/>
        <v>0</v>
      </c>
      <c r="AA21" s="228">
        <f t="shared" si="13"/>
        <v>0</v>
      </c>
      <c r="AB21" s="228">
        <f t="shared" si="14"/>
        <v>0</v>
      </c>
      <c r="AC21" s="247">
        <f t="shared" si="17"/>
        <v>1742319.9700000002</v>
      </c>
      <c r="AD21" s="227">
        <f t="shared" si="18"/>
        <v>1742319.9700000002</v>
      </c>
    </row>
    <row r="22" spans="1:30" x14ac:dyDescent="0.2">
      <c r="A22" t="s">
        <v>69</v>
      </c>
      <c r="B22" t="s">
        <v>1358</v>
      </c>
      <c r="D22" s="9">
        <v>-8839</v>
      </c>
      <c r="F22" s="9"/>
      <c r="G22" s="254">
        <f t="array" ref="G22">SUM(('Отчет по покупателям УТ'!$J$6:$J$5000='Adj Ageing by Brand'!$B22)*('Отчет по покупателям УТ'!$H$6:$H$5000='Adj Ageing by Brand'!G$8)*('Отчет по покупателям УТ'!$M$6:$M$5000='Adj Ageing by Brand'!$A22)*('Отчет по покупателям УТ'!$K$6:$K$5000))</f>
        <v>0</v>
      </c>
      <c r="H22" s="254">
        <f t="array" ref="H22">SUM(('Отчет по покупателям УТ'!$J$6:$J$5000='Adj Ageing by Brand'!$B22)*('Отчет по покупателям УТ'!$H$6:$H$5000='Adj Ageing by Brand'!H$8)*('Отчет по покупателям УТ'!$M$6:$M$5000='Adj Ageing by Brand'!$A22)*('Отчет по покупателям УТ'!$K$6:$K$5000))</f>
        <v>0</v>
      </c>
      <c r="I22" s="254">
        <f t="array" ref="I22">SUM(('Отчет по покупателям УТ'!$J$6:$J$5000='Adj Ageing by Brand'!$B22)*('Отчет по покупателям УТ'!$H$6:$H$5000='Adj Ageing by Brand'!I$8)*('Отчет по покупателям УТ'!$M$6:$M$5000='Adj Ageing by Brand'!$A22)*('Отчет по покупателям УТ'!$K$6:$K$5000))</f>
        <v>0</v>
      </c>
      <c r="J22" s="254">
        <f t="array" ref="J22">SUM(('Отчет по покупателям УТ'!$J$6:$J$5000='Adj Ageing by Brand'!$B22)*('Отчет по покупателям УТ'!$H$6:$H$5000='Adj Ageing by Brand'!J$8)*('Отчет по покупателям УТ'!$M$6:$M$5000='Adj Ageing by Brand'!$A22)*('Отчет по покупателям УТ'!$K$6:$K$5000))</f>
        <v>0</v>
      </c>
      <c r="K22" s="254">
        <f t="array" ref="K22">SUM(('Отчет по покупателям УТ'!$J$6:$J$5000='Adj Ageing by Brand'!$B22)*('Отчет по покупателям УТ'!$H$6:$H$5000='Adj Ageing by Brand'!K$8)*('Отчет по покупателям УТ'!$M$6:$M$5000='Adj Ageing by Brand'!$A22)*('Отчет по покупателям УТ'!$K$6:$K$5000))</f>
        <v>0</v>
      </c>
      <c r="L22" s="254">
        <f t="array" ref="L22">SUM(('Отчет по покупателям УТ'!$J$6:$J$5000='Adj Ageing by Brand'!$B22)*('Отчет по покупателям УТ'!$H$6:$H$5000='Adj Ageing by Brand'!L$8)*('Отчет по покупателям УТ'!$M$6:$M$5000='Adj Ageing by Brand'!$A22)*('Отчет по покупателям УТ'!$K$6:$K$5000))</f>
        <v>-8839</v>
      </c>
      <c r="M22" s="44">
        <f t="shared" si="5"/>
        <v>-8839</v>
      </c>
      <c r="R22" s="9" t="b">
        <f t="shared" si="15"/>
        <v>1</v>
      </c>
      <c r="S22" s="228">
        <f t="shared" si="16"/>
        <v>0</v>
      </c>
      <c r="T22" s="228">
        <f t="shared" si="6"/>
        <v>-8839</v>
      </c>
      <c r="U22" s="228">
        <f t="shared" si="7"/>
        <v>0</v>
      </c>
      <c r="V22" s="228">
        <f t="shared" si="8"/>
        <v>-8839</v>
      </c>
      <c r="W22" s="228">
        <f t="shared" si="9"/>
        <v>0</v>
      </c>
      <c r="X22" s="228">
        <f t="shared" si="10"/>
        <v>-8839</v>
      </c>
      <c r="Y22" s="228">
        <f t="shared" si="11"/>
        <v>0</v>
      </c>
      <c r="Z22" s="228">
        <f t="shared" si="12"/>
        <v>-8839</v>
      </c>
      <c r="AA22" s="228">
        <f t="shared" si="13"/>
        <v>0</v>
      </c>
      <c r="AB22" s="228">
        <f t="shared" si="14"/>
        <v>-8839</v>
      </c>
      <c r="AC22" s="247">
        <f t="shared" si="17"/>
        <v>-8839</v>
      </c>
      <c r="AD22" s="227">
        <f t="shared" si="18"/>
        <v>0</v>
      </c>
    </row>
    <row r="23" spans="1:30" x14ac:dyDescent="0.2">
      <c r="A23" t="s">
        <v>94</v>
      </c>
      <c r="B23" t="s">
        <v>396</v>
      </c>
      <c r="D23" s="9">
        <v>-7495</v>
      </c>
      <c r="F23" s="9"/>
      <c r="G23" s="254">
        <f t="array" ref="G23">SUM(('Отчет по покупателям УТ'!$J$6:$J$5000='Adj Ageing by Brand'!$B23)*('Отчет по покупателям УТ'!$H$6:$H$5000='Adj Ageing by Brand'!G$8)*('Отчет по покупателям УТ'!$M$6:$M$5000='Adj Ageing by Brand'!$A23)*('Отчет по покупателям УТ'!$K$6:$K$5000))</f>
        <v>0</v>
      </c>
      <c r="H23" s="254">
        <f t="array" ref="H23">SUM(('Отчет по покупателям УТ'!$J$6:$J$5000='Adj Ageing by Brand'!$B23)*('Отчет по покупателям УТ'!$H$6:$H$5000='Adj Ageing by Brand'!H$8)*('Отчет по покупателям УТ'!$M$6:$M$5000='Adj Ageing by Brand'!$A23)*('Отчет по покупателям УТ'!$K$6:$K$5000))</f>
        <v>0</v>
      </c>
      <c r="I23" s="254">
        <f t="array" ref="I23">SUM(('Отчет по покупателям УТ'!$J$6:$J$5000='Adj Ageing by Brand'!$B23)*('Отчет по покупателям УТ'!$H$6:$H$5000='Adj Ageing by Brand'!I$8)*('Отчет по покупателям УТ'!$M$6:$M$5000='Adj Ageing by Brand'!$A23)*('Отчет по покупателям УТ'!$K$6:$K$5000))</f>
        <v>0</v>
      </c>
      <c r="J23" s="254">
        <f t="array" ref="J23">SUM(('Отчет по покупателям УТ'!$J$6:$J$5000='Adj Ageing by Brand'!$B23)*('Отчет по покупателям УТ'!$H$6:$H$5000='Adj Ageing by Brand'!J$8)*('Отчет по покупателям УТ'!$M$6:$M$5000='Adj Ageing by Brand'!$A23)*('Отчет по покупателям УТ'!$K$6:$K$5000))</f>
        <v>0</v>
      </c>
      <c r="K23" s="254">
        <f t="array" ref="K23">SUM(('Отчет по покупателям УТ'!$J$6:$J$5000='Adj Ageing by Brand'!$B23)*('Отчет по покупателям УТ'!$H$6:$H$5000='Adj Ageing by Brand'!K$8)*('Отчет по покупателям УТ'!$M$6:$M$5000='Adj Ageing by Brand'!$A23)*('Отчет по покупателям УТ'!$K$6:$K$5000))</f>
        <v>0</v>
      </c>
      <c r="L23" s="254">
        <f t="array" ref="L23">SUM(('Отчет по покупателям УТ'!$J$6:$J$5000='Adj Ageing by Brand'!$B23)*('Отчет по покупателям УТ'!$H$6:$H$5000='Adj Ageing by Brand'!L$8)*('Отчет по покупателям УТ'!$M$6:$M$5000='Adj Ageing by Brand'!$A23)*('Отчет по покупателям УТ'!$K$6:$K$5000))</f>
        <v>-7495</v>
      </c>
      <c r="M23" s="44">
        <f t="shared" si="5"/>
        <v>-7495</v>
      </c>
      <c r="R23" s="9" t="b">
        <f t="shared" si="15"/>
        <v>1</v>
      </c>
      <c r="S23" s="228">
        <f t="shared" si="16"/>
        <v>0</v>
      </c>
      <c r="T23" s="228">
        <f t="shared" si="6"/>
        <v>-7495</v>
      </c>
      <c r="U23" s="228">
        <f t="shared" si="7"/>
        <v>0</v>
      </c>
      <c r="V23" s="228">
        <f t="shared" si="8"/>
        <v>-7495</v>
      </c>
      <c r="W23" s="228">
        <f t="shared" si="9"/>
        <v>0</v>
      </c>
      <c r="X23" s="228">
        <f t="shared" si="10"/>
        <v>-7495</v>
      </c>
      <c r="Y23" s="228">
        <f t="shared" si="11"/>
        <v>0</v>
      </c>
      <c r="Z23" s="228">
        <f t="shared" si="12"/>
        <v>-7495</v>
      </c>
      <c r="AA23" s="228">
        <f t="shared" si="13"/>
        <v>0</v>
      </c>
      <c r="AB23" s="228">
        <f t="shared" si="14"/>
        <v>-7495</v>
      </c>
      <c r="AC23" s="247">
        <f t="shared" si="17"/>
        <v>-7495</v>
      </c>
      <c r="AD23" s="227">
        <f t="shared" si="18"/>
        <v>0</v>
      </c>
    </row>
    <row r="24" spans="1:30" x14ac:dyDescent="0.2">
      <c r="A24" t="s">
        <v>98</v>
      </c>
      <c r="B24" t="s">
        <v>22</v>
      </c>
      <c r="D24" s="9">
        <v>-8822924.2200000007</v>
      </c>
      <c r="F24" s="9"/>
      <c r="G24" s="254">
        <f t="array" ref="G24">SUM(('Отчет по покупателям УТ'!$J$6:$J$5000='Adj Ageing by Brand'!$B24)*('Отчет по покупателям УТ'!$H$6:$H$5000='Adj Ageing by Brand'!G$8)*('Отчет по покупателям УТ'!$M$6:$M$5000='Adj Ageing by Brand'!$A24)*('Отчет по покупателям УТ'!$K$6:$K$5000))</f>
        <v>0</v>
      </c>
      <c r="H24" s="254">
        <f t="array" ref="H24">SUM(('Отчет по покупателям УТ'!$J$6:$J$5000='Adj Ageing by Brand'!$B24)*('Отчет по покупателям УТ'!$H$6:$H$5000='Adj Ageing by Brand'!H$8)*('Отчет по покупателям УТ'!$M$6:$M$5000='Adj Ageing by Brand'!$A24)*('Отчет по покупателям УТ'!$K$6:$K$5000))</f>
        <v>0</v>
      </c>
      <c r="I24" s="254">
        <f t="array" ref="I24">SUM(('Отчет по покупателям УТ'!$J$6:$J$5000='Adj Ageing by Brand'!$B24)*('Отчет по покупателям УТ'!$H$6:$H$5000='Adj Ageing by Brand'!I$8)*('Отчет по покупателям УТ'!$M$6:$M$5000='Adj Ageing by Brand'!$A24)*('Отчет по покупателям УТ'!$K$6:$K$5000))</f>
        <v>0</v>
      </c>
      <c r="J24" s="254">
        <f t="array" ref="J24">SUM(('Отчет по покупателям УТ'!$J$6:$J$5000='Adj Ageing by Brand'!$B24)*('Отчет по покупателям УТ'!$H$6:$H$5000='Adj Ageing by Brand'!J$8)*('Отчет по покупателям УТ'!$M$6:$M$5000='Adj Ageing by Brand'!$A24)*('Отчет по покупателям УТ'!$K$6:$K$5000))</f>
        <v>0</v>
      </c>
      <c r="K24" s="254">
        <f t="array" ref="K24">SUM(('Отчет по покупателям УТ'!$J$6:$J$5000='Adj Ageing by Brand'!$B24)*('Отчет по покупателям УТ'!$H$6:$H$5000='Adj Ageing by Brand'!K$8)*('Отчет по покупателям УТ'!$M$6:$M$5000='Adj Ageing by Brand'!$A24)*('Отчет по покупателям УТ'!$K$6:$K$5000))</f>
        <v>0</v>
      </c>
      <c r="L24" s="254">
        <f t="array" ref="L24">SUM(('Отчет по покупателям УТ'!$J$6:$J$5000='Adj Ageing by Brand'!$B24)*('Отчет по покупателям УТ'!$H$6:$H$5000='Adj Ageing by Brand'!L$8)*('Отчет по покупателям УТ'!$M$6:$M$5000='Adj Ageing by Brand'!$A24)*('Отчет по покупателям УТ'!$K$6:$K$5000))</f>
        <v>-8822924.2200000007</v>
      </c>
      <c r="M24" s="44">
        <f t="shared" si="5"/>
        <v>-8822924.2200000007</v>
      </c>
      <c r="R24" s="9" t="b">
        <f t="shared" si="15"/>
        <v>1</v>
      </c>
      <c r="S24" s="228">
        <f t="shared" si="16"/>
        <v>0</v>
      </c>
      <c r="T24" s="228">
        <f t="shared" si="6"/>
        <v>-8822924.2200000007</v>
      </c>
      <c r="U24" s="228">
        <f t="shared" si="7"/>
        <v>0</v>
      </c>
      <c r="V24" s="228">
        <f t="shared" si="8"/>
        <v>-8822924.2200000007</v>
      </c>
      <c r="W24" s="228">
        <f t="shared" si="9"/>
        <v>0</v>
      </c>
      <c r="X24" s="228">
        <f t="shared" si="10"/>
        <v>-8822924.2200000007</v>
      </c>
      <c r="Y24" s="228">
        <f t="shared" si="11"/>
        <v>0</v>
      </c>
      <c r="Z24" s="228">
        <f t="shared" si="12"/>
        <v>-8822924.2200000007</v>
      </c>
      <c r="AA24" s="228">
        <f t="shared" si="13"/>
        <v>0</v>
      </c>
      <c r="AB24" s="228">
        <f t="shared" si="14"/>
        <v>-8822924.2200000007</v>
      </c>
      <c r="AC24" s="247">
        <f t="shared" si="17"/>
        <v>-8822924.2200000007</v>
      </c>
      <c r="AD24" s="227">
        <f t="shared" si="18"/>
        <v>0</v>
      </c>
    </row>
    <row r="25" spans="1:30" x14ac:dyDescent="0.2">
      <c r="A25" t="s">
        <v>98</v>
      </c>
      <c r="B25" t="s">
        <v>16</v>
      </c>
      <c r="D25" s="9">
        <v>-10007771.789999999</v>
      </c>
      <c r="F25" s="9"/>
      <c r="G25" s="254">
        <f t="array" ref="G25">SUM(('Отчет по покупателям УТ'!$J$6:$J$5000='Adj Ageing by Brand'!$B25)*('Отчет по покупателям УТ'!$H$6:$H$5000='Adj Ageing by Brand'!G$8)*('Отчет по покупателям УТ'!$M$6:$M$5000='Adj Ageing by Brand'!$A25)*('Отчет по покупателям УТ'!$K$6:$K$5000))</f>
        <v>0</v>
      </c>
      <c r="H25" s="254">
        <f t="array" ref="H25">SUM(('Отчет по покупателям УТ'!$J$6:$J$5000='Adj Ageing by Brand'!$B25)*('Отчет по покупателям УТ'!$H$6:$H$5000='Adj Ageing by Brand'!H$8)*('Отчет по покупателям УТ'!$M$6:$M$5000='Adj Ageing by Brand'!$A25)*('Отчет по покупателям УТ'!$K$6:$K$5000))</f>
        <v>0</v>
      </c>
      <c r="I25" s="254">
        <f t="array" ref="I25">SUM(('Отчет по покупателям УТ'!$J$6:$J$5000='Adj Ageing by Brand'!$B25)*('Отчет по покупателям УТ'!$H$6:$H$5000='Adj Ageing by Brand'!I$8)*('Отчет по покупателям УТ'!$M$6:$M$5000='Adj Ageing by Brand'!$A25)*('Отчет по покупателям УТ'!$K$6:$K$5000))</f>
        <v>0</v>
      </c>
      <c r="J25" s="254">
        <f t="array" ref="J25">SUM(('Отчет по покупателям УТ'!$J$6:$J$5000='Adj Ageing by Brand'!$B25)*('Отчет по покупателям УТ'!$H$6:$H$5000='Adj Ageing by Brand'!J$8)*('Отчет по покупателям УТ'!$M$6:$M$5000='Adj Ageing by Brand'!$A25)*('Отчет по покупателям УТ'!$K$6:$K$5000))</f>
        <v>0</v>
      </c>
      <c r="K25" s="254">
        <f t="array" ref="K25">SUM(('Отчет по покупателям УТ'!$J$6:$J$5000='Adj Ageing by Brand'!$B25)*('Отчет по покупателям УТ'!$H$6:$H$5000='Adj Ageing by Brand'!K$8)*('Отчет по покупателям УТ'!$M$6:$M$5000='Adj Ageing by Brand'!$A25)*('Отчет по покупателям УТ'!$K$6:$K$5000))</f>
        <v>0</v>
      </c>
      <c r="L25" s="254">
        <f t="array" ref="L25">SUM(('Отчет по покупателям УТ'!$J$6:$J$5000='Adj Ageing by Brand'!$B25)*('Отчет по покупателям УТ'!$H$6:$H$5000='Adj Ageing by Brand'!L$8)*('Отчет по покупателям УТ'!$M$6:$M$5000='Adj Ageing by Brand'!$A25)*('Отчет по покупателям УТ'!$K$6:$K$5000))</f>
        <v>-10007771.789999999</v>
      </c>
      <c r="M25" s="44">
        <f t="shared" si="5"/>
        <v>-10007771.789999999</v>
      </c>
      <c r="R25" s="9" t="b">
        <f t="shared" si="15"/>
        <v>1</v>
      </c>
      <c r="S25" s="228">
        <f t="shared" si="16"/>
        <v>0</v>
      </c>
      <c r="T25" s="228">
        <f t="shared" si="6"/>
        <v>-10007771.789999999</v>
      </c>
      <c r="U25" s="228">
        <f t="shared" si="7"/>
        <v>0</v>
      </c>
      <c r="V25" s="228">
        <f t="shared" si="8"/>
        <v>-10007771.789999999</v>
      </c>
      <c r="W25" s="228">
        <f t="shared" si="9"/>
        <v>0</v>
      </c>
      <c r="X25" s="228">
        <f t="shared" si="10"/>
        <v>-10007771.789999999</v>
      </c>
      <c r="Y25" s="228">
        <f t="shared" si="11"/>
        <v>0</v>
      </c>
      <c r="Z25" s="228">
        <f t="shared" si="12"/>
        <v>-10007771.789999999</v>
      </c>
      <c r="AA25" s="228">
        <f t="shared" si="13"/>
        <v>0</v>
      </c>
      <c r="AB25" s="228">
        <f t="shared" si="14"/>
        <v>-10007771.789999999</v>
      </c>
      <c r="AC25" s="247">
        <f t="shared" si="17"/>
        <v>-10007771.789999999</v>
      </c>
      <c r="AD25" s="227">
        <f t="shared" si="18"/>
        <v>0</v>
      </c>
    </row>
    <row r="26" spans="1:30" x14ac:dyDescent="0.2">
      <c r="A26" t="s">
        <v>98</v>
      </c>
      <c r="B26" t="s">
        <v>21</v>
      </c>
      <c r="D26" s="9">
        <v>-147697.51999999999</v>
      </c>
      <c r="F26" s="9"/>
      <c r="G26" s="254">
        <f t="array" ref="G26">SUM(('Отчет по покупателям УТ'!$J$6:$J$5000='Adj Ageing by Brand'!$B26)*('Отчет по покупателям УТ'!$H$6:$H$5000='Adj Ageing by Brand'!G$8)*('Отчет по покупателям УТ'!$M$6:$M$5000='Adj Ageing by Brand'!$A26)*('Отчет по покупателям УТ'!$K$6:$K$5000))</f>
        <v>0</v>
      </c>
      <c r="H26" s="254">
        <f t="array" ref="H26">SUM(('Отчет по покупателям УТ'!$J$6:$J$5000='Adj Ageing by Brand'!$B26)*('Отчет по покупателям УТ'!$H$6:$H$5000='Adj Ageing by Brand'!H$8)*('Отчет по покупателям УТ'!$M$6:$M$5000='Adj Ageing by Brand'!$A26)*('Отчет по покупателям УТ'!$K$6:$K$5000))</f>
        <v>0</v>
      </c>
      <c r="I26" s="254">
        <f t="array" ref="I26">SUM(('Отчет по покупателям УТ'!$J$6:$J$5000='Adj Ageing by Brand'!$B26)*('Отчет по покупателям УТ'!$H$6:$H$5000='Adj Ageing by Brand'!I$8)*('Отчет по покупателям УТ'!$M$6:$M$5000='Adj Ageing by Brand'!$A26)*('Отчет по покупателям УТ'!$K$6:$K$5000))</f>
        <v>0</v>
      </c>
      <c r="J26" s="254">
        <f t="array" ref="J26">SUM(('Отчет по покупателям УТ'!$J$6:$J$5000='Adj Ageing by Brand'!$B26)*('Отчет по покупателям УТ'!$H$6:$H$5000='Adj Ageing by Brand'!J$8)*('Отчет по покупателям УТ'!$M$6:$M$5000='Adj Ageing by Brand'!$A26)*('Отчет по покупателям УТ'!$K$6:$K$5000))</f>
        <v>0</v>
      </c>
      <c r="K26" s="254">
        <f t="array" ref="K26">SUM(('Отчет по покупателям УТ'!$J$6:$J$5000='Adj Ageing by Brand'!$B26)*('Отчет по покупателям УТ'!$H$6:$H$5000='Adj Ageing by Brand'!K$8)*('Отчет по покупателям УТ'!$M$6:$M$5000='Adj Ageing by Brand'!$A26)*('Отчет по покупателям УТ'!$K$6:$K$5000))</f>
        <v>0</v>
      </c>
      <c r="L26" s="254">
        <f t="array" ref="L26">SUM(('Отчет по покупателям УТ'!$J$6:$J$5000='Adj Ageing by Brand'!$B26)*('Отчет по покупателям УТ'!$H$6:$H$5000='Adj Ageing by Brand'!L$8)*('Отчет по покупателям УТ'!$M$6:$M$5000='Adj Ageing by Brand'!$A26)*('Отчет по покупателям УТ'!$K$6:$K$5000))</f>
        <v>-147697.51999999999</v>
      </c>
      <c r="M26" s="44">
        <f t="shared" si="5"/>
        <v>-147697.51999999999</v>
      </c>
      <c r="R26" s="9" t="b">
        <f t="shared" si="15"/>
        <v>1</v>
      </c>
      <c r="S26" s="228">
        <f t="shared" si="16"/>
        <v>0</v>
      </c>
      <c r="T26" s="228">
        <f t="shared" si="6"/>
        <v>-147697.51999999999</v>
      </c>
      <c r="U26" s="228">
        <f t="shared" si="7"/>
        <v>0</v>
      </c>
      <c r="V26" s="228">
        <f t="shared" si="8"/>
        <v>-147697.51999999999</v>
      </c>
      <c r="W26" s="228">
        <f t="shared" si="9"/>
        <v>0</v>
      </c>
      <c r="X26" s="228">
        <f t="shared" si="10"/>
        <v>-147697.51999999999</v>
      </c>
      <c r="Y26" s="228">
        <f t="shared" si="11"/>
        <v>0</v>
      </c>
      <c r="Z26" s="228">
        <f t="shared" si="12"/>
        <v>-147697.51999999999</v>
      </c>
      <c r="AA26" s="228">
        <f t="shared" si="13"/>
        <v>0</v>
      </c>
      <c r="AB26" s="228">
        <f t="shared" si="14"/>
        <v>-147697.51999999999</v>
      </c>
      <c r="AC26" s="247">
        <f t="shared" si="17"/>
        <v>-147697.51999999999</v>
      </c>
      <c r="AD26" s="227">
        <f t="shared" si="18"/>
        <v>0</v>
      </c>
    </row>
    <row r="27" spans="1:30" x14ac:dyDescent="0.2">
      <c r="A27" t="s">
        <v>98</v>
      </c>
      <c r="B27" t="s">
        <v>31</v>
      </c>
      <c r="D27" s="9">
        <v>-637085.55000000005</v>
      </c>
      <c r="F27" s="9"/>
      <c r="G27" s="254">
        <f t="array" ref="G27">SUM(('Отчет по покупателям УТ'!$J$6:$J$5000='Adj Ageing by Brand'!$B27)*('Отчет по покупателям УТ'!$H$6:$H$5000='Adj Ageing by Brand'!G$8)*('Отчет по покупателям УТ'!$M$6:$M$5000='Adj Ageing by Brand'!$A27)*('Отчет по покупателям УТ'!$K$6:$K$5000))</f>
        <v>0</v>
      </c>
      <c r="H27" s="254">
        <f t="array" ref="H27">SUM(('Отчет по покупателям УТ'!$J$6:$J$5000='Adj Ageing by Brand'!$B27)*('Отчет по покупателям УТ'!$H$6:$H$5000='Adj Ageing by Brand'!H$8)*('Отчет по покупателям УТ'!$M$6:$M$5000='Adj Ageing by Brand'!$A27)*('Отчет по покупателям УТ'!$K$6:$K$5000))</f>
        <v>0</v>
      </c>
      <c r="I27" s="254">
        <f t="array" ref="I27">SUM(('Отчет по покупателям УТ'!$J$6:$J$5000='Adj Ageing by Brand'!$B27)*('Отчет по покупателям УТ'!$H$6:$H$5000='Adj Ageing by Brand'!I$8)*('Отчет по покупателям УТ'!$M$6:$M$5000='Adj Ageing by Brand'!$A27)*('Отчет по покупателям УТ'!$K$6:$K$5000))</f>
        <v>0</v>
      </c>
      <c r="J27" s="254">
        <f t="array" ref="J27">SUM(('Отчет по покупателям УТ'!$J$6:$J$5000='Adj Ageing by Brand'!$B27)*('Отчет по покупателям УТ'!$H$6:$H$5000='Adj Ageing by Brand'!J$8)*('Отчет по покупателям УТ'!$M$6:$M$5000='Adj Ageing by Brand'!$A27)*('Отчет по покупателям УТ'!$K$6:$K$5000))</f>
        <v>0</v>
      </c>
      <c r="K27" s="254">
        <f t="array" ref="K27">SUM(('Отчет по покупателям УТ'!$J$6:$J$5000='Adj Ageing by Brand'!$B27)*('Отчет по покупателям УТ'!$H$6:$H$5000='Adj Ageing by Brand'!K$8)*('Отчет по покупателям УТ'!$M$6:$M$5000='Adj Ageing by Brand'!$A27)*('Отчет по покупателям УТ'!$K$6:$K$5000))</f>
        <v>0</v>
      </c>
      <c r="L27" s="254">
        <f t="array" ref="L27">SUM(('Отчет по покупателям УТ'!$J$6:$J$5000='Adj Ageing by Brand'!$B27)*('Отчет по покупателям УТ'!$H$6:$H$5000='Adj Ageing by Brand'!L$8)*('Отчет по покупателям УТ'!$M$6:$M$5000='Adj Ageing by Brand'!$A27)*('Отчет по покупателям УТ'!$K$6:$K$5000))</f>
        <v>-637085.55000000005</v>
      </c>
      <c r="M27" s="44">
        <f t="shared" si="5"/>
        <v>-637085.55000000005</v>
      </c>
      <c r="R27" s="9" t="b">
        <f t="shared" si="15"/>
        <v>1</v>
      </c>
      <c r="S27" s="228">
        <f t="shared" si="16"/>
        <v>0</v>
      </c>
      <c r="T27" s="228">
        <f t="shared" si="6"/>
        <v>-637085.55000000005</v>
      </c>
      <c r="U27" s="228">
        <f t="shared" si="7"/>
        <v>0</v>
      </c>
      <c r="V27" s="228">
        <f t="shared" si="8"/>
        <v>-637085.55000000005</v>
      </c>
      <c r="W27" s="228">
        <f t="shared" si="9"/>
        <v>0</v>
      </c>
      <c r="X27" s="228">
        <f t="shared" si="10"/>
        <v>-637085.55000000005</v>
      </c>
      <c r="Y27" s="228">
        <f t="shared" si="11"/>
        <v>0</v>
      </c>
      <c r="Z27" s="228">
        <f t="shared" si="12"/>
        <v>-637085.55000000005</v>
      </c>
      <c r="AA27" s="228">
        <f t="shared" si="13"/>
        <v>0</v>
      </c>
      <c r="AB27" s="228">
        <f t="shared" si="14"/>
        <v>-637085.55000000005</v>
      </c>
      <c r="AC27" s="247">
        <f t="shared" si="17"/>
        <v>-637085.55000000005</v>
      </c>
      <c r="AD27" s="227">
        <f t="shared" si="18"/>
        <v>0</v>
      </c>
    </row>
    <row r="28" spans="1:30" x14ac:dyDescent="0.2">
      <c r="A28" t="s">
        <v>99</v>
      </c>
      <c r="B28" t="s">
        <v>22</v>
      </c>
      <c r="D28" s="9">
        <v>-456275.26999999955</v>
      </c>
      <c r="F28" s="9"/>
      <c r="G28" s="254">
        <f t="array" ref="G28">SUM(('Отчет по покупателям УТ'!$J$6:$J$5000='Adj Ageing by Brand'!$B28)*('Отчет по покупателям УТ'!$H$6:$H$5000='Adj Ageing by Brand'!G$8)*('Отчет по покупателям УТ'!$M$6:$M$5000='Adj Ageing by Brand'!$A28)*('Отчет по покупателям УТ'!$K$6:$K$5000))</f>
        <v>3935787.6</v>
      </c>
      <c r="H28" s="254">
        <f t="array" ref="H28">SUM(('Отчет по покупателям УТ'!$J$6:$J$5000='Adj Ageing by Brand'!$B28)*('Отчет по покупателям УТ'!$H$6:$H$5000='Adj Ageing by Brand'!H$8)*('Отчет по покупателям УТ'!$M$6:$M$5000='Adj Ageing by Brand'!$A28)*('Отчет по покупателям УТ'!$K$6:$K$5000))</f>
        <v>170200</v>
      </c>
      <c r="I28" s="254">
        <f t="array" ref="I28">SUM(('Отчет по покупателям УТ'!$J$6:$J$5000='Adj Ageing by Brand'!$B28)*('Отчет по покупателям УТ'!$H$6:$H$5000='Adj Ageing by Brand'!I$8)*('Отчет по покупателям УТ'!$M$6:$M$5000='Adj Ageing by Brand'!$A28)*('Отчет по покупателям УТ'!$K$6:$K$5000))</f>
        <v>0</v>
      </c>
      <c r="J28" s="254">
        <f t="array" ref="J28">SUM(('Отчет по покупателям УТ'!$J$6:$J$5000='Adj Ageing by Brand'!$B28)*('Отчет по покупателям УТ'!$H$6:$H$5000='Adj Ageing by Brand'!J$8)*('Отчет по покупателям УТ'!$M$6:$M$5000='Adj Ageing by Brand'!$A28)*('Отчет по покупателям УТ'!$K$6:$K$5000))</f>
        <v>0</v>
      </c>
      <c r="K28" s="254">
        <f t="array" ref="K28">SUM(('Отчет по покупателям УТ'!$J$6:$J$5000='Adj Ageing by Brand'!$B28)*('Отчет по покупателям УТ'!$H$6:$H$5000='Adj Ageing by Brand'!K$8)*('Отчет по покупателям УТ'!$M$6:$M$5000='Adj Ageing by Brand'!$A28)*('Отчет по покупателям УТ'!$K$6:$K$5000))</f>
        <v>0</v>
      </c>
      <c r="L28" s="254">
        <f t="array" ref="L28">SUM(('Отчет по покупателям УТ'!$J$6:$J$5000='Adj Ageing by Brand'!$B28)*('Отчет по покупателям УТ'!$H$6:$H$5000='Adj Ageing by Brand'!L$8)*('Отчет по покупателям УТ'!$M$6:$M$5000='Adj Ageing by Brand'!$A28)*('Отчет по покупателям УТ'!$K$6:$K$5000))</f>
        <v>-4562262.8699999992</v>
      </c>
      <c r="M28" s="44">
        <f t="shared" si="5"/>
        <v>-456275.26999999909</v>
      </c>
      <c r="R28" s="9" t="b">
        <f t="shared" si="15"/>
        <v>1</v>
      </c>
      <c r="S28" s="228">
        <f t="shared" si="16"/>
        <v>0</v>
      </c>
      <c r="T28" s="228">
        <f t="shared" si="6"/>
        <v>-4392062.8699999992</v>
      </c>
      <c r="U28" s="228">
        <f t="shared" si="7"/>
        <v>0</v>
      </c>
      <c r="V28" s="228">
        <f t="shared" si="8"/>
        <v>-4562262.8699999992</v>
      </c>
      <c r="W28" s="228">
        <f t="shared" si="9"/>
        <v>0</v>
      </c>
      <c r="X28" s="228">
        <f t="shared" si="10"/>
        <v>-4562262.8699999992</v>
      </c>
      <c r="Y28" s="228">
        <f t="shared" si="11"/>
        <v>0</v>
      </c>
      <c r="Z28" s="228">
        <f t="shared" si="12"/>
        <v>-4562262.8699999992</v>
      </c>
      <c r="AA28" s="228">
        <f t="shared" si="13"/>
        <v>0</v>
      </c>
      <c r="AB28" s="228">
        <f t="shared" si="14"/>
        <v>-456275.26999999909</v>
      </c>
      <c r="AC28" s="247">
        <f t="shared" si="17"/>
        <v>-456275.26999999909</v>
      </c>
      <c r="AD28" s="227">
        <f t="shared" si="18"/>
        <v>0</v>
      </c>
    </row>
    <row r="29" spans="1:30" x14ac:dyDescent="0.2">
      <c r="A29" t="s">
        <v>99</v>
      </c>
      <c r="B29" t="s">
        <v>16</v>
      </c>
      <c r="D29" s="9">
        <v>1901827.04</v>
      </c>
      <c r="F29" s="9"/>
      <c r="G29" s="254">
        <f t="array" ref="G29">SUM(('Отчет по покупателям УТ'!$J$6:$J$5000='Adj Ageing by Brand'!$B29)*('Отчет по покупателям УТ'!$H$6:$H$5000='Adj Ageing by Brand'!G$8)*('Отчет по покупателям УТ'!$M$6:$M$5000='Adj Ageing by Brand'!$A29)*('Отчет по покупателям УТ'!$K$6:$K$5000))</f>
        <v>3431830</v>
      </c>
      <c r="H29" s="254">
        <f t="array" ref="H29">SUM(('Отчет по покупателям УТ'!$J$6:$J$5000='Adj Ageing by Brand'!$B29)*('Отчет по покупателям УТ'!$H$6:$H$5000='Adj Ageing by Brand'!H$8)*('Отчет по покупателям УТ'!$M$6:$M$5000='Adj Ageing by Brand'!$A29)*('Отчет по покупателям УТ'!$K$6:$K$5000))</f>
        <v>0</v>
      </c>
      <c r="I29" s="254">
        <f t="array" ref="I29">SUM(('Отчет по покупателям УТ'!$J$6:$J$5000='Adj Ageing by Brand'!$B29)*('Отчет по покупателям УТ'!$H$6:$H$5000='Adj Ageing by Brand'!I$8)*('Отчет по покупателям УТ'!$M$6:$M$5000='Adj Ageing by Brand'!$A29)*('Отчет по покупателям УТ'!$K$6:$K$5000))</f>
        <v>0</v>
      </c>
      <c r="J29" s="254">
        <f t="array" ref="J29">SUM(('Отчет по покупателям УТ'!$J$6:$J$5000='Adj Ageing by Brand'!$B29)*('Отчет по покупателям УТ'!$H$6:$H$5000='Adj Ageing by Brand'!J$8)*('Отчет по покупателям УТ'!$M$6:$M$5000='Adj Ageing by Brand'!$A29)*('Отчет по покупателям УТ'!$K$6:$K$5000))</f>
        <v>0</v>
      </c>
      <c r="K29" s="254">
        <f t="array" ref="K29">SUM(('Отчет по покупателям УТ'!$J$6:$J$5000='Adj Ageing by Brand'!$B29)*('Отчет по покупателям УТ'!$H$6:$H$5000='Adj Ageing by Brand'!K$8)*('Отчет по покупателям УТ'!$M$6:$M$5000='Adj Ageing by Brand'!$A29)*('Отчет по покупателям УТ'!$K$6:$K$5000))</f>
        <v>0</v>
      </c>
      <c r="L29" s="254">
        <f t="array" ref="L29">SUM(('Отчет по покупателям УТ'!$J$6:$J$5000='Adj Ageing by Brand'!$B29)*('Отчет по покупателям УТ'!$H$6:$H$5000='Adj Ageing by Brand'!L$8)*('Отчет по покупателям УТ'!$M$6:$M$5000='Adj Ageing by Brand'!$A29)*('Отчет по покупателям УТ'!$K$6:$K$5000))</f>
        <v>-1530002.96</v>
      </c>
      <c r="M29" s="44">
        <f t="shared" si="5"/>
        <v>1901827.04</v>
      </c>
      <c r="R29" s="9" t="b">
        <f t="shared" si="15"/>
        <v>1</v>
      </c>
      <c r="S29" s="228">
        <f t="shared" si="16"/>
        <v>1901827.04</v>
      </c>
      <c r="T29" s="228">
        <f>IF(L29+K29+J29+I29+H29&lt;0,L29+K29+J29+I29+H29,0)</f>
        <v>-1530002.96</v>
      </c>
      <c r="U29" s="228">
        <f t="shared" si="7"/>
        <v>0</v>
      </c>
      <c r="V29" s="228">
        <f t="shared" si="8"/>
        <v>-1530002.96</v>
      </c>
      <c r="W29" s="228">
        <f t="shared" si="9"/>
        <v>0</v>
      </c>
      <c r="X29" s="228">
        <f t="shared" si="10"/>
        <v>-1530002.96</v>
      </c>
      <c r="Y29" s="228">
        <f t="shared" si="11"/>
        <v>0</v>
      </c>
      <c r="Z29" s="228">
        <f t="shared" si="12"/>
        <v>-1530002.96</v>
      </c>
      <c r="AA29" s="228">
        <f t="shared" si="13"/>
        <v>0</v>
      </c>
      <c r="AB29" s="228">
        <f t="shared" si="14"/>
        <v>0</v>
      </c>
      <c r="AC29" s="247">
        <f t="shared" si="17"/>
        <v>1901827.04</v>
      </c>
      <c r="AD29" s="227">
        <f t="shared" si="18"/>
        <v>1901827.04</v>
      </c>
    </row>
    <row r="30" spans="1:30" x14ac:dyDescent="0.2">
      <c r="A30" t="s">
        <v>99</v>
      </c>
      <c r="B30" t="s">
        <v>21</v>
      </c>
      <c r="D30" s="9">
        <v>-230964.89</v>
      </c>
      <c r="F30" s="9"/>
      <c r="G30" s="254">
        <f t="array" ref="G30">SUM(('Отчет по покупателям УТ'!$J$6:$J$5000='Adj Ageing by Brand'!$B30)*('Отчет по покупателям УТ'!$H$6:$H$5000='Adj Ageing by Brand'!G$8)*('Отчет по покупателям УТ'!$M$6:$M$5000='Adj Ageing by Brand'!$A30)*('Отчет по покупателям УТ'!$K$6:$K$5000))</f>
        <v>0</v>
      </c>
      <c r="H30" s="254">
        <f t="array" ref="H30">SUM(('Отчет по покупателям УТ'!$J$6:$J$5000='Adj Ageing by Brand'!$B30)*('Отчет по покупателям УТ'!$H$6:$H$5000='Adj Ageing by Brand'!H$8)*('Отчет по покупателям УТ'!$M$6:$M$5000='Adj Ageing by Brand'!$A30)*('Отчет по покупателям УТ'!$K$6:$K$5000))</f>
        <v>0</v>
      </c>
      <c r="I30" s="254">
        <f t="array" ref="I30">SUM(('Отчет по покупателям УТ'!$J$6:$J$5000='Adj Ageing by Brand'!$B30)*('Отчет по покупателям УТ'!$H$6:$H$5000='Adj Ageing by Brand'!I$8)*('Отчет по покупателям УТ'!$M$6:$M$5000='Adj Ageing by Brand'!$A30)*('Отчет по покупателям УТ'!$K$6:$K$5000))</f>
        <v>0</v>
      </c>
      <c r="J30" s="254">
        <f t="array" ref="J30">SUM(('Отчет по покупателям УТ'!$J$6:$J$5000='Adj Ageing by Brand'!$B30)*('Отчет по покупателям УТ'!$H$6:$H$5000='Adj Ageing by Brand'!J$8)*('Отчет по покупателям УТ'!$M$6:$M$5000='Adj Ageing by Brand'!$A30)*('Отчет по покупателям УТ'!$K$6:$K$5000))</f>
        <v>0</v>
      </c>
      <c r="K30" s="254">
        <f t="array" ref="K30">SUM(('Отчет по покупателям УТ'!$J$6:$J$5000='Adj Ageing by Brand'!$B30)*('Отчет по покупателям УТ'!$H$6:$H$5000='Adj Ageing by Brand'!K$8)*('Отчет по покупателям УТ'!$M$6:$M$5000='Adj Ageing by Brand'!$A30)*('Отчет по покупателям УТ'!$K$6:$K$5000))</f>
        <v>0</v>
      </c>
      <c r="L30" s="254">
        <f t="array" ref="L30">SUM(('Отчет по покупателям УТ'!$J$6:$J$5000='Adj Ageing by Brand'!$B30)*('Отчет по покупателям УТ'!$H$6:$H$5000='Adj Ageing by Brand'!L$8)*('Отчет по покупателям УТ'!$M$6:$M$5000='Adj Ageing by Brand'!$A30)*('Отчет по покупателям УТ'!$K$6:$K$5000))</f>
        <v>-230964.89</v>
      </c>
      <c r="M30" s="44">
        <f t="shared" si="5"/>
        <v>-230964.89</v>
      </c>
      <c r="R30" s="9" t="b">
        <f t="shared" si="15"/>
        <v>1</v>
      </c>
      <c r="S30" s="228">
        <f t="shared" si="16"/>
        <v>0</v>
      </c>
      <c r="T30" s="228">
        <f t="shared" si="6"/>
        <v>-230964.89</v>
      </c>
      <c r="U30" s="228">
        <f t="shared" si="7"/>
        <v>0</v>
      </c>
      <c r="V30" s="228">
        <f t="shared" si="8"/>
        <v>-230964.89</v>
      </c>
      <c r="W30" s="228">
        <f t="shared" si="9"/>
        <v>0</v>
      </c>
      <c r="X30" s="228">
        <f t="shared" si="10"/>
        <v>-230964.89</v>
      </c>
      <c r="Y30" s="228">
        <f t="shared" si="11"/>
        <v>0</v>
      </c>
      <c r="Z30" s="228">
        <f t="shared" si="12"/>
        <v>-230964.89</v>
      </c>
      <c r="AA30" s="228">
        <f t="shared" si="13"/>
        <v>0</v>
      </c>
      <c r="AB30" s="228">
        <f t="shared" si="14"/>
        <v>-230964.89</v>
      </c>
      <c r="AC30" s="247">
        <f t="shared" si="17"/>
        <v>-230964.89</v>
      </c>
      <c r="AD30" s="227">
        <f t="shared" si="18"/>
        <v>0</v>
      </c>
    </row>
    <row r="31" spans="1:30" x14ac:dyDescent="0.2">
      <c r="A31" t="s">
        <v>99</v>
      </c>
      <c r="B31" t="s">
        <v>31</v>
      </c>
      <c r="D31" s="9">
        <v>-872738.21</v>
      </c>
      <c r="F31" s="9"/>
      <c r="G31" s="254">
        <f t="array" ref="G31">SUM(('Отчет по покупателям УТ'!$J$6:$J$5000='Adj Ageing by Brand'!$B31)*('Отчет по покупателям УТ'!$H$6:$H$5000='Adj Ageing by Brand'!G$8)*('Отчет по покупателям УТ'!$M$6:$M$5000='Adj Ageing by Brand'!$A31)*('Отчет по покупателям УТ'!$K$6:$K$5000))</f>
        <v>0</v>
      </c>
      <c r="H31" s="254">
        <f t="array" ref="H31">SUM(('Отчет по покупателям УТ'!$J$6:$J$5000='Adj Ageing by Brand'!$B31)*('Отчет по покупателям УТ'!$H$6:$H$5000='Adj Ageing by Brand'!H$8)*('Отчет по покупателям УТ'!$M$6:$M$5000='Adj Ageing by Brand'!$A31)*('Отчет по покупателям УТ'!$K$6:$K$5000))</f>
        <v>0</v>
      </c>
      <c r="I31" s="254">
        <f t="array" ref="I31">SUM(('Отчет по покупателям УТ'!$J$6:$J$5000='Adj Ageing by Brand'!$B31)*('Отчет по покупателям УТ'!$H$6:$H$5000='Adj Ageing by Brand'!I$8)*('Отчет по покупателям УТ'!$M$6:$M$5000='Adj Ageing by Brand'!$A31)*('Отчет по покупателям УТ'!$K$6:$K$5000))</f>
        <v>0</v>
      </c>
      <c r="J31" s="254">
        <f t="array" ref="J31">SUM(('Отчет по покупателям УТ'!$J$6:$J$5000='Adj Ageing by Brand'!$B31)*('Отчет по покупателям УТ'!$H$6:$H$5000='Adj Ageing by Brand'!J$8)*('Отчет по покупателям УТ'!$M$6:$M$5000='Adj Ageing by Brand'!$A31)*('Отчет по покупателям УТ'!$K$6:$K$5000))</f>
        <v>0</v>
      </c>
      <c r="K31" s="254">
        <f t="array" ref="K31">SUM(('Отчет по покупателям УТ'!$J$6:$J$5000='Adj Ageing by Brand'!$B31)*('Отчет по покупателям УТ'!$H$6:$H$5000='Adj Ageing by Brand'!K$8)*('Отчет по покупателям УТ'!$M$6:$M$5000='Adj Ageing by Brand'!$A31)*('Отчет по покупателям УТ'!$K$6:$K$5000))</f>
        <v>0</v>
      </c>
      <c r="L31" s="254">
        <f t="array" ref="L31">SUM(('Отчет по покупателям УТ'!$J$6:$J$5000='Adj Ageing by Brand'!$B31)*('Отчет по покупателям УТ'!$H$6:$H$5000='Adj Ageing by Brand'!L$8)*('Отчет по покупателям УТ'!$M$6:$M$5000='Adj Ageing by Brand'!$A31)*('Отчет по покупателям УТ'!$K$6:$K$5000))</f>
        <v>-872738.21</v>
      </c>
      <c r="M31" s="44">
        <f t="shared" si="5"/>
        <v>-872738.21</v>
      </c>
      <c r="R31" s="9" t="b">
        <f t="shared" si="15"/>
        <v>1</v>
      </c>
      <c r="S31" s="228">
        <f t="shared" si="16"/>
        <v>0</v>
      </c>
      <c r="T31" s="228">
        <f t="shared" si="6"/>
        <v>-872738.21</v>
      </c>
      <c r="U31" s="228">
        <f t="shared" si="7"/>
        <v>0</v>
      </c>
      <c r="V31" s="228">
        <f t="shared" si="8"/>
        <v>-872738.21</v>
      </c>
      <c r="W31" s="228">
        <f t="shared" si="9"/>
        <v>0</v>
      </c>
      <c r="X31" s="228">
        <f t="shared" si="10"/>
        <v>-872738.21</v>
      </c>
      <c r="Y31" s="228">
        <f t="shared" si="11"/>
        <v>0</v>
      </c>
      <c r="Z31" s="228">
        <f t="shared" si="12"/>
        <v>-872738.21</v>
      </c>
      <c r="AA31" s="228">
        <f t="shared" si="13"/>
        <v>0</v>
      </c>
      <c r="AB31" s="228">
        <f t="shared" si="14"/>
        <v>-872738.21</v>
      </c>
      <c r="AC31" s="247">
        <f t="shared" si="17"/>
        <v>-872738.21</v>
      </c>
      <c r="AD31" s="227">
        <f t="shared" si="18"/>
        <v>0</v>
      </c>
    </row>
    <row r="32" spans="1:30" x14ac:dyDescent="0.2">
      <c r="A32" t="s">
        <v>99</v>
      </c>
      <c r="B32" t="s">
        <v>23</v>
      </c>
      <c r="D32" s="9">
        <v>-4525122.43</v>
      </c>
      <c r="F32" s="9"/>
      <c r="G32" s="254">
        <f t="array" ref="G32">SUM(('Отчет по покупателям УТ'!$J$6:$J$5000='Adj Ageing by Brand'!$B32)*('Отчет по покупателям УТ'!$H$6:$H$5000='Adj Ageing by Brand'!G$8)*('Отчет по покупателям УТ'!$M$6:$M$5000='Adj Ageing by Brand'!$A32)*('Отчет по покупателям УТ'!$K$6:$K$5000))</f>
        <v>0</v>
      </c>
      <c r="H32" s="254">
        <f t="array" ref="H32">SUM(('Отчет по покупателям УТ'!$J$6:$J$5000='Adj Ageing by Brand'!$B32)*('Отчет по покупателям УТ'!$H$6:$H$5000='Adj Ageing by Brand'!H$8)*('Отчет по покупателям УТ'!$M$6:$M$5000='Adj Ageing by Brand'!$A32)*('Отчет по покупателям УТ'!$K$6:$K$5000))</f>
        <v>0</v>
      </c>
      <c r="I32" s="254">
        <f t="array" ref="I32">SUM(('Отчет по покупателям УТ'!$J$6:$J$5000='Adj Ageing by Brand'!$B32)*('Отчет по покупателям УТ'!$H$6:$H$5000='Adj Ageing by Brand'!I$8)*('Отчет по покупателям УТ'!$M$6:$M$5000='Adj Ageing by Brand'!$A32)*('Отчет по покупателям УТ'!$K$6:$K$5000))</f>
        <v>0</v>
      </c>
      <c r="J32" s="254">
        <f t="array" ref="J32">SUM(('Отчет по покупателям УТ'!$J$6:$J$5000='Adj Ageing by Brand'!$B32)*('Отчет по покупателям УТ'!$H$6:$H$5000='Adj Ageing by Brand'!J$8)*('Отчет по покупателям УТ'!$M$6:$M$5000='Adj Ageing by Brand'!$A32)*('Отчет по покупателям УТ'!$K$6:$K$5000))</f>
        <v>0</v>
      </c>
      <c r="K32" s="254">
        <f t="array" ref="K32">SUM(('Отчет по покупателям УТ'!$J$6:$J$5000='Adj Ageing by Brand'!$B32)*('Отчет по покупателям УТ'!$H$6:$H$5000='Adj Ageing by Brand'!K$8)*('Отчет по покупателям УТ'!$M$6:$M$5000='Adj Ageing by Brand'!$A32)*('Отчет по покупателям УТ'!$K$6:$K$5000))</f>
        <v>0</v>
      </c>
      <c r="L32" s="254">
        <f t="array" ref="L32">SUM(('Отчет по покупателям УТ'!$J$6:$J$5000='Adj Ageing by Brand'!$B32)*('Отчет по покупателям УТ'!$H$6:$H$5000='Adj Ageing by Brand'!L$8)*('Отчет по покупателям УТ'!$M$6:$M$5000='Adj Ageing by Brand'!$A32)*('Отчет по покупателям УТ'!$K$6:$K$5000))</f>
        <v>-4525122.43</v>
      </c>
      <c r="M32" s="44">
        <f t="shared" si="5"/>
        <v>-4525122.43</v>
      </c>
      <c r="R32" s="9" t="b">
        <f t="shared" si="15"/>
        <v>1</v>
      </c>
      <c r="S32" s="228">
        <f t="shared" si="16"/>
        <v>0</v>
      </c>
      <c r="T32" s="228">
        <f t="shared" si="6"/>
        <v>-4525122.43</v>
      </c>
      <c r="U32" s="228">
        <f t="shared" si="7"/>
        <v>0</v>
      </c>
      <c r="V32" s="228">
        <f t="shared" si="8"/>
        <v>-4525122.43</v>
      </c>
      <c r="W32" s="228">
        <f t="shared" si="9"/>
        <v>0</v>
      </c>
      <c r="X32" s="228">
        <f t="shared" si="10"/>
        <v>-4525122.43</v>
      </c>
      <c r="Y32" s="228">
        <f t="shared" si="11"/>
        <v>0</v>
      </c>
      <c r="Z32" s="228">
        <f t="shared" si="12"/>
        <v>-4525122.43</v>
      </c>
      <c r="AA32" s="228">
        <f t="shared" si="13"/>
        <v>0</v>
      </c>
      <c r="AB32" s="228">
        <f t="shared" si="14"/>
        <v>-4525122.43</v>
      </c>
      <c r="AC32" s="247">
        <f t="shared" si="17"/>
        <v>-4525122.43</v>
      </c>
      <c r="AD32" s="227">
        <f t="shared" si="18"/>
        <v>0</v>
      </c>
    </row>
    <row r="33" spans="1:30" x14ac:dyDescent="0.2">
      <c r="A33" t="s">
        <v>103</v>
      </c>
      <c r="B33" t="s">
        <v>22</v>
      </c>
      <c r="D33" s="9">
        <v>-176669.9</v>
      </c>
      <c r="F33" s="9"/>
      <c r="G33" s="254">
        <f t="array" ref="G33">SUM(('Отчет по покупателям УТ'!$J$6:$J$5000='Adj Ageing by Brand'!$B33)*('Отчет по покупателям УТ'!$H$6:$H$5000='Adj Ageing by Brand'!G$8)*('Отчет по покупателям УТ'!$M$6:$M$5000='Adj Ageing by Brand'!$A33)*('Отчет по покупателям УТ'!$K$6:$K$5000))</f>
        <v>0</v>
      </c>
      <c r="H33" s="254">
        <f t="array" ref="H33">SUM(('Отчет по покупателям УТ'!$J$6:$J$5000='Adj Ageing by Brand'!$B33)*('Отчет по покупателям УТ'!$H$6:$H$5000='Adj Ageing by Brand'!H$8)*('Отчет по покупателям УТ'!$M$6:$M$5000='Adj Ageing by Brand'!$A33)*('Отчет по покупателям УТ'!$K$6:$K$5000))</f>
        <v>0</v>
      </c>
      <c r="I33" s="254">
        <f t="array" ref="I33">SUM(('Отчет по покупателям УТ'!$J$6:$J$5000='Adj Ageing by Brand'!$B33)*('Отчет по покупателям УТ'!$H$6:$H$5000='Adj Ageing by Brand'!I$8)*('Отчет по покупателям УТ'!$M$6:$M$5000='Adj Ageing by Brand'!$A33)*('Отчет по покупателям УТ'!$K$6:$K$5000))</f>
        <v>0</v>
      </c>
      <c r="J33" s="254">
        <f t="array" ref="J33">SUM(('Отчет по покупателям УТ'!$J$6:$J$5000='Adj Ageing by Brand'!$B33)*('Отчет по покупателям УТ'!$H$6:$H$5000='Adj Ageing by Brand'!J$8)*('Отчет по покупателям УТ'!$M$6:$M$5000='Adj Ageing by Brand'!$A33)*('Отчет по покупателям УТ'!$K$6:$K$5000))</f>
        <v>0</v>
      </c>
      <c r="K33" s="254">
        <f t="array" ref="K33">SUM(('Отчет по покупателям УТ'!$J$6:$J$5000='Adj Ageing by Brand'!$B33)*('Отчет по покупателям УТ'!$H$6:$H$5000='Adj Ageing by Brand'!K$8)*('Отчет по покупателям УТ'!$M$6:$M$5000='Adj Ageing by Brand'!$A33)*('Отчет по покупателям УТ'!$K$6:$K$5000))</f>
        <v>0</v>
      </c>
      <c r="L33" s="254">
        <f t="array" ref="L33">SUM(('Отчет по покупателям УТ'!$J$6:$J$5000='Adj Ageing by Brand'!$B33)*('Отчет по покупателям УТ'!$H$6:$H$5000='Adj Ageing by Brand'!L$8)*('Отчет по покупателям УТ'!$M$6:$M$5000='Adj Ageing by Brand'!$A33)*('Отчет по покупателям УТ'!$K$6:$K$5000))</f>
        <v>-176669.9</v>
      </c>
      <c r="M33" s="44">
        <f t="shared" si="5"/>
        <v>-176669.9</v>
      </c>
      <c r="R33" s="9" t="b">
        <f t="shared" si="15"/>
        <v>1</v>
      </c>
      <c r="S33" s="228">
        <f t="shared" si="16"/>
        <v>0</v>
      </c>
      <c r="T33" s="228">
        <f t="shared" si="6"/>
        <v>-176669.9</v>
      </c>
      <c r="U33" s="228">
        <f t="shared" si="7"/>
        <v>0</v>
      </c>
      <c r="V33" s="228">
        <f t="shared" si="8"/>
        <v>-176669.9</v>
      </c>
      <c r="W33" s="228">
        <f t="shared" si="9"/>
        <v>0</v>
      </c>
      <c r="X33" s="228">
        <f t="shared" si="10"/>
        <v>-176669.9</v>
      </c>
      <c r="Y33" s="228">
        <f t="shared" si="11"/>
        <v>0</v>
      </c>
      <c r="Z33" s="228">
        <f t="shared" si="12"/>
        <v>-176669.9</v>
      </c>
      <c r="AA33" s="228">
        <f t="shared" si="13"/>
        <v>0</v>
      </c>
      <c r="AB33" s="228">
        <f t="shared" si="14"/>
        <v>-176669.9</v>
      </c>
      <c r="AC33" s="247">
        <f t="shared" si="17"/>
        <v>-176669.9</v>
      </c>
      <c r="AD33" s="227">
        <f t="shared" si="18"/>
        <v>0</v>
      </c>
    </row>
    <row r="34" spans="1:30" x14ac:dyDescent="0.2">
      <c r="A34" t="s">
        <v>103</v>
      </c>
      <c r="B34" t="s">
        <v>16</v>
      </c>
      <c r="D34" s="9">
        <v>-306898.90000000002</v>
      </c>
      <c r="F34" s="9"/>
      <c r="G34" s="254">
        <f t="array" ref="G34">SUM(('Отчет по покупателям УТ'!$J$6:$J$5000='Adj Ageing by Brand'!$B34)*('Отчет по покупателям УТ'!$H$6:$H$5000='Adj Ageing by Brand'!G$8)*('Отчет по покупателям УТ'!$M$6:$M$5000='Adj Ageing by Brand'!$A34)*('Отчет по покупателям УТ'!$K$6:$K$5000))</f>
        <v>0</v>
      </c>
      <c r="H34" s="254">
        <f t="array" ref="H34">SUM(('Отчет по покупателям УТ'!$J$6:$J$5000='Adj Ageing by Brand'!$B34)*('Отчет по покупателям УТ'!$H$6:$H$5000='Adj Ageing by Brand'!H$8)*('Отчет по покупателям УТ'!$M$6:$M$5000='Adj Ageing by Brand'!$A34)*('Отчет по покупателям УТ'!$K$6:$K$5000))</f>
        <v>0</v>
      </c>
      <c r="I34" s="254">
        <f t="array" ref="I34">SUM(('Отчет по покупателям УТ'!$J$6:$J$5000='Adj Ageing by Brand'!$B34)*('Отчет по покупателям УТ'!$H$6:$H$5000='Adj Ageing by Brand'!I$8)*('Отчет по покупателям УТ'!$M$6:$M$5000='Adj Ageing by Brand'!$A34)*('Отчет по покупателям УТ'!$K$6:$K$5000))</f>
        <v>0</v>
      </c>
      <c r="J34" s="254">
        <f t="array" ref="J34">SUM(('Отчет по покупателям УТ'!$J$6:$J$5000='Adj Ageing by Brand'!$B34)*('Отчет по покупателям УТ'!$H$6:$H$5000='Adj Ageing by Brand'!J$8)*('Отчет по покупателям УТ'!$M$6:$M$5000='Adj Ageing by Brand'!$A34)*('Отчет по покупателям УТ'!$K$6:$K$5000))</f>
        <v>0</v>
      </c>
      <c r="K34" s="254">
        <f t="array" ref="K34">SUM(('Отчет по покупателям УТ'!$J$6:$J$5000='Adj Ageing by Brand'!$B34)*('Отчет по покупателям УТ'!$H$6:$H$5000='Adj Ageing by Brand'!K$8)*('Отчет по покупателям УТ'!$M$6:$M$5000='Adj Ageing by Brand'!$A34)*('Отчет по покупателям УТ'!$K$6:$K$5000))</f>
        <v>0</v>
      </c>
      <c r="L34" s="254">
        <f t="array" ref="L34">SUM(('Отчет по покупателям УТ'!$J$6:$J$5000='Adj Ageing by Brand'!$B34)*('Отчет по покупателям УТ'!$H$6:$H$5000='Adj Ageing by Brand'!L$8)*('Отчет по покупателям УТ'!$M$6:$M$5000='Adj Ageing by Brand'!$A34)*('Отчет по покупателям УТ'!$K$6:$K$5000))</f>
        <v>-306898.90000000002</v>
      </c>
      <c r="M34" s="44">
        <f t="shared" si="5"/>
        <v>-306898.90000000002</v>
      </c>
      <c r="R34" s="9" t="b">
        <f t="shared" si="15"/>
        <v>1</v>
      </c>
      <c r="S34" s="228">
        <f t="shared" si="16"/>
        <v>0</v>
      </c>
      <c r="T34" s="228">
        <f t="shared" si="6"/>
        <v>-306898.90000000002</v>
      </c>
      <c r="U34" s="228">
        <f t="shared" si="7"/>
        <v>0</v>
      </c>
      <c r="V34" s="228">
        <f t="shared" si="8"/>
        <v>-306898.90000000002</v>
      </c>
      <c r="W34" s="228">
        <f t="shared" si="9"/>
        <v>0</v>
      </c>
      <c r="X34" s="228">
        <f t="shared" si="10"/>
        <v>-306898.90000000002</v>
      </c>
      <c r="Y34" s="228">
        <f t="shared" si="11"/>
        <v>0</v>
      </c>
      <c r="Z34" s="228">
        <f t="shared" si="12"/>
        <v>-306898.90000000002</v>
      </c>
      <c r="AA34" s="228">
        <f t="shared" si="13"/>
        <v>0</v>
      </c>
      <c r="AB34" s="228">
        <f t="shared" si="14"/>
        <v>-306898.90000000002</v>
      </c>
      <c r="AC34" s="247">
        <f t="shared" si="17"/>
        <v>-306898.90000000002</v>
      </c>
      <c r="AD34" s="227">
        <f t="shared" si="18"/>
        <v>0</v>
      </c>
    </row>
    <row r="35" spans="1:30" x14ac:dyDescent="0.2">
      <c r="A35" t="s">
        <v>103</v>
      </c>
      <c r="B35" t="s">
        <v>23</v>
      </c>
      <c r="D35" s="9">
        <v>-377357.64</v>
      </c>
      <c r="F35" s="9"/>
      <c r="G35" s="254">
        <f t="array" ref="G35">SUM(('Отчет по покупателям УТ'!$J$6:$J$5000='Adj Ageing by Brand'!$B35)*('Отчет по покупателям УТ'!$H$6:$H$5000='Adj Ageing by Brand'!G$8)*('Отчет по покупателям УТ'!$M$6:$M$5000='Adj Ageing by Brand'!$A35)*('Отчет по покупателям УТ'!$K$6:$K$5000))</f>
        <v>0</v>
      </c>
      <c r="H35" s="254">
        <f t="array" ref="H35">SUM(('Отчет по покупателям УТ'!$J$6:$J$5000='Adj Ageing by Brand'!$B35)*('Отчет по покупателям УТ'!$H$6:$H$5000='Adj Ageing by Brand'!H$8)*('Отчет по покупателям УТ'!$M$6:$M$5000='Adj Ageing by Brand'!$A35)*('Отчет по покупателям УТ'!$K$6:$K$5000))</f>
        <v>0</v>
      </c>
      <c r="I35" s="254">
        <f t="array" ref="I35">SUM(('Отчет по покупателям УТ'!$J$6:$J$5000='Adj Ageing by Brand'!$B35)*('Отчет по покупателям УТ'!$H$6:$H$5000='Adj Ageing by Brand'!I$8)*('Отчет по покупателям УТ'!$M$6:$M$5000='Adj Ageing by Brand'!$A35)*('Отчет по покупателям УТ'!$K$6:$K$5000))</f>
        <v>0</v>
      </c>
      <c r="J35" s="254">
        <f t="array" ref="J35">SUM(('Отчет по покупателям УТ'!$J$6:$J$5000='Adj Ageing by Brand'!$B35)*('Отчет по покупателям УТ'!$H$6:$H$5000='Adj Ageing by Brand'!J$8)*('Отчет по покупателям УТ'!$M$6:$M$5000='Adj Ageing by Brand'!$A35)*('Отчет по покупателям УТ'!$K$6:$K$5000))</f>
        <v>0</v>
      </c>
      <c r="K35" s="254">
        <f t="array" ref="K35">SUM(('Отчет по покупателям УТ'!$J$6:$J$5000='Adj Ageing by Brand'!$B35)*('Отчет по покупателям УТ'!$H$6:$H$5000='Adj Ageing by Brand'!K$8)*('Отчет по покупателям УТ'!$M$6:$M$5000='Adj Ageing by Brand'!$A35)*('Отчет по покупателям УТ'!$K$6:$K$5000))</f>
        <v>0</v>
      </c>
      <c r="L35" s="254">
        <f t="array" ref="L35">SUM(('Отчет по покупателям УТ'!$J$6:$J$5000='Adj Ageing by Brand'!$B35)*('Отчет по покупателям УТ'!$H$6:$H$5000='Adj Ageing by Brand'!L$8)*('Отчет по покупателям УТ'!$M$6:$M$5000='Adj Ageing by Brand'!$A35)*('Отчет по покупателям УТ'!$K$6:$K$5000))</f>
        <v>-377357.64</v>
      </c>
      <c r="M35" s="44">
        <f t="shared" si="5"/>
        <v>-377357.64</v>
      </c>
      <c r="R35" s="9" t="b">
        <f t="shared" si="15"/>
        <v>1</v>
      </c>
      <c r="S35" s="228">
        <f t="shared" si="16"/>
        <v>0</v>
      </c>
      <c r="T35" s="228">
        <f t="shared" si="6"/>
        <v>-377357.64</v>
      </c>
      <c r="U35" s="228">
        <f t="shared" si="7"/>
        <v>0</v>
      </c>
      <c r="V35" s="228">
        <f t="shared" si="8"/>
        <v>-377357.64</v>
      </c>
      <c r="W35" s="228">
        <f t="shared" si="9"/>
        <v>0</v>
      </c>
      <c r="X35" s="228">
        <f t="shared" si="10"/>
        <v>-377357.64</v>
      </c>
      <c r="Y35" s="228">
        <f t="shared" si="11"/>
        <v>0</v>
      </c>
      <c r="Z35" s="228">
        <f t="shared" si="12"/>
        <v>-377357.64</v>
      </c>
      <c r="AA35" s="228">
        <f t="shared" si="13"/>
        <v>0</v>
      </c>
      <c r="AB35" s="228">
        <f t="shared" si="14"/>
        <v>-377357.64</v>
      </c>
      <c r="AC35" s="247">
        <f t="shared" si="17"/>
        <v>-377357.64</v>
      </c>
      <c r="AD35" s="227">
        <f t="shared" si="18"/>
        <v>0</v>
      </c>
    </row>
    <row r="36" spans="1:30" x14ac:dyDescent="0.2">
      <c r="A36" t="s">
        <v>105</v>
      </c>
      <c r="B36" t="s">
        <v>22</v>
      </c>
      <c r="D36" s="9">
        <v>-86513</v>
      </c>
      <c r="F36" s="9"/>
      <c r="G36" s="254">
        <f t="array" ref="G36">SUM(('Отчет по покупателям УТ'!$J$6:$J$5000='Adj Ageing by Brand'!$B36)*('Отчет по покупателям УТ'!$H$6:$H$5000='Adj Ageing by Brand'!G$8)*('Отчет по покупателям УТ'!$M$6:$M$5000='Adj Ageing by Brand'!$A36)*('Отчет по покупателям УТ'!$K$6:$K$5000))</f>
        <v>0</v>
      </c>
      <c r="H36" s="254">
        <f t="array" ref="H36">SUM(('Отчет по покупателям УТ'!$J$6:$J$5000='Adj Ageing by Brand'!$B36)*('Отчет по покупателям УТ'!$H$6:$H$5000='Adj Ageing by Brand'!H$8)*('Отчет по покупателям УТ'!$M$6:$M$5000='Adj Ageing by Brand'!$A36)*('Отчет по покупателям УТ'!$K$6:$K$5000))</f>
        <v>0</v>
      </c>
      <c r="I36" s="254">
        <f t="array" ref="I36">SUM(('Отчет по покупателям УТ'!$J$6:$J$5000='Adj Ageing by Brand'!$B36)*('Отчет по покупателям УТ'!$H$6:$H$5000='Adj Ageing by Brand'!I$8)*('Отчет по покупателям УТ'!$M$6:$M$5000='Adj Ageing by Brand'!$A36)*('Отчет по покупателям УТ'!$K$6:$K$5000))</f>
        <v>0</v>
      </c>
      <c r="J36" s="254">
        <f t="array" ref="J36">SUM(('Отчет по покупателям УТ'!$J$6:$J$5000='Adj Ageing by Brand'!$B36)*('Отчет по покупателям УТ'!$H$6:$H$5000='Adj Ageing by Brand'!J$8)*('Отчет по покупателям УТ'!$M$6:$M$5000='Adj Ageing by Brand'!$A36)*('Отчет по покупателям УТ'!$K$6:$K$5000))</f>
        <v>0</v>
      </c>
      <c r="K36" s="254">
        <f t="array" ref="K36">SUM(('Отчет по покупателям УТ'!$J$6:$J$5000='Adj Ageing by Brand'!$B36)*('Отчет по покупателям УТ'!$H$6:$H$5000='Adj Ageing by Brand'!K$8)*('Отчет по покупателям УТ'!$M$6:$M$5000='Adj Ageing by Brand'!$A36)*('Отчет по покупателям УТ'!$K$6:$K$5000))</f>
        <v>0</v>
      </c>
      <c r="L36" s="254">
        <f t="array" ref="L36">SUM(('Отчет по покупателям УТ'!$J$6:$J$5000='Adj Ageing by Brand'!$B36)*('Отчет по покупателям УТ'!$H$6:$H$5000='Adj Ageing by Brand'!L$8)*('Отчет по покупателям УТ'!$M$6:$M$5000='Adj Ageing by Brand'!$A36)*('Отчет по покупателям УТ'!$K$6:$K$5000))</f>
        <v>-86513</v>
      </c>
      <c r="M36" s="44">
        <f t="shared" si="5"/>
        <v>-86513</v>
      </c>
      <c r="R36" s="9" t="b">
        <f t="shared" si="15"/>
        <v>1</v>
      </c>
      <c r="S36" s="228">
        <f t="shared" si="16"/>
        <v>0</v>
      </c>
      <c r="T36" s="228">
        <f t="shared" si="6"/>
        <v>-86513</v>
      </c>
      <c r="U36" s="228">
        <f t="shared" si="7"/>
        <v>0</v>
      </c>
      <c r="V36" s="228">
        <f t="shared" si="8"/>
        <v>-86513</v>
      </c>
      <c r="W36" s="228">
        <f t="shared" si="9"/>
        <v>0</v>
      </c>
      <c r="X36" s="228">
        <f t="shared" si="10"/>
        <v>-86513</v>
      </c>
      <c r="Y36" s="228">
        <f t="shared" si="11"/>
        <v>0</v>
      </c>
      <c r="Z36" s="228">
        <f t="shared" si="12"/>
        <v>-86513</v>
      </c>
      <c r="AA36" s="228">
        <f t="shared" si="13"/>
        <v>0</v>
      </c>
      <c r="AB36" s="228">
        <f t="shared" si="14"/>
        <v>-86513</v>
      </c>
      <c r="AC36" s="247">
        <f t="shared" si="17"/>
        <v>-86513</v>
      </c>
      <c r="AD36" s="227">
        <f t="shared" si="18"/>
        <v>0</v>
      </c>
    </row>
    <row r="37" spans="1:30" x14ac:dyDescent="0.2">
      <c r="A37" t="s">
        <v>106</v>
      </c>
      <c r="B37" t="s">
        <v>22</v>
      </c>
      <c r="D37" s="9">
        <v>-769700</v>
      </c>
      <c r="F37" s="9"/>
      <c r="G37" s="254">
        <f t="array" ref="G37">SUM(('Отчет по покупателям УТ'!$J$6:$J$5000='Adj Ageing by Brand'!$B37)*('Отчет по покупателям УТ'!$H$6:$H$5000='Adj Ageing by Brand'!G$8)*('Отчет по покупателям УТ'!$M$6:$M$5000='Adj Ageing by Brand'!$A37)*('Отчет по покупателям УТ'!$K$6:$K$5000))</f>
        <v>0</v>
      </c>
      <c r="H37" s="254">
        <f t="array" ref="H37">SUM(('Отчет по покупателям УТ'!$J$6:$J$5000='Adj Ageing by Brand'!$B37)*('Отчет по покупателям УТ'!$H$6:$H$5000='Adj Ageing by Brand'!H$8)*('Отчет по покупателям УТ'!$M$6:$M$5000='Adj Ageing by Brand'!$A37)*('Отчет по покупателям УТ'!$K$6:$K$5000))</f>
        <v>0</v>
      </c>
      <c r="I37" s="254">
        <f t="array" ref="I37">SUM(('Отчет по покупателям УТ'!$J$6:$J$5000='Adj Ageing by Brand'!$B37)*('Отчет по покупателям УТ'!$H$6:$H$5000='Adj Ageing by Brand'!I$8)*('Отчет по покупателям УТ'!$M$6:$M$5000='Adj Ageing by Brand'!$A37)*('Отчет по покупателям УТ'!$K$6:$K$5000))</f>
        <v>0</v>
      </c>
      <c r="J37" s="254">
        <f t="array" ref="J37">SUM(('Отчет по покупателям УТ'!$J$6:$J$5000='Adj Ageing by Brand'!$B37)*('Отчет по покупателям УТ'!$H$6:$H$5000='Adj Ageing by Brand'!J$8)*('Отчет по покупателям УТ'!$M$6:$M$5000='Adj Ageing by Brand'!$A37)*('Отчет по покупателям УТ'!$K$6:$K$5000))</f>
        <v>0</v>
      </c>
      <c r="K37" s="254">
        <f t="array" ref="K37">SUM(('Отчет по покупателям УТ'!$J$6:$J$5000='Adj Ageing by Brand'!$B37)*('Отчет по покупателям УТ'!$H$6:$H$5000='Adj Ageing by Brand'!K$8)*('Отчет по покупателям УТ'!$M$6:$M$5000='Adj Ageing by Brand'!$A37)*('Отчет по покупателям УТ'!$K$6:$K$5000))</f>
        <v>0</v>
      </c>
      <c r="L37" s="254">
        <f t="array" ref="L37">SUM(('Отчет по покупателям УТ'!$J$6:$J$5000='Adj Ageing by Brand'!$B37)*('Отчет по покупателям УТ'!$H$6:$H$5000='Adj Ageing by Brand'!L$8)*('Отчет по покупателям УТ'!$M$6:$M$5000='Adj Ageing by Brand'!$A37)*('Отчет по покупателям УТ'!$K$6:$K$5000))</f>
        <v>-769700</v>
      </c>
      <c r="M37" s="44">
        <f t="shared" si="5"/>
        <v>-769700</v>
      </c>
      <c r="R37" s="9" t="b">
        <f t="shared" si="15"/>
        <v>1</v>
      </c>
      <c r="S37" s="228">
        <f t="shared" si="16"/>
        <v>0</v>
      </c>
      <c r="T37" s="228">
        <f t="shared" si="6"/>
        <v>-769700</v>
      </c>
      <c r="U37" s="228">
        <f t="shared" si="7"/>
        <v>0</v>
      </c>
      <c r="V37" s="228">
        <f t="shared" si="8"/>
        <v>-769700</v>
      </c>
      <c r="W37" s="228">
        <f t="shared" si="9"/>
        <v>0</v>
      </c>
      <c r="X37" s="228">
        <f t="shared" si="10"/>
        <v>-769700</v>
      </c>
      <c r="Y37" s="228">
        <f t="shared" si="11"/>
        <v>0</v>
      </c>
      <c r="Z37" s="228">
        <f t="shared" si="12"/>
        <v>-769700</v>
      </c>
      <c r="AA37" s="228">
        <f t="shared" si="13"/>
        <v>0</v>
      </c>
      <c r="AB37" s="228">
        <f t="shared" si="14"/>
        <v>-769700</v>
      </c>
      <c r="AC37" s="247">
        <f t="shared" si="17"/>
        <v>-769700</v>
      </c>
      <c r="AD37" s="227">
        <f t="shared" si="18"/>
        <v>0</v>
      </c>
    </row>
    <row r="38" spans="1:30" x14ac:dyDescent="0.2">
      <c r="A38" t="s">
        <v>106</v>
      </c>
      <c r="B38" t="s">
        <v>16</v>
      </c>
      <c r="D38" s="9">
        <v>-49486</v>
      </c>
      <c r="F38" s="9"/>
      <c r="G38" s="254">
        <f t="array" ref="G38">SUM(('Отчет по покупателям УТ'!$J$6:$J$5000='Adj Ageing by Brand'!$B38)*('Отчет по покупателям УТ'!$H$6:$H$5000='Adj Ageing by Brand'!G$8)*('Отчет по покупателям УТ'!$M$6:$M$5000='Adj Ageing by Brand'!$A38)*('Отчет по покупателям УТ'!$K$6:$K$5000))</f>
        <v>0</v>
      </c>
      <c r="H38" s="254">
        <f t="array" ref="H38">SUM(('Отчет по покупателям УТ'!$J$6:$J$5000='Adj Ageing by Brand'!$B38)*('Отчет по покупателям УТ'!$H$6:$H$5000='Adj Ageing by Brand'!H$8)*('Отчет по покупателям УТ'!$M$6:$M$5000='Adj Ageing by Brand'!$A38)*('Отчет по покупателям УТ'!$K$6:$K$5000))</f>
        <v>0</v>
      </c>
      <c r="I38" s="254">
        <f t="array" ref="I38">SUM(('Отчет по покупателям УТ'!$J$6:$J$5000='Adj Ageing by Brand'!$B38)*('Отчет по покупателям УТ'!$H$6:$H$5000='Adj Ageing by Brand'!I$8)*('Отчет по покупателям УТ'!$M$6:$M$5000='Adj Ageing by Brand'!$A38)*('Отчет по покупателям УТ'!$K$6:$K$5000))</f>
        <v>0</v>
      </c>
      <c r="J38" s="254">
        <f t="array" ref="J38">SUM(('Отчет по покупателям УТ'!$J$6:$J$5000='Adj Ageing by Brand'!$B38)*('Отчет по покупателям УТ'!$H$6:$H$5000='Adj Ageing by Brand'!J$8)*('Отчет по покупателям УТ'!$M$6:$M$5000='Adj Ageing by Brand'!$A38)*('Отчет по покупателям УТ'!$K$6:$K$5000))</f>
        <v>0</v>
      </c>
      <c r="K38" s="254">
        <f t="array" ref="K38">SUM(('Отчет по покупателям УТ'!$J$6:$J$5000='Adj Ageing by Brand'!$B38)*('Отчет по покупателям УТ'!$H$6:$H$5000='Adj Ageing by Brand'!K$8)*('Отчет по покупателям УТ'!$M$6:$M$5000='Adj Ageing by Brand'!$A38)*('Отчет по покупателям УТ'!$K$6:$K$5000))</f>
        <v>0</v>
      </c>
      <c r="L38" s="254">
        <f t="array" ref="L38">SUM(('Отчет по покупателям УТ'!$J$6:$J$5000='Adj Ageing by Brand'!$B38)*('Отчет по покупателям УТ'!$H$6:$H$5000='Adj Ageing by Brand'!L$8)*('Отчет по покупателям УТ'!$M$6:$M$5000='Adj Ageing by Brand'!$A38)*('Отчет по покупателям УТ'!$K$6:$K$5000))</f>
        <v>-49486</v>
      </c>
      <c r="M38" s="44">
        <f t="shared" si="5"/>
        <v>-49486</v>
      </c>
      <c r="R38" s="9" t="b">
        <f t="shared" si="15"/>
        <v>1</v>
      </c>
      <c r="S38" s="228">
        <f t="shared" si="16"/>
        <v>0</v>
      </c>
      <c r="T38" s="228">
        <f t="shared" si="6"/>
        <v>-49486</v>
      </c>
      <c r="U38" s="228">
        <f t="shared" si="7"/>
        <v>0</v>
      </c>
      <c r="V38" s="228">
        <f t="shared" si="8"/>
        <v>-49486</v>
      </c>
      <c r="W38" s="228">
        <f t="shared" si="9"/>
        <v>0</v>
      </c>
      <c r="X38" s="228">
        <f t="shared" si="10"/>
        <v>-49486</v>
      </c>
      <c r="Y38" s="228">
        <f t="shared" si="11"/>
        <v>0</v>
      </c>
      <c r="Z38" s="228">
        <f t="shared" si="12"/>
        <v>-49486</v>
      </c>
      <c r="AA38" s="228">
        <f t="shared" si="13"/>
        <v>0</v>
      </c>
      <c r="AB38" s="228">
        <f t="shared" si="14"/>
        <v>-49486</v>
      </c>
      <c r="AC38" s="247">
        <f t="shared" si="17"/>
        <v>-49486</v>
      </c>
      <c r="AD38" s="227">
        <f t="shared" si="18"/>
        <v>0</v>
      </c>
    </row>
    <row r="39" spans="1:30" x14ac:dyDescent="0.2">
      <c r="A39" t="s">
        <v>109</v>
      </c>
      <c r="B39" t="s">
        <v>31</v>
      </c>
      <c r="D39" s="9">
        <v>-11533.5</v>
      </c>
      <c r="F39" s="9"/>
      <c r="G39" s="254">
        <f t="array" ref="G39">SUM(('Отчет по покупателям УТ'!$J$6:$J$5000='Adj Ageing by Brand'!$B39)*('Отчет по покупателям УТ'!$H$6:$H$5000='Adj Ageing by Brand'!G$8)*('Отчет по покупателям УТ'!$M$6:$M$5000='Adj Ageing by Brand'!$A39)*('Отчет по покупателям УТ'!$K$6:$K$5000))</f>
        <v>0</v>
      </c>
      <c r="H39" s="254">
        <f t="array" ref="H39">SUM(('Отчет по покупателям УТ'!$J$6:$J$5000='Adj Ageing by Brand'!$B39)*('Отчет по покупателям УТ'!$H$6:$H$5000='Adj Ageing by Brand'!H$8)*('Отчет по покупателям УТ'!$M$6:$M$5000='Adj Ageing by Brand'!$A39)*('Отчет по покупателям УТ'!$K$6:$K$5000))</f>
        <v>0</v>
      </c>
      <c r="I39" s="254">
        <f t="array" ref="I39">SUM(('Отчет по покупателям УТ'!$J$6:$J$5000='Adj Ageing by Brand'!$B39)*('Отчет по покупателям УТ'!$H$6:$H$5000='Adj Ageing by Brand'!I$8)*('Отчет по покупателям УТ'!$M$6:$M$5000='Adj Ageing by Brand'!$A39)*('Отчет по покупателям УТ'!$K$6:$K$5000))</f>
        <v>0</v>
      </c>
      <c r="J39" s="254">
        <f t="array" ref="J39">SUM(('Отчет по покупателям УТ'!$J$6:$J$5000='Adj Ageing by Brand'!$B39)*('Отчет по покупателям УТ'!$H$6:$H$5000='Adj Ageing by Brand'!J$8)*('Отчет по покупателям УТ'!$M$6:$M$5000='Adj Ageing by Brand'!$A39)*('Отчет по покупателям УТ'!$K$6:$K$5000))</f>
        <v>0</v>
      </c>
      <c r="K39" s="254">
        <f t="array" ref="K39">SUM(('Отчет по покупателям УТ'!$J$6:$J$5000='Adj Ageing by Brand'!$B39)*('Отчет по покупателям УТ'!$H$6:$H$5000='Adj Ageing by Brand'!K$8)*('Отчет по покупателям УТ'!$M$6:$M$5000='Adj Ageing by Brand'!$A39)*('Отчет по покупателям УТ'!$K$6:$K$5000))</f>
        <v>0</v>
      </c>
      <c r="L39" s="254">
        <f t="array" ref="L39">SUM(('Отчет по покупателям УТ'!$J$6:$J$5000='Adj Ageing by Brand'!$B39)*('Отчет по покупателям УТ'!$H$6:$H$5000='Adj Ageing by Brand'!L$8)*('Отчет по покупателям УТ'!$M$6:$M$5000='Adj Ageing by Brand'!$A39)*('Отчет по покупателям УТ'!$K$6:$K$5000))</f>
        <v>-11533.5</v>
      </c>
      <c r="M39" s="44">
        <f t="shared" si="5"/>
        <v>-11533.5</v>
      </c>
      <c r="R39" s="9" t="b">
        <f t="shared" si="15"/>
        <v>1</v>
      </c>
      <c r="S39" s="228">
        <f t="shared" si="16"/>
        <v>0</v>
      </c>
      <c r="T39" s="228">
        <f t="shared" si="6"/>
        <v>-11533.5</v>
      </c>
      <c r="U39" s="228">
        <f t="shared" si="7"/>
        <v>0</v>
      </c>
      <c r="V39" s="228">
        <f t="shared" si="8"/>
        <v>-11533.5</v>
      </c>
      <c r="W39" s="228">
        <f t="shared" si="9"/>
        <v>0</v>
      </c>
      <c r="X39" s="228">
        <f t="shared" si="10"/>
        <v>-11533.5</v>
      </c>
      <c r="Y39" s="228">
        <f t="shared" si="11"/>
        <v>0</v>
      </c>
      <c r="Z39" s="228">
        <f t="shared" si="12"/>
        <v>-11533.5</v>
      </c>
      <c r="AA39" s="228">
        <f t="shared" si="13"/>
        <v>0</v>
      </c>
      <c r="AB39" s="228">
        <f t="shared" si="14"/>
        <v>-11533.5</v>
      </c>
      <c r="AC39" s="247">
        <f t="shared" si="17"/>
        <v>-11533.5</v>
      </c>
      <c r="AD39" s="227">
        <f t="shared" si="18"/>
        <v>0</v>
      </c>
    </row>
    <row r="40" spans="1:30" x14ac:dyDescent="0.2">
      <c r="A40" t="s">
        <v>111</v>
      </c>
      <c r="B40" t="s">
        <v>22</v>
      </c>
      <c r="D40" s="9">
        <v>-166755.06</v>
      </c>
      <c r="F40" s="9"/>
      <c r="G40" s="254">
        <f t="array" ref="G40">SUM(('Отчет по покупателям УТ'!$J$6:$J$5000='Adj Ageing by Brand'!$B40)*('Отчет по покупателям УТ'!$H$6:$H$5000='Adj Ageing by Brand'!G$8)*('Отчет по покупателям УТ'!$M$6:$M$5000='Adj Ageing by Brand'!$A40)*('Отчет по покупателям УТ'!$K$6:$K$5000))</f>
        <v>0</v>
      </c>
      <c r="H40" s="254">
        <f t="array" ref="H40">SUM(('Отчет по покупателям УТ'!$J$6:$J$5000='Adj Ageing by Brand'!$B40)*('Отчет по покупателям УТ'!$H$6:$H$5000='Adj Ageing by Brand'!H$8)*('Отчет по покупателям УТ'!$M$6:$M$5000='Adj Ageing by Brand'!$A40)*('Отчет по покупателям УТ'!$K$6:$K$5000))</f>
        <v>0</v>
      </c>
      <c r="I40" s="254">
        <f t="array" ref="I40">SUM(('Отчет по покупателям УТ'!$J$6:$J$5000='Adj Ageing by Brand'!$B40)*('Отчет по покупателям УТ'!$H$6:$H$5000='Adj Ageing by Brand'!I$8)*('Отчет по покупателям УТ'!$M$6:$M$5000='Adj Ageing by Brand'!$A40)*('Отчет по покупателям УТ'!$K$6:$K$5000))</f>
        <v>0</v>
      </c>
      <c r="J40" s="254">
        <f t="array" ref="J40">SUM(('Отчет по покупателям УТ'!$J$6:$J$5000='Adj Ageing by Brand'!$B40)*('Отчет по покупателям УТ'!$H$6:$H$5000='Adj Ageing by Brand'!J$8)*('Отчет по покупателям УТ'!$M$6:$M$5000='Adj Ageing by Brand'!$A40)*('Отчет по покупателям УТ'!$K$6:$K$5000))</f>
        <v>0</v>
      </c>
      <c r="K40" s="254">
        <f t="array" ref="K40">SUM(('Отчет по покупателям УТ'!$J$6:$J$5000='Adj Ageing by Brand'!$B40)*('Отчет по покупателям УТ'!$H$6:$H$5000='Adj Ageing by Brand'!K$8)*('Отчет по покупателям УТ'!$M$6:$M$5000='Adj Ageing by Brand'!$A40)*('Отчет по покупателям УТ'!$K$6:$K$5000))</f>
        <v>0</v>
      </c>
      <c r="L40" s="254">
        <f t="array" ref="L40">SUM(('Отчет по покупателям УТ'!$J$6:$J$5000='Adj Ageing by Brand'!$B40)*('Отчет по покупателям УТ'!$H$6:$H$5000='Adj Ageing by Brand'!L$8)*('Отчет по покупателям УТ'!$M$6:$M$5000='Adj Ageing by Brand'!$A40)*('Отчет по покупателям УТ'!$K$6:$K$5000))</f>
        <v>-166755.06</v>
      </c>
      <c r="M40" s="44">
        <f t="shared" si="5"/>
        <v>-166755.06</v>
      </c>
      <c r="R40" s="9" t="b">
        <f t="shared" si="15"/>
        <v>1</v>
      </c>
      <c r="S40" s="228">
        <f t="shared" si="16"/>
        <v>0</v>
      </c>
      <c r="T40" s="228">
        <f t="shared" si="6"/>
        <v>-166755.06</v>
      </c>
      <c r="U40" s="228">
        <f t="shared" si="7"/>
        <v>0</v>
      </c>
      <c r="V40" s="228">
        <f t="shared" si="8"/>
        <v>-166755.06</v>
      </c>
      <c r="W40" s="228">
        <f t="shared" si="9"/>
        <v>0</v>
      </c>
      <c r="X40" s="228">
        <f t="shared" si="10"/>
        <v>-166755.06</v>
      </c>
      <c r="Y40" s="228">
        <f t="shared" si="11"/>
        <v>0</v>
      </c>
      <c r="Z40" s="228">
        <f t="shared" si="12"/>
        <v>-166755.06</v>
      </c>
      <c r="AA40" s="228">
        <f t="shared" si="13"/>
        <v>0</v>
      </c>
      <c r="AB40" s="228">
        <f t="shared" si="14"/>
        <v>-166755.06</v>
      </c>
      <c r="AC40" s="247">
        <f t="shared" si="17"/>
        <v>-166755.06</v>
      </c>
      <c r="AD40" s="227">
        <f t="shared" si="18"/>
        <v>0</v>
      </c>
    </row>
    <row r="41" spans="1:30" x14ac:dyDescent="0.2">
      <c r="A41" t="s">
        <v>114</v>
      </c>
      <c r="B41" t="s">
        <v>22</v>
      </c>
      <c r="D41" s="9">
        <v>-36635.9</v>
      </c>
      <c r="F41" s="9"/>
      <c r="G41" s="254">
        <f t="array" ref="G41">SUM(('Отчет по покупателям УТ'!$J$6:$J$5000='Adj Ageing by Brand'!$B41)*('Отчет по покупателям УТ'!$H$6:$H$5000='Adj Ageing by Brand'!G$8)*('Отчет по покупателям УТ'!$M$6:$M$5000='Adj Ageing by Brand'!$A41)*('Отчет по покупателям УТ'!$K$6:$K$5000))</f>
        <v>0</v>
      </c>
      <c r="H41" s="254">
        <f t="array" ref="H41">SUM(('Отчет по покупателям УТ'!$J$6:$J$5000='Adj Ageing by Brand'!$B41)*('Отчет по покупателям УТ'!$H$6:$H$5000='Adj Ageing by Brand'!H$8)*('Отчет по покупателям УТ'!$M$6:$M$5000='Adj Ageing by Brand'!$A41)*('Отчет по покупателям УТ'!$K$6:$K$5000))</f>
        <v>0</v>
      </c>
      <c r="I41" s="254">
        <f t="array" ref="I41">SUM(('Отчет по покупателям УТ'!$J$6:$J$5000='Adj Ageing by Brand'!$B41)*('Отчет по покупателям УТ'!$H$6:$H$5000='Adj Ageing by Brand'!I$8)*('Отчет по покупателям УТ'!$M$6:$M$5000='Adj Ageing by Brand'!$A41)*('Отчет по покупателям УТ'!$K$6:$K$5000))</f>
        <v>0</v>
      </c>
      <c r="J41" s="254">
        <f t="array" ref="J41">SUM(('Отчет по покупателям УТ'!$J$6:$J$5000='Adj Ageing by Brand'!$B41)*('Отчет по покупателям УТ'!$H$6:$H$5000='Adj Ageing by Brand'!J$8)*('Отчет по покупателям УТ'!$M$6:$M$5000='Adj Ageing by Brand'!$A41)*('Отчет по покупателям УТ'!$K$6:$K$5000))</f>
        <v>0</v>
      </c>
      <c r="K41" s="254">
        <f t="array" ref="K41">SUM(('Отчет по покупателям УТ'!$J$6:$J$5000='Adj Ageing by Brand'!$B41)*('Отчет по покупателям УТ'!$H$6:$H$5000='Adj Ageing by Brand'!K$8)*('Отчет по покупателям УТ'!$M$6:$M$5000='Adj Ageing by Brand'!$A41)*('Отчет по покупателям УТ'!$K$6:$K$5000))</f>
        <v>0</v>
      </c>
      <c r="L41" s="254">
        <f t="array" ref="L41">SUM(('Отчет по покупателям УТ'!$J$6:$J$5000='Adj Ageing by Brand'!$B41)*('Отчет по покупателям УТ'!$H$6:$H$5000='Adj Ageing by Brand'!L$8)*('Отчет по покупателям УТ'!$M$6:$M$5000='Adj Ageing by Brand'!$A41)*('Отчет по покупателям УТ'!$K$6:$K$5000))</f>
        <v>-36635.9</v>
      </c>
      <c r="M41" s="44">
        <f t="shared" ref="M41:M72" si="19">SUM(G41:L41)</f>
        <v>-36635.9</v>
      </c>
      <c r="R41" s="9" t="b">
        <f t="shared" si="15"/>
        <v>1</v>
      </c>
      <c r="S41" s="228">
        <f t="shared" ref="S41:S72" si="20">IF(G41+T41&lt;0,0,G41+T41)</f>
        <v>0</v>
      </c>
      <c r="T41" s="228">
        <f t="shared" ref="T41:T72" si="21">IF(L41+K41+J41+I41+H41&lt;0,L41+K41+J41+I41+H41,0)</f>
        <v>-36635.9</v>
      </c>
      <c r="U41" s="228">
        <f t="shared" ref="U41:U72" si="22">IF(H41+V41&lt;0,0,H41+V41)</f>
        <v>0</v>
      </c>
      <c r="V41" s="228">
        <f t="shared" ref="V41:V72" si="23">IF(L41+K41+J41+I41&lt;0,L41+K41+J41+I41,0)</f>
        <v>-36635.9</v>
      </c>
      <c r="W41" s="228">
        <f t="shared" ref="W41:W72" si="24">IF(I41+X41&lt;0,0,I41+X41)</f>
        <v>0</v>
      </c>
      <c r="X41" s="228">
        <f t="shared" ref="X41:X72" si="25">IF(L41+K41+J41&lt;0,L41+K41+J41,0)</f>
        <v>-36635.9</v>
      </c>
      <c r="Y41" s="228">
        <f t="shared" ref="Y41:Y72" si="26">IF(J41+Z41&lt;0,0,J41+Z41)</f>
        <v>0</v>
      </c>
      <c r="Z41" s="228">
        <f t="shared" ref="Z41:Z72" si="27">IF(L41+K41&lt;0,L41+K41,0)</f>
        <v>-36635.9</v>
      </c>
      <c r="AA41" s="228">
        <f t="shared" ref="AA41:AA72" si="28">IF(K41+L41&lt;0,0,K41+L41)</f>
        <v>0</v>
      </c>
      <c r="AB41" s="228">
        <f t="shared" ref="AB41:AB72" si="29">IF(SUM(G41:L41)&lt;0,M41,0)</f>
        <v>-36635.9</v>
      </c>
      <c r="AC41" s="247">
        <f t="shared" si="17"/>
        <v>-36635.9</v>
      </c>
      <c r="AD41" s="227">
        <f t="shared" si="18"/>
        <v>0</v>
      </c>
    </row>
    <row r="42" spans="1:30" x14ac:dyDescent="0.2">
      <c r="A42" t="s">
        <v>116</v>
      </c>
      <c r="B42" t="s">
        <v>22</v>
      </c>
      <c r="D42" s="9">
        <v>-61814.61</v>
      </c>
      <c r="F42" s="9"/>
      <c r="G42" s="254">
        <f t="array" ref="G42">SUM(('Отчет по покупателям УТ'!$J$6:$J$5000='Adj Ageing by Brand'!$B42)*('Отчет по покупателям УТ'!$H$6:$H$5000='Adj Ageing by Brand'!G$8)*('Отчет по покупателям УТ'!$M$6:$M$5000='Adj Ageing by Brand'!$A42)*('Отчет по покупателям УТ'!$K$6:$K$5000))</f>
        <v>0</v>
      </c>
      <c r="H42" s="254">
        <f t="array" ref="H42">SUM(('Отчет по покупателям УТ'!$J$6:$J$5000='Adj Ageing by Brand'!$B42)*('Отчет по покупателям УТ'!$H$6:$H$5000='Adj Ageing by Brand'!H$8)*('Отчет по покупателям УТ'!$M$6:$M$5000='Adj Ageing by Brand'!$A42)*('Отчет по покупателям УТ'!$K$6:$K$5000))</f>
        <v>0</v>
      </c>
      <c r="I42" s="254">
        <f t="array" ref="I42">SUM(('Отчет по покупателям УТ'!$J$6:$J$5000='Adj Ageing by Brand'!$B42)*('Отчет по покупателям УТ'!$H$6:$H$5000='Adj Ageing by Brand'!I$8)*('Отчет по покупателям УТ'!$M$6:$M$5000='Adj Ageing by Brand'!$A42)*('Отчет по покупателям УТ'!$K$6:$K$5000))</f>
        <v>0</v>
      </c>
      <c r="J42" s="254">
        <f t="array" ref="J42">SUM(('Отчет по покупателям УТ'!$J$6:$J$5000='Adj Ageing by Brand'!$B42)*('Отчет по покупателям УТ'!$H$6:$H$5000='Adj Ageing by Brand'!J$8)*('Отчет по покупателям УТ'!$M$6:$M$5000='Adj Ageing by Brand'!$A42)*('Отчет по покупателям УТ'!$K$6:$K$5000))</f>
        <v>0</v>
      </c>
      <c r="K42" s="254">
        <f t="array" ref="K42">SUM(('Отчет по покупателям УТ'!$J$6:$J$5000='Adj Ageing by Brand'!$B42)*('Отчет по покупателям УТ'!$H$6:$H$5000='Adj Ageing by Brand'!K$8)*('Отчет по покупателям УТ'!$M$6:$M$5000='Adj Ageing by Brand'!$A42)*('Отчет по покупателям УТ'!$K$6:$K$5000))</f>
        <v>0</v>
      </c>
      <c r="L42" s="254">
        <f t="array" ref="L42">SUM(('Отчет по покупателям УТ'!$J$6:$J$5000='Adj Ageing by Brand'!$B42)*('Отчет по покупателям УТ'!$H$6:$H$5000='Adj Ageing by Brand'!L$8)*('Отчет по покупателям УТ'!$M$6:$M$5000='Adj Ageing by Brand'!$A42)*('Отчет по покупателям УТ'!$K$6:$K$5000))</f>
        <v>-61814.61</v>
      </c>
      <c r="M42" s="44">
        <f t="shared" si="19"/>
        <v>-61814.61</v>
      </c>
      <c r="R42" s="9" t="b">
        <f t="shared" si="15"/>
        <v>1</v>
      </c>
      <c r="S42" s="228">
        <f t="shared" si="20"/>
        <v>0</v>
      </c>
      <c r="T42" s="228">
        <f t="shared" si="21"/>
        <v>-61814.61</v>
      </c>
      <c r="U42" s="228">
        <f t="shared" si="22"/>
        <v>0</v>
      </c>
      <c r="V42" s="228">
        <f t="shared" si="23"/>
        <v>-61814.61</v>
      </c>
      <c r="W42" s="228">
        <f t="shared" si="24"/>
        <v>0</v>
      </c>
      <c r="X42" s="228">
        <f t="shared" si="25"/>
        <v>-61814.61</v>
      </c>
      <c r="Y42" s="228">
        <f t="shared" si="26"/>
        <v>0</v>
      </c>
      <c r="Z42" s="228">
        <f t="shared" si="27"/>
        <v>-61814.61</v>
      </c>
      <c r="AA42" s="228">
        <f t="shared" si="28"/>
        <v>0</v>
      </c>
      <c r="AB42" s="228">
        <f t="shared" si="29"/>
        <v>-61814.61</v>
      </c>
      <c r="AC42" s="247">
        <f t="shared" si="17"/>
        <v>-61814.61</v>
      </c>
      <c r="AD42" s="227">
        <f t="shared" si="18"/>
        <v>0</v>
      </c>
    </row>
    <row r="43" spans="1:30" x14ac:dyDescent="0.2">
      <c r="A43" t="s">
        <v>116</v>
      </c>
      <c r="B43" t="s">
        <v>16</v>
      </c>
      <c r="D43" s="9">
        <v>-100506.83</v>
      </c>
      <c r="F43" s="9"/>
      <c r="G43" s="254">
        <f t="array" ref="G43">SUM(('Отчет по покупателям УТ'!$J$6:$J$5000='Adj Ageing by Brand'!$B43)*('Отчет по покупателям УТ'!$H$6:$H$5000='Adj Ageing by Brand'!G$8)*('Отчет по покупателям УТ'!$M$6:$M$5000='Adj Ageing by Brand'!$A43)*('Отчет по покупателям УТ'!$K$6:$K$5000))</f>
        <v>0</v>
      </c>
      <c r="H43" s="254">
        <f t="array" ref="H43">SUM(('Отчет по покупателям УТ'!$J$6:$J$5000='Adj Ageing by Brand'!$B43)*('Отчет по покупателям УТ'!$H$6:$H$5000='Adj Ageing by Brand'!H$8)*('Отчет по покупателям УТ'!$M$6:$M$5000='Adj Ageing by Brand'!$A43)*('Отчет по покупателям УТ'!$K$6:$K$5000))</f>
        <v>0</v>
      </c>
      <c r="I43" s="254">
        <f t="array" ref="I43">SUM(('Отчет по покупателям УТ'!$J$6:$J$5000='Adj Ageing by Brand'!$B43)*('Отчет по покупателям УТ'!$H$6:$H$5000='Adj Ageing by Brand'!I$8)*('Отчет по покупателям УТ'!$M$6:$M$5000='Adj Ageing by Brand'!$A43)*('Отчет по покупателям УТ'!$K$6:$K$5000))</f>
        <v>0</v>
      </c>
      <c r="J43" s="254">
        <f t="array" ref="J43">SUM(('Отчет по покупателям УТ'!$J$6:$J$5000='Adj Ageing by Brand'!$B43)*('Отчет по покупателям УТ'!$H$6:$H$5000='Adj Ageing by Brand'!J$8)*('Отчет по покупателям УТ'!$M$6:$M$5000='Adj Ageing by Brand'!$A43)*('Отчет по покупателям УТ'!$K$6:$K$5000))</f>
        <v>0</v>
      </c>
      <c r="K43" s="254">
        <f t="array" ref="K43">SUM(('Отчет по покупателям УТ'!$J$6:$J$5000='Adj Ageing by Brand'!$B43)*('Отчет по покупателям УТ'!$H$6:$H$5000='Adj Ageing by Brand'!K$8)*('Отчет по покупателям УТ'!$M$6:$M$5000='Adj Ageing by Brand'!$A43)*('Отчет по покупателям УТ'!$K$6:$K$5000))</f>
        <v>0</v>
      </c>
      <c r="L43" s="254">
        <f t="array" ref="L43">SUM(('Отчет по покупателям УТ'!$J$6:$J$5000='Adj Ageing by Brand'!$B43)*('Отчет по покупателям УТ'!$H$6:$H$5000='Adj Ageing by Brand'!L$8)*('Отчет по покупателям УТ'!$M$6:$M$5000='Adj Ageing by Brand'!$A43)*('Отчет по покупателям УТ'!$K$6:$K$5000))</f>
        <v>-100506.83</v>
      </c>
      <c r="M43" s="44">
        <f t="shared" si="19"/>
        <v>-100506.83</v>
      </c>
      <c r="R43" s="9" t="b">
        <f t="shared" si="15"/>
        <v>1</v>
      </c>
      <c r="S43" s="228">
        <f t="shared" si="20"/>
        <v>0</v>
      </c>
      <c r="T43" s="228">
        <f t="shared" si="21"/>
        <v>-100506.83</v>
      </c>
      <c r="U43" s="228">
        <f t="shared" si="22"/>
        <v>0</v>
      </c>
      <c r="V43" s="228">
        <f t="shared" si="23"/>
        <v>-100506.83</v>
      </c>
      <c r="W43" s="228">
        <f t="shared" si="24"/>
        <v>0</v>
      </c>
      <c r="X43" s="228">
        <f t="shared" si="25"/>
        <v>-100506.83</v>
      </c>
      <c r="Y43" s="228">
        <f t="shared" si="26"/>
        <v>0</v>
      </c>
      <c r="Z43" s="228">
        <f t="shared" si="27"/>
        <v>-100506.83</v>
      </c>
      <c r="AA43" s="228">
        <f t="shared" si="28"/>
        <v>0</v>
      </c>
      <c r="AB43" s="228">
        <f t="shared" si="29"/>
        <v>-100506.83</v>
      </c>
      <c r="AC43" s="247">
        <f t="shared" si="17"/>
        <v>-100506.83</v>
      </c>
      <c r="AD43" s="227">
        <f t="shared" si="18"/>
        <v>0</v>
      </c>
    </row>
    <row r="44" spans="1:30" x14ac:dyDescent="0.2">
      <c r="A44" t="s">
        <v>116</v>
      </c>
      <c r="B44" t="s">
        <v>31</v>
      </c>
      <c r="D44" s="9">
        <v>-66778.42</v>
      </c>
      <c r="F44" s="9"/>
      <c r="G44" s="254">
        <f t="array" ref="G44">SUM(('Отчет по покупателям УТ'!$J$6:$J$5000='Adj Ageing by Brand'!$B44)*('Отчет по покупателям УТ'!$H$6:$H$5000='Adj Ageing by Brand'!G$8)*('Отчет по покупателям УТ'!$M$6:$M$5000='Adj Ageing by Brand'!$A44)*('Отчет по покупателям УТ'!$K$6:$K$5000))</f>
        <v>0</v>
      </c>
      <c r="H44" s="254">
        <f t="array" ref="H44">SUM(('Отчет по покупателям УТ'!$J$6:$J$5000='Adj Ageing by Brand'!$B44)*('Отчет по покупателям УТ'!$H$6:$H$5000='Adj Ageing by Brand'!H$8)*('Отчет по покупателям УТ'!$M$6:$M$5000='Adj Ageing by Brand'!$A44)*('Отчет по покупателям УТ'!$K$6:$K$5000))</f>
        <v>0</v>
      </c>
      <c r="I44" s="254">
        <f t="array" ref="I44">SUM(('Отчет по покупателям УТ'!$J$6:$J$5000='Adj Ageing by Brand'!$B44)*('Отчет по покупателям УТ'!$H$6:$H$5000='Adj Ageing by Brand'!I$8)*('Отчет по покупателям УТ'!$M$6:$M$5000='Adj Ageing by Brand'!$A44)*('Отчет по покупателям УТ'!$K$6:$K$5000))</f>
        <v>0</v>
      </c>
      <c r="J44" s="254">
        <f t="array" ref="J44">SUM(('Отчет по покупателям УТ'!$J$6:$J$5000='Adj Ageing by Brand'!$B44)*('Отчет по покупателям УТ'!$H$6:$H$5000='Adj Ageing by Brand'!J$8)*('Отчет по покупателям УТ'!$M$6:$M$5000='Adj Ageing by Brand'!$A44)*('Отчет по покупателям УТ'!$K$6:$K$5000))</f>
        <v>0</v>
      </c>
      <c r="K44" s="254">
        <f t="array" ref="K44">SUM(('Отчет по покупателям УТ'!$J$6:$J$5000='Adj Ageing by Brand'!$B44)*('Отчет по покупателям УТ'!$H$6:$H$5000='Adj Ageing by Brand'!K$8)*('Отчет по покупателям УТ'!$M$6:$M$5000='Adj Ageing by Brand'!$A44)*('Отчет по покупателям УТ'!$K$6:$K$5000))</f>
        <v>0</v>
      </c>
      <c r="L44" s="254">
        <f t="array" ref="L44">SUM(('Отчет по покупателям УТ'!$J$6:$J$5000='Adj Ageing by Brand'!$B44)*('Отчет по покупателям УТ'!$H$6:$H$5000='Adj Ageing by Brand'!L$8)*('Отчет по покупателям УТ'!$M$6:$M$5000='Adj Ageing by Brand'!$A44)*('Отчет по покупателям УТ'!$K$6:$K$5000))</f>
        <v>-66778.42</v>
      </c>
      <c r="M44" s="44">
        <f t="shared" si="19"/>
        <v>-66778.42</v>
      </c>
      <c r="R44" s="9" t="b">
        <f t="shared" si="15"/>
        <v>1</v>
      </c>
      <c r="S44" s="228">
        <f t="shared" si="20"/>
        <v>0</v>
      </c>
      <c r="T44" s="228">
        <f t="shared" si="21"/>
        <v>-66778.42</v>
      </c>
      <c r="U44" s="228">
        <f t="shared" si="22"/>
        <v>0</v>
      </c>
      <c r="V44" s="228">
        <f t="shared" si="23"/>
        <v>-66778.42</v>
      </c>
      <c r="W44" s="228">
        <f t="shared" si="24"/>
        <v>0</v>
      </c>
      <c r="X44" s="228">
        <f t="shared" si="25"/>
        <v>-66778.42</v>
      </c>
      <c r="Y44" s="228">
        <f t="shared" si="26"/>
        <v>0</v>
      </c>
      <c r="Z44" s="228">
        <f t="shared" si="27"/>
        <v>-66778.42</v>
      </c>
      <c r="AA44" s="228">
        <f t="shared" si="28"/>
        <v>0</v>
      </c>
      <c r="AB44" s="228">
        <f t="shared" si="29"/>
        <v>-66778.42</v>
      </c>
      <c r="AC44" s="247">
        <f t="shared" si="17"/>
        <v>-66778.42</v>
      </c>
      <c r="AD44" s="227">
        <f t="shared" si="18"/>
        <v>0</v>
      </c>
    </row>
    <row r="45" spans="1:30" x14ac:dyDescent="0.2">
      <c r="A45" t="s">
        <v>117</v>
      </c>
      <c r="B45" t="s">
        <v>16</v>
      </c>
      <c r="D45" s="9">
        <v>-1759.12</v>
      </c>
      <c r="F45" s="9"/>
      <c r="G45" s="254">
        <f t="array" ref="G45">SUM(('Отчет по покупателям УТ'!$J$6:$J$5000='Adj Ageing by Brand'!$B45)*('Отчет по покупателям УТ'!$H$6:$H$5000='Adj Ageing by Brand'!G$8)*('Отчет по покупателям УТ'!$M$6:$M$5000='Adj Ageing by Brand'!$A45)*('Отчет по покупателям УТ'!$K$6:$K$5000))</f>
        <v>0</v>
      </c>
      <c r="H45" s="254">
        <f t="array" ref="H45">SUM(('Отчет по покупателям УТ'!$J$6:$J$5000='Adj Ageing by Brand'!$B45)*('Отчет по покупателям УТ'!$H$6:$H$5000='Adj Ageing by Brand'!H$8)*('Отчет по покупателям УТ'!$M$6:$M$5000='Adj Ageing by Brand'!$A45)*('Отчет по покупателям УТ'!$K$6:$K$5000))</f>
        <v>0</v>
      </c>
      <c r="I45" s="254">
        <f t="array" ref="I45">SUM(('Отчет по покупателям УТ'!$J$6:$J$5000='Adj Ageing by Brand'!$B45)*('Отчет по покупателям УТ'!$H$6:$H$5000='Adj Ageing by Brand'!I$8)*('Отчет по покупателям УТ'!$M$6:$M$5000='Adj Ageing by Brand'!$A45)*('Отчет по покупателям УТ'!$K$6:$K$5000))</f>
        <v>0</v>
      </c>
      <c r="J45" s="254">
        <f t="array" ref="J45">SUM(('Отчет по покупателям УТ'!$J$6:$J$5000='Adj Ageing by Brand'!$B45)*('Отчет по покупателям УТ'!$H$6:$H$5000='Adj Ageing by Brand'!J$8)*('Отчет по покупателям УТ'!$M$6:$M$5000='Adj Ageing by Brand'!$A45)*('Отчет по покупателям УТ'!$K$6:$K$5000))</f>
        <v>0</v>
      </c>
      <c r="K45" s="254">
        <f t="array" ref="K45">SUM(('Отчет по покупателям УТ'!$J$6:$J$5000='Adj Ageing by Brand'!$B45)*('Отчет по покупателям УТ'!$H$6:$H$5000='Adj Ageing by Brand'!K$8)*('Отчет по покупателям УТ'!$M$6:$M$5000='Adj Ageing by Brand'!$A45)*('Отчет по покупателям УТ'!$K$6:$K$5000))</f>
        <v>0</v>
      </c>
      <c r="L45" s="254">
        <f t="array" ref="L45">SUM(('Отчет по покупателям УТ'!$J$6:$J$5000='Adj Ageing by Brand'!$B45)*('Отчет по покупателям УТ'!$H$6:$H$5000='Adj Ageing by Brand'!L$8)*('Отчет по покупателям УТ'!$M$6:$M$5000='Adj Ageing by Brand'!$A45)*('Отчет по покупателям УТ'!$K$6:$K$5000))</f>
        <v>-1759.12</v>
      </c>
      <c r="M45" s="44">
        <f t="shared" si="19"/>
        <v>-1759.12</v>
      </c>
      <c r="R45" s="9" t="b">
        <f t="shared" si="15"/>
        <v>1</v>
      </c>
      <c r="S45" s="228">
        <f t="shared" si="20"/>
        <v>0</v>
      </c>
      <c r="T45" s="228">
        <f t="shared" si="21"/>
        <v>-1759.12</v>
      </c>
      <c r="U45" s="228">
        <f t="shared" si="22"/>
        <v>0</v>
      </c>
      <c r="V45" s="228">
        <f t="shared" si="23"/>
        <v>-1759.12</v>
      </c>
      <c r="W45" s="228">
        <f t="shared" si="24"/>
        <v>0</v>
      </c>
      <c r="X45" s="228">
        <f t="shared" si="25"/>
        <v>-1759.12</v>
      </c>
      <c r="Y45" s="228">
        <f t="shared" si="26"/>
        <v>0</v>
      </c>
      <c r="Z45" s="228">
        <f t="shared" si="27"/>
        <v>-1759.12</v>
      </c>
      <c r="AA45" s="228">
        <f t="shared" si="28"/>
        <v>0</v>
      </c>
      <c r="AB45" s="228">
        <f t="shared" si="29"/>
        <v>-1759.12</v>
      </c>
      <c r="AC45" s="247">
        <f t="shared" si="17"/>
        <v>-1759.12</v>
      </c>
      <c r="AD45" s="227">
        <f t="shared" si="18"/>
        <v>0</v>
      </c>
    </row>
    <row r="46" spans="1:30" x14ac:dyDescent="0.2">
      <c r="A46" t="s">
        <v>119</v>
      </c>
      <c r="B46" t="s">
        <v>22</v>
      </c>
      <c r="D46" s="9">
        <v>-50473</v>
      </c>
      <c r="F46" s="9"/>
      <c r="G46" s="254">
        <f t="array" ref="G46">SUM(('Отчет по покупателям УТ'!$J$6:$J$5000='Adj Ageing by Brand'!$B46)*('Отчет по покупателям УТ'!$H$6:$H$5000='Adj Ageing by Brand'!G$8)*('Отчет по покупателям УТ'!$M$6:$M$5000='Adj Ageing by Brand'!$A46)*('Отчет по покупателям УТ'!$K$6:$K$5000))</f>
        <v>0</v>
      </c>
      <c r="H46" s="254">
        <f t="array" ref="H46">SUM(('Отчет по покупателям УТ'!$J$6:$J$5000='Adj Ageing by Brand'!$B46)*('Отчет по покупателям УТ'!$H$6:$H$5000='Adj Ageing by Brand'!H$8)*('Отчет по покупателям УТ'!$M$6:$M$5000='Adj Ageing by Brand'!$A46)*('Отчет по покупателям УТ'!$K$6:$K$5000))</f>
        <v>0</v>
      </c>
      <c r="I46" s="254">
        <f t="array" ref="I46">SUM(('Отчет по покупателям УТ'!$J$6:$J$5000='Adj Ageing by Brand'!$B46)*('Отчет по покупателям УТ'!$H$6:$H$5000='Adj Ageing by Brand'!I$8)*('Отчет по покупателям УТ'!$M$6:$M$5000='Adj Ageing by Brand'!$A46)*('Отчет по покупателям УТ'!$K$6:$K$5000))</f>
        <v>0</v>
      </c>
      <c r="J46" s="254">
        <f t="array" ref="J46">SUM(('Отчет по покупателям УТ'!$J$6:$J$5000='Adj Ageing by Brand'!$B46)*('Отчет по покупателям УТ'!$H$6:$H$5000='Adj Ageing by Brand'!J$8)*('Отчет по покупателям УТ'!$M$6:$M$5000='Adj Ageing by Brand'!$A46)*('Отчет по покупателям УТ'!$K$6:$K$5000))</f>
        <v>0</v>
      </c>
      <c r="K46" s="254">
        <f t="array" ref="K46">SUM(('Отчет по покупателям УТ'!$J$6:$J$5000='Adj Ageing by Brand'!$B46)*('Отчет по покупателям УТ'!$H$6:$H$5000='Adj Ageing by Brand'!K$8)*('Отчет по покупателям УТ'!$M$6:$M$5000='Adj Ageing by Brand'!$A46)*('Отчет по покупателям УТ'!$K$6:$K$5000))</f>
        <v>0</v>
      </c>
      <c r="L46" s="254">
        <f t="array" ref="L46">SUM(('Отчет по покупателям УТ'!$J$6:$J$5000='Adj Ageing by Brand'!$B46)*('Отчет по покупателям УТ'!$H$6:$H$5000='Adj Ageing by Brand'!L$8)*('Отчет по покупателям УТ'!$M$6:$M$5000='Adj Ageing by Brand'!$A46)*('Отчет по покупателям УТ'!$K$6:$K$5000))</f>
        <v>-50473</v>
      </c>
      <c r="M46" s="44">
        <f t="shared" si="19"/>
        <v>-50473</v>
      </c>
      <c r="R46" s="9" t="b">
        <f t="shared" si="15"/>
        <v>1</v>
      </c>
      <c r="S46" s="228">
        <f t="shared" si="20"/>
        <v>0</v>
      </c>
      <c r="T46" s="228">
        <f t="shared" si="21"/>
        <v>-50473</v>
      </c>
      <c r="U46" s="228">
        <f t="shared" si="22"/>
        <v>0</v>
      </c>
      <c r="V46" s="228">
        <f t="shared" si="23"/>
        <v>-50473</v>
      </c>
      <c r="W46" s="228">
        <f t="shared" si="24"/>
        <v>0</v>
      </c>
      <c r="X46" s="228">
        <f t="shared" si="25"/>
        <v>-50473</v>
      </c>
      <c r="Y46" s="228">
        <f t="shared" si="26"/>
        <v>0</v>
      </c>
      <c r="Z46" s="228">
        <f t="shared" si="27"/>
        <v>-50473</v>
      </c>
      <c r="AA46" s="228">
        <f t="shared" si="28"/>
        <v>0</v>
      </c>
      <c r="AB46" s="228">
        <f t="shared" si="29"/>
        <v>-50473</v>
      </c>
      <c r="AC46" s="247">
        <f t="shared" si="17"/>
        <v>-50473</v>
      </c>
      <c r="AD46" s="227">
        <f t="shared" si="18"/>
        <v>0</v>
      </c>
    </row>
    <row r="47" spans="1:30" x14ac:dyDescent="0.2">
      <c r="A47" t="s">
        <v>120</v>
      </c>
      <c r="B47" t="s">
        <v>22</v>
      </c>
      <c r="D47" s="9">
        <v>-82254</v>
      </c>
      <c r="F47" s="9"/>
      <c r="G47" s="254">
        <f t="array" ref="G47">SUM(('Отчет по покупателям УТ'!$J$6:$J$5000='Adj Ageing by Brand'!$B47)*('Отчет по покупателям УТ'!$H$6:$H$5000='Adj Ageing by Brand'!G$8)*('Отчет по покупателям УТ'!$M$6:$M$5000='Adj Ageing by Brand'!$A47)*('Отчет по покупателям УТ'!$K$6:$K$5000))</f>
        <v>0</v>
      </c>
      <c r="H47" s="254">
        <f t="array" ref="H47">SUM(('Отчет по покупателям УТ'!$J$6:$J$5000='Adj Ageing by Brand'!$B47)*('Отчет по покупателям УТ'!$H$6:$H$5000='Adj Ageing by Brand'!H$8)*('Отчет по покупателям УТ'!$M$6:$M$5000='Adj Ageing by Brand'!$A47)*('Отчет по покупателям УТ'!$K$6:$K$5000))</f>
        <v>0</v>
      </c>
      <c r="I47" s="254">
        <f t="array" ref="I47">SUM(('Отчет по покупателям УТ'!$J$6:$J$5000='Adj Ageing by Brand'!$B47)*('Отчет по покупателям УТ'!$H$6:$H$5000='Adj Ageing by Brand'!I$8)*('Отчет по покупателям УТ'!$M$6:$M$5000='Adj Ageing by Brand'!$A47)*('Отчет по покупателям УТ'!$K$6:$K$5000))</f>
        <v>0</v>
      </c>
      <c r="J47" s="254">
        <f t="array" ref="J47">SUM(('Отчет по покупателям УТ'!$J$6:$J$5000='Adj Ageing by Brand'!$B47)*('Отчет по покупателям УТ'!$H$6:$H$5000='Adj Ageing by Brand'!J$8)*('Отчет по покупателям УТ'!$M$6:$M$5000='Adj Ageing by Brand'!$A47)*('Отчет по покупателям УТ'!$K$6:$K$5000))</f>
        <v>0</v>
      </c>
      <c r="K47" s="254">
        <f t="array" ref="K47">SUM(('Отчет по покупателям УТ'!$J$6:$J$5000='Adj Ageing by Brand'!$B47)*('Отчет по покупателям УТ'!$H$6:$H$5000='Adj Ageing by Brand'!K$8)*('Отчет по покупателям УТ'!$M$6:$M$5000='Adj Ageing by Brand'!$A47)*('Отчет по покупателям УТ'!$K$6:$K$5000))</f>
        <v>0</v>
      </c>
      <c r="L47" s="254">
        <f t="array" ref="L47">SUM(('Отчет по покупателям УТ'!$J$6:$J$5000='Adj Ageing by Brand'!$B47)*('Отчет по покупателям УТ'!$H$6:$H$5000='Adj Ageing by Brand'!L$8)*('Отчет по покупателям УТ'!$M$6:$M$5000='Adj Ageing by Brand'!$A47)*('Отчет по покупателям УТ'!$K$6:$K$5000))</f>
        <v>-82254</v>
      </c>
      <c r="M47" s="44">
        <f t="shared" si="19"/>
        <v>-82254</v>
      </c>
      <c r="R47" s="9" t="b">
        <f t="shared" si="15"/>
        <v>1</v>
      </c>
      <c r="S47" s="228">
        <f t="shared" si="20"/>
        <v>0</v>
      </c>
      <c r="T47" s="228">
        <f t="shared" si="21"/>
        <v>-82254</v>
      </c>
      <c r="U47" s="228">
        <f t="shared" si="22"/>
        <v>0</v>
      </c>
      <c r="V47" s="228">
        <f t="shared" si="23"/>
        <v>-82254</v>
      </c>
      <c r="W47" s="228">
        <f t="shared" si="24"/>
        <v>0</v>
      </c>
      <c r="X47" s="228">
        <f t="shared" si="25"/>
        <v>-82254</v>
      </c>
      <c r="Y47" s="228">
        <f t="shared" si="26"/>
        <v>0</v>
      </c>
      <c r="Z47" s="228">
        <f t="shared" si="27"/>
        <v>-82254</v>
      </c>
      <c r="AA47" s="228">
        <f t="shared" si="28"/>
        <v>0</v>
      </c>
      <c r="AB47" s="228">
        <f t="shared" si="29"/>
        <v>-82254</v>
      </c>
      <c r="AC47" s="247">
        <f t="shared" si="17"/>
        <v>-82254</v>
      </c>
      <c r="AD47" s="227">
        <f t="shared" si="18"/>
        <v>0</v>
      </c>
    </row>
    <row r="48" spans="1:30" x14ac:dyDescent="0.2">
      <c r="A48" t="s">
        <v>121</v>
      </c>
      <c r="B48" t="s">
        <v>22</v>
      </c>
      <c r="D48" s="9">
        <v>-1000</v>
      </c>
      <c r="F48" s="9"/>
      <c r="G48" s="254">
        <f t="array" ref="G48">SUM(('Отчет по покупателям УТ'!$J$6:$J$5000='Adj Ageing by Brand'!$B48)*('Отчет по покупателям УТ'!$H$6:$H$5000='Adj Ageing by Brand'!G$8)*('Отчет по покупателям УТ'!$M$6:$M$5000='Adj Ageing by Brand'!$A48)*('Отчет по покупателям УТ'!$K$6:$K$5000))</f>
        <v>0</v>
      </c>
      <c r="H48" s="254">
        <f t="array" ref="H48">SUM(('Отчет по покупателям УТ'!$J$6:$J$5000='Adj Ageing by Brand'!$B48)*('Отчет по покупателям УТ'!$H$6:$H$5000='Adj Ageing by Brand'!H$8)*('Отчет по покупателям УТ'!$M$6:$M$5000='Adj Ageing by Brand'!$A48)*('Отчет по покупателям УТ'!$K$6:$K$5000))</f>
        <v>0</v>
      </c>
      <c r="I48" s="254">
        <f t="array" ref="I48">SUM(('Отчет по покупателям УТ'!$J$6:$J$5000='Adj Ageing by Brand'!$B48)*('Отчет по покупателям УТ'!$H$6:$H$5000='Adj Ageing by Brand'!I$8)*('Отчет по покупателям УТ'!$M$6:$M$5000='Adj Ageing by Brand'!$A48)*('Отчет по покупателям УТ'!$K$6:$K$5000))</f>
        <v>0</v>
      </c>
      <c r="J48" s="254">
        <f t="array" ref="J48">SUM(('Отчет по покупателям УТ'!$J$6:$J$5000='Adj Ageing by Brand'!$B48)*('Отчет по покупателям УТ'!$H$6:$H$5000='Adj Ageing by Brand'!J$8)*('Отчет по покупателям УТ'!$M$6:$M$5000='Adj Ageing by Brand'!$A48)*('Отчет по покупателям УТ'!$K$6:$K$5000))</f>
        <v>0</v>
      </c>
      <c r="K48" s="254">
        <f t="array" ref="K48">SUM(('Отчет по покупателям УТ'!$J$6:$J$5000='Adj Ageing by Brand'!$B48)*('Отчет по покупателям УТ'!$H$6:$H$5000='Adj Ageing by Brand'!K$8)*('Отчет по покупателям УТ'!$M$6:$M$5000='Adj Ageing by Brand'!$A48)*('Отчет по покупателям УТ'!$K$6:$K$5000))</f>
        <v>0</v>
      </c>
      <c r="L48" s="254">
        <f t="array" ref="L48">SUM(('Отчет по покупателям УТ'!$J$6:$J$5000='Adj Ageing by Brand'!$B48)*('Отчет по покупателям УТ'!$H$6:$H$5000='Adj Ageing by Brand'!L$8)*('Отчет по покупателям УТ'!$M$6:$M$5000='Adj Ageing by Brand'!$A48)*('Отчет по покупателям УТ'!$K$6:$K$5000))</f>
        <v>-1000</v>
      </c>
      <c r="M48" s="44">
        <f t="shared" si="19"/>
        <v>-1000</v>
      </c>
      <c r="R48" s="9" t="b">
        <f t="shared" si="15"/>
        <v>1</v>
      </c>
      <c r="S48" s="228">
        <f t="shared" si="20"/>
        <v>0</v>
      </c>
      <c r="T48" s="228">
        <f t="shared" si="21"/>
        <v>-1000</v>
      </c>
      <c r="U48" s="228">
        <f t="shared" si="22"/>
        <v>0</v>
      </c>
      <c r="V48" s="228">
        <f t="shared" si="23"/>
        <v>-1000</v>
      </c>
      <c r="W48" s="228">
        <f t="shared" si="24"/>
        <v>0</v>
      </c>
      <c r="X48" s="228">
        <f t="shared" si="25"/>
        <v>-1000</v>
      </c>
      <c r="Y48" s="228">
        <f t="shared" si="26"/>
        <v>0</v>
      </c>
      <c r="Z48" s="228">
        <f t="shared" si="27"/>
        <v>-1000</v>
      </c>
      <c r="AA48" s="228">
        <f t="shared" si="28"/>
        <v>0</v>
      </c>
      <c r="AB48" s="228">
        <f t="shared" si="29"/>
        <v>-1000</v>
      </c>
      <c r="AC48" s="247">
        <f t="shared" si="17"/>
        <v>-1000</v>
      </c>
      <c r="AD48" s="227">
        <f t="shared" si="18"/>
        <v>0</v>
      </c>
    </row>
    <row r="49" spans="1:30" x14ac:dyDescent="0.2">
      <c r="A49" t="s">
        <v>121</v>
      </c>
      <c r="B49" t="s">
        <v>16</v>
      </c>
      <c r="D49" s="9">
        <v>-56290.6</v>
      </c>
      <c r="F49" s="9"/>
      <c r="G49" s="254">
        <f t="array" ref="G49">SUM(('Отчет по покупателям УТ'!$J$6:$J$5000='Adj Ageing by Brand'!$B49)*('Отчет по покупателям УТ'!$H$6:$H$5000='Adj Ageing by Brand'!G$8)*('Отчет по покупателям УТ'!$M$6:$M$5000='Adj Ageing by Brand'!$A49)*('Отчет по покупателям УТ'!$K$6:$K$5000))</f>
        <v>0</v>
      </c>
      <c r="H49" s="254">
        <f t="array" ref="H49">SUM(('Отчет по покупателям УТ'!$J$6:$J$5000='Adj Ageing by Brand'!$B49)*('Отчет по покупателям УТ'!$H$6:$H$5000='Adj Ageing by Brand'!H$8)*('Отчет по покупателям УТ'!$M$6:$M$5000='Adj Ageing by Brand'!$A49)*('Отчет по покупателям УТ'!$K$6:$K$5000))</f>
        <v>0</v>
      </c>
      <c r="I49" s="254">
        <f t="array" ref="I49">SUM(('Отчет по покупателям УТ'!$J$6:$J$5000='Adj Ageing by Brand'!$B49)*('Отчет по покупателям УТ'!$H$6:$H$5000='Adj Ageing by Brand'!I$8)*('Отчет по покупателям УТ'!$M$6:$M$5000='Adj Ageing by Brand'!$A49)*('Отчет по покупателям УТ'!$K$6:$K$5000))</f>
        <v>0</v>
      </c>
      <c r="J49" s="254">
        <f t="array" ref="J49">SUM(('Отчет по покупателям УТ'!$J$6:$J$5000='Adj Ageing by Brand'!$B49)*('Отчет по покупателям УТ'!$H$6:$H$5000='Adj Ageing by Brand'!J$8)*('Отчет по покупателям УТ'!$M$6:$M$5000='Adj Ageing by Brand'!$A49)*('Отчет по покупателям УТ'!$K$6:$K$5000))</f>
        <v>0</v>
      </c>
      <c r="K49" s="254">
        <f t="array" ref="K49">SUM(('Отчет по покупателям УТ'!$J$6:$J$5000='Adj Ageing by Brand'!$B49)*('Отчет по покупателям УТ'!$H$6:$H$5000='Adj Ageing by Brand'!K$8)*('Отчет по покупателям УТ'!$M$6:$M$5000='Adj Ageing by Brand'!$A49)*('Отчет по покупателям УТ'!$K$6:$K$5000))</f>
        <v>0</v>
      </c>
      <c r="L49" s="254">
        <f t="array" ref="L49">SUM(('Отчет по покупателям УТ'!$J$6:$J$5000='Adj Ageing by Brand'!$B49)*('Отчет по покупателям УТ'!$H$6:$H$5000='Adj Ageing by Brand'!L$8)*('Отчет по покупателям УТ'!$M$6:$M$5000='Adj Ageing by Brand'!$A49)*('Отчет по покупателям УТ'!$K$6:$K$5000))</f>
        <v>-56290.6</v>
      </c>
      <c r="M49" s="44">
        <f t="shared" si="19"/>
        <v>-56290.6</v>
      </c>
      <c r="R49" s="9" t="b">
        <f t="shared" si="15"/>
        <v>1</v>
      </c>
      <c r="S49" s="228">
        <f t="shared" si="20"/>
        <v>0</v>
      </c>
      <c r="T49" s="228">
        <f t="shared" si="21"/>
        <v>-56290.6</v>
      </c>
      <c r="U49" s="228">
        <f t="shared" si="22"/>
        <v>0</v>
      </c>
      <c r="V49" s="228">
        <f t="shared" si="23"/>
        <v>-56290.6</v>
      </c>
      <c r="W49" s="228">
        <f t="shared" si="24"/>
        <v>0</v>
      </c>
      <c r="X49" s="228">
        <f t="shared" si="25"/>
        <v>-56290.6</v>
      </c>
      <c r="Y49" s="228">
        <f t="shared" si="26"/>
        <v>0</v>
      </c>
      <c r="Z49" s="228">
        <f t="shared" si="27"/>
        <v>-56290.6</v>
      </c>
      <c r="AA49" s="228">
        <f t="shared" si="28"/>
        <v>0</v>
      </c>
      <c r="AB49" s="228">
        <f t="shared" si="29"/>
        <v>-56290.6</v>
      </c>
      <c r="AC49" s="247">
        <f t="shared" si="17"/>
        <v>-56290.6</v>
      </c>
      <c r="AD49" s="227">
        <f t="shared" si="18"/>
        <v>0</v>
      </c>
    </row>
    <row r="50" spans="1:30" x14ac:dyDescent="0.2">
      <c r="A50" t="s">
        <v>125</v>
      </c>
      <c r="B50" t="s">
        <v>22</v>
      </c>
      <c r="D50" s="9">
        <v>-1252890</v>
      </c>
      <c r="F50" s="9"/>
      <c r="G50" s="254">
        <f t="array" ref="G50">SUM(('Отчет по покупателям УТ'!$J$6:$J$5000='Adj Ageing by Brand'!$B50)*('Отчет по покупателям УТ'!$H$6:$H$5000='Adj Ageing by Brand'!G$8)*('Отчет по покупателям УТ'!$M$6:$M$5000='Adj Ageing by Brand'!$A50)*('Отчет по покупателям УТ'!$K$6:$K$5000))</f>
        <v>0</v>
      </c>
      <c r="H50" s="254">
        <f t="array" ref="H50">SUM(('Отчет по покупателям УТ'!$J$6:$J$5000='Adj Ageing by Brand'!$B50)*('Отчет по покупателям УТ'!$H$6:$H$5000='Adj Ageing by Brand'!H$8)*('Отчет по покупателям УТ'!$M$6:$M$5000='Adj Ageing by Brand'!$A50)*('Отчет по покупателям УТ'!$K$6:$K$5000))</f>
        <v>0</v>
      </c>
      <c r="I50" s="254">
        <f t="array" ref="I50">SUM(('Отчет по покупателям УТ'!$J$6:$J$5000='Adj Ageing by Brand'!$B50)*('Отчет по покупателям УТ'!$H$6:$H$5000='Adj Ageing by Brand'!I$8)*('Отчет по покупателям УТ'!$M$6:$M$5000='Adj Ageing by Brand'!$A50)*('Отчет по покупателям УТ'!$K$6:$K$5000))</f>
        <v>0</v>
      </c>
      <c r="J50" s="254">
        <f t="array" ref="J50">SUM(('Отчет по покупателям УТ'!$J$6:$J$5000='Adj Ageing by Brand'!$B50)*('Отчет по покупателям УТ'!$H$6:$H$5000='Adj Ageing by Brand'!J$8)*('Отчет по покупателям УТ'!$M$6:$M$5000='Adj Ageing by Brand'!$A50)*('Отчет по покупателям УТ'!$K$6:$K$5000))</f>
        <v>0</v>
      </c>
      <c r="K50" s="254">
        <f t="array" ref="K50">SUM(('Отчет по покупателям УТ'!$J$6:$J$5000='Adj Ageing by Brand'!$B50)*('Отчет по покупателям УТ'!$H$6:$H$5000='Adj Ageing by Brand'!K$8)*('Отчет по покупателям УТ'!$M$6:$M$5000='Adj Ageing by Brand'!$A50)*('Отчет по покупателям УТ'!$K$6:$K$5000))</f>
        <v>0</v>
      </c>
      <c r="L50" s="254">
        <f t="array" ref="L50">SUM(('Отчет по покупателям УТ'!$J$6:$J$5000='Adj Ageing by Brand'!$B50)*('Отчет по покупателям УТ'!$H$6:$H$5000='Adj Ageing by Brand'!L$8)*('Отчет по покупателям УТ'!$M$6:$M$5000='Adj Ageing by Brand'!$A50)*('Отчет по покупателям УТ'!$K$6:$K$5000))</f>
        <v>-1252890</v>
      </c>
      <c r="M50" s="44">
        <f t="shared" si="19"/>
        <v>-1252890</v>
      </c>
      <c r="R50" s="9" t="b">
        <f t="shared" si="15"/>
        <v>1</v>
      </c>
      <c r="S50" s="228">
        <f t="shared" si="20"/>
        <v>0</v>
      </c>
      <c r="T50" s="228">
        <f t="shared" si="21"/>
        <v>-1252890</v>
      </c>
      <c r="U50" s="228">
        <f t="shared" si="22"/>
        <v>0</v>
      </c>
      <c r="V50" s="228">
        <f t="shared" si="23"/>
        <v>-1252890</v>
      </c>
      <c r="W50" s="228">
        <f t="shared" si="24"/>
        <v>0</v>
      </c>
      <c r="X50" s="228">
        <f t="shared" si="25"/>
        <v>-1252890</v>
      </c>
      <c r="Y50" s="228">
        <f t="shared" si="26"/>
        <v>0</v>
      </c>
      <c r="Z50" s="228">
        <f t="shared" si="27"/>
        <v>-1252890</v>
      </c>
      <c r="AA50" s="228">
        <f t="shared" si="28"/>
        <v>0</v>
      </c>
      <c r="AB50" s="228">
        <f t="shared" si="29"/>
        <v>-1252890</v>
      </c>
      <c r="AC50" s="247">
        <f t="shared" si="17"/>
        <v>-1252890</v>
      </c>
      <c r="AD50" s="227">
        <f t="shared" si="18"/>
        <v>0</v>
      </c>
    </row>
    <row r="51" spans="1:30" x14ac:dyDescent="0.2">
      <c r="A51" t="s">
        <v>125</v>
      </c>
      <c r="B51" t="s">
        <v>31</v>
      </c>
      <c r="D51" s="9">
        <v>-366018.33</v>
      </c>
      <c r="F51" s="9"/>
      <c r="G51" s="254">
        <f t="array" ref="G51">SUM(('Отчет по покупателям УТ'!$J$6:$J$5000='Adj Ageing by Brand'!$B51)*('Отчет по покупателям УТ'!$H$6:$H$5000='Adj Ageing by Brand'!G$8)*('Отчет по покупателям УТ'!$M$6:$M$5000='Adj Ageing by Brand'!$A51)*('Отчет по покупателям УТ'!$K$6:$K$5000))</f>
        <v>0</v>
      </c>
      <c r="H51" s="254">
        <f t="array" ref="H51">SUM(('Отчет по покупателям УТ'!$J$6:$J$5000='Adj Ageing by Brand'!$B51)*('Отчет по покупателям УТ'!$H$6:$H$5000='Adj Ageing by Brand'!H$8)*('Отчет по покупателям УТ'!$M$6:$M$5000='Adj Ageing by Brand'!$A51)*('Отчет по покупателям УТ'!$K$6:$K$5000))</f>
        <v>0</v>
      </c>
      <c r="I51" s="254">
        <f t="array" ref="I51">SUM(('Отчет по покупателям УТ'!$J$6:$J$5000='Adj Ageing by Brand'!$B51)*('Отчет по покупателям УТ'!$H$6:$H$5000='Adj Ageing by Brand'!I$8)*('Отчет по покупателям УТ'!$M$6:$M$5000='Adj Ageing by Brand'!$A51)*('Отчет по покупателям УТ'!$K$6:$K$5000))</f>
        <v>0</v>
      </c>
      <c r="J51" s="254">
        <f t="array" ref="J51">SUM(('Отчет по покупателям УТ'!$J$6:$J$5000='Adj Ageing by Brand'!$B51)*('Отчет по покупателям УТ'!$H$6:$H$5000='Adj Ageing by Brand'!J$8)*('Отчет по покупателям УТ'!$M$6:$M$5000='Adj Ageing by Brand'!$A51)*('Отчет по покупателям УТ'!$K$6:$K$5000))</f>
        <v>0</v>
      </c>
      <c r="K51" s="254">
        <f t="array" ref="K51">SUM(('Отчет по покупателям УТ'!$J$6:$J$5000='Adj Ageing by Brand'!$B51)*('Отчет по покупателям УТ'!$H$6:$H$5000='Adj Ageing by Brand'!K$8)*('Отчет по покупателям УТ'!$M$6:$M$5000='Adj Ageing by Brand'!$A51)*('Отчет по покупателям УТ'!$K$6:$K$5000))</f>
        <v>0</v>
      </c>
      <c r="L51" s="254">
        <f t="array" ref="L51">SUM(('Отчет по покупателям УТ'!$J$6:$J$5000='Adj Ageing by Brand'!$B51)*('Отчет по покупателям УТ'!$H$6:$H$5000='Adj Ageing by Brand'!L$8)*('Отчет по покупателям УТ'!$M$6:$M$5000='Adj Ageing by Brand'!$A51)*('Отчет по покупателям УТ'!$K$6:$K$5000))</f>
        <v>-366018.33</v>
      </c>
      <c r="M51" s="44">
        <f t="shared" si="19"/>
        <v>-366018.33</v>
      </c>
      <c r="R51" s="9" t="b">
        <f t="shared" si="15"/>
        <v>1</v>
      </c>
      <c r="S51" s="228">
        <f t="shared" si="20"/>
        <v>0</v>
      </c>
      <c r="T51" s="228">
        <f t="shared" si="21"/>
        <v>-366018.33</v>
      </c>
      <c r="U51" s="228">
        <f t="shared" si="22"/>
        <v>0</v>
      </c>
      <c r="V51" s="228">
        <f t="shared" si="23"/>
        <v>-366018.33</v>
      </c>
      <c r="W51" s="228">
        <f t="shared" si="24"/>
        <v>0</v>
      </c>
      <c r="X51" s="228">
        <f t="shared" si="25"/>
        <v>-366018.33</v>
      </c>
      <c r="Y51" s="228">
        <f t="shared" si="26"/>
        <v>0</v>
      </c>
      <c r="Z51" s="228">
        <f t="shared" si="27"/>
        <v>-366018.33</v>
      </c>
      <c r="AA51" s="228">
        <f t="shared" si="28"/>
        <v>0</v>
      </c>
      <c r="AB51" s="228">
        <f t="shared" si="29"/>
        <v>-366018.33</v>
      </c>
      <c r="AC51" s="247">
        <f t="shared" si="17"/>
        <v>-366018.33</v>
      </c>
      <c r="AD51" s="227">
        <f t="shared" si="18"/>
        <v>0</v>
      </c>
    </row>
    <row r="52" spans="1:30" x14ac:dyDescent="0.2">
      <c r="A52" t="s">
        <v>127</v>
      </c>
      <c r="B52" t="s">
        <v>22</v>
      </c>
      <c r="D52" s="9">
        <v>-7199.46</v>
      </c>
      <c r="F52" s="9"/>
      <c r="G52" s="254">
        <f t="array" ref="G52">SUM(('Отчет по покупателям УТ'!$J$6:$J$5000='Adj Ageing by Brand'!$B52)*('Отчет по покупателям УТ'!$H$6:$H$5000='Adj Ageing by Brand'!G$8)*('Отчет по покупателям УТ'!$M$6:$M$5000='Adj Ageing by Brand'!$A52)*('Отчет по покупателям УТ'!$K$6:$K$5000))</f>
        <v>0</v>
      </c>
      <c r="H52" s="254">
        <f t="array" ref="H52">SUM(('Отчет по покупателям УТ'!$J$6:$J$5000='Adj Ageing by Brand'!$B52)*('Отчет по покупателям УТ'!$H$6:$H$5000='Adj Ageing by Brand'!H$8)*('Отчет по покупателям УТ'!$M$6:$M$5000='Adj Ageing by Brand'!$A52)*('Отчет по покупателям УТ'!$K$6:$K$5000))</f>
        <v>0</v>
      </c>
      <c r="I52" s="254">
        <f t="array" ref="I52">SUM(('Отчет по покупателям УТ'!$J$6:$J$5000='Adj Ageing by Brand'!$B52)*('Отчет по покупателям УТ'!$H$6:$H$5000='Adj Ageing by Brand'!I$8)*('Отчет по покупателям УТ'!$M$6:$M$5000='Adj Ageing by Brand'!$A52)*('Отчет по покупателям УТ'!$K$6:$K$5000))</f>
        <v>0</v>
      </c>
      <c r="J52" s="254">
        <f t="array" ref="J52">SUM(('Отчет по покупателям УТ'!$J$6:$J$5000='Adj Ageing by Brand'!$B52)*('Отчет по покупателям УТ'!$H$6:$H$5000='Adj Ageing by Brand'!J$8)*('Отчет по покупателям УТ'!$M$6:$M$5000='Adj Ageing by Brand'!$A52)*('Отчет по покупателям УТ'!$K$6:$K$5000))</f>
        <v>0</v>
      </c>
      <c r="K52" s="254">
        <f t="array" ref="K52">SUM(('Отчет по покупателям УТ'!$J$6:$J$5000='Adj Ageing by Brand'!$B52)*('Отчет по покупателям УТ'!$H$6:$H$5000='Adj Ageing by Brand'!K$8)*('Отчет по покупателям УТ'!$M$6:$M$5000='Adj Ageing by Brand'!$A52)*('Отчет по покупателям УТ'!$K$6:$K$5000))</f>
        <v>0</v>
      </c>
      <c r="L52" s="254">
        <f t="array" ref="L52">SUM(('Отчет по покупателям УТ'!$J$6:$J$5000='Adj Ageing by Brand'!$B52)*('Отчет по покупателям УТ'!$H$6:$H$5000='Adj Ageing by Brand'!L$8)*('Отчет по покупателям УТ'!$M$6:$M$5000='Adj Ageing by Brand'!$A52)*('Отчет по покупателям УТ'!$K$6:$K$5000))</f>
        <v>-7199.46</v>
      </c>
      <c r="M52" s="44">
        <f t="shared" si="19"/>
        <v>-7199.46</v>
      </c>
      <c r="R52" s="9" t="b">
        <f t="shared" si="15"/>
        <v>1</v>
      </c>
      <c r="S52" s="228">
        <f t="shared" si="20"/>
        <v>0</v>
      </c>
      <c r="T52" s="228">
        <f t="shared" si="21"/>
        <v>-7199.46</v>
      </c>
      <c r="U52" s="228">
        <f t="shared" si="22"/>
        <v>0</v>
      </c>
      <c r="V52" s="228">
        <f t="shared" si="23"/>
        <v>-7199.46</v>
      </c>
      <c r="W52" s="228">
        <f t="shared" si="24"/>
        <v>0</v>
      </c>
      <c r="X52" s="228">
        <f t="shared" si="25"/>
        <v>-7199.46</v>
      </c>
      <c r="Y52" s="228">
        <f t="shared" si="26"/>
        <v>0</v>
      </c>
      <c r="Z52" s="228">
        <f t="shared" si="27"/>
        <v>-7199.46</v>
      </c>
      <c r="AA52" s="228">
        <f t="shared" si="28"/>
        <v>0</v>
      </c>
      <c r="AB52" s="228">
        <f t="shared" si="29"/>
        <v>-7199.46</v>
      </c>
      <c r="AC52" s="247">
        <f t="shared" si="17"/>
        <v>-7199.46</v>
      </c>
      <c r="AD52" s="227">
        <f t="shared" si="18"/>
        <v>0</v>
      </c>
    </row>
    <row r="53" spans="1:30" x14ac:dyDescent="0.2">
      <c r="A53" t="s">
        <v>130</v>
      </c>
      <c r="B53" t="s">
        <v>23</v>
      </c>
      <c r="D53" s="9">
        <v>-9548</v>
      </c>
      <c r="F53" s="9"/>
      <c r="G53" s="254">
        <f t="array" ref="G53">SUM(('Отчет по покупателям УТ'!$J$6:$J$5000='Adj Ageing by Brand'!$B53)*('Отчет по покупателям УТ'!$H$6:$H$5000='Adj Ageing by Brand'!G$8)*('Отчет по покупателям УТ'!$M$6:$M$5000='Adj Ageing by Brand'!$A53)*('Отчет по покупателям УТ'!$K$6:$K$5000))</f>
        <v>0</v>
      </c>
      <c r="H53" s="254">
        <f t="array" ref="H53">SUM(('Отчет по покупателям УТ'!$J$6:$J$5000='Adj Ageing by Brand'!$B53)*('Отчет по покупателям УТ'!$H$6:$H$5000='Adj Ageing by Brand'!H$8)*('Отчет по покупателям УТ'!$M$6:$M$5000='Adj Ageing by Brand'!$A53)*('Отчет по покупателям УТ'!$K$6:$K$5000))</f>
        <v>0</v>
      </c>
      <c r="I53" s="254">
        <f t="array" ref="I53">SUM(('Отчет по покупателям УТ'!$J$6:$J$5000='Adj Ageing by Brand'!$B53)*('Отчет по покупателям УТ'!$H$6:$H$5000='Adj Ageing by Brand'!I$8)*('Отчет по покупателям УТ'!$M$6:$M$5000='Adj Ageing by Brand'!$A53)*('Отчет по покупателям УТ'!$K$6:$K$5000))</f>
        <v>0</v>
      </c>
      <c r="J53" s="254">
        <f t="array" ref="J53">SUM(('Отчет по покупателям УТ'!$J$6:$J$5000='Adj Ageing by Brand'!$B53)*('Отчет по покупателям УТ'!$H$6:$H$5000='Adj Ageing by Brand'!J$8)*('Отчет по покупателям УТ'!$M$6:$M$5000='Adj Ageing by Brand'!$A53)*('Отчет по покупателям УТ'!$K$6:$K$5000))</f>
        <v>0</v>
      </c>
      <c r="K53" s="254">
        <f t="array" ref="K53">SUM(('Отчет по покупателям УТ'!$J$6:$J$5000='Adj Ageing by Brand'!$B53)*('Отчет по покупателям УТ'!$H$6:$H$5000='Adj Ageing by Brand'!K$8)*('Отчет по покупателям УТ'!$M$6:$M$5000='Adj Ageing by Brand'!$A53)*('Отчет по покупателям УТ'!$K$6:$K$5000))</f>
        <v>0</v>
      </c>
      <c r="L53" s="254">
        <f t="array" ref="L53">SUM(('Отчет по покупателям УТ'!$J$6:$J$5000='Adj Ageing by Brand'!$B53)*('Отчет по покупателям УТ'!$H$6:$H$5000='Adj Ageing by Brand'!L$8)*('Отчет по покупателям УТ'!$M$6:$M$5000='Adj Ageing by Brand'!$A53)*('Отчет по покупателям УТ'!$K$6:$K$5000))</f>
        <v>-9548</v>
      </c>
      <c r="M53" s="44">
        <f t="shared" si="19"/>
        <v>-9548</v>
      </c>
      <c r="R53" s="9" t="b">
        <f t="shared" si="15"/>
        <v>1</v>
      </c>
      <c r="S53" s="228">
        <f t="shared" si="20"/>
        <v>0</v>
      </c>
      <c r="T53" s="228">
        <f t="shared" si="21"/>
        <v>-9548</v>
      </c>
      <c r="U53" s="228">
        <f t="shared" si="22"/>
        <v>0</v>
      </c>
      <c r="V53" s="228">
        <f t="shared" si="23"/>
        <v>-9548</v>
      </c>
      <c r="W53" s="228">
        <f t="shared" si="24"/>
        <v>0</v>
      </c>
      <c r="X53" s="228">
        <f t="shared" si="25"/>
        <v>-9548</v>
      </c>
      <c r="Y53" s="228">
        <f t="shared" si="26"/>
        <v>0</v>
      </c>
      <c r="Z53" s="228">
        <f t="shared" si="27"/>
        <v>-9548</v>
      </c>
      <c r="AA53" s="228">
        <f t="shared" si="28"/>
        <v>0</v>
      </c>
      <c r="AB53" s="228">
        <f t="shared" si="29"/>
        <v>-9548</v>
      </c>
      <c r="AC53" s="247">
        <f t="shared" si="17"/>
        <v>-9548</v>
      </c>
      <c r="AD53" s="227">
        <f t="shared" si="18"/>
        <v>0</v>
      </c>
    </row>
    <row r="54" spans="1:30" x14ac:dyDescent="0.2">
      <c r="A54" t="s">
        <v>133</v>
      </c>
      <c r="B54" t="s">
        <v>22</v>
      </c>
      <c r="D54" s="9">
        <v>-255220.18</v>
      </c>
      <c r="F54" s="9"/>
      <c r="G54" s="254">
        <f t="array" ref="G54">SUM(('Отчет по покупателям УТ'!$J$6:$J$5000='Adj Ageing by Brand'!$B54)*('Отчет по покупателям УТ'!$H$6:$H$5000='Adj Ageing by Brand'!G$8)*('Отчет по покупателям УТ'!$M$6:$M$5000='Adj Ageing by Brand'!$A54)*('Отчет по покупателям УТ'!$K$6:$K$5000))</f>
        <v>0</v>
      </c>
      <c r="H54" s="254">
        <f t="array" ref="H54">SUM(('Отчет по покупателям УТ'!$J$6:$J$5000='Adj Ageing by Brand'!$B54)*('Отчет по покупателям УТ'!$H$6:$H$5000='Adj Ageing by Brand'!H$8)*('Отчет по покупателям УТ'!$M$6:$M$5000='Adj Ageing by Brand'!$A54)*('Отчет по покупателям УТ'!$K$6:$K$5000))</f>
        <v>0</v>
      </c>
      <c r="I54" s="254">
        <f t="array" ref="I54">SUM(('Отчет по покупателям УТ'!$J$6:$J$5000='Adj Ageing by Brand'!$B54)*('Отчет по покупателям УТ'!$H$6:$H$5000='Adj Ageing by Brand'!I$8)*('Отчет по покупателям УТ'!$M$6:$M$5000='Adj Ageing by Brand'!$A54)*('Отчет по покупателям УТ'!$K$6:$K$5000))</f>
        <v>0</v>
      </c>
      <c r="J54" s="254">
        <f t="array" ref="J54">SUM(('Отчет по покупателям УТ'!$J$6:$J$5000='Adj Ageing by Brand'!$B54)*('Отчет по покупателям УТ'!$H$6:$H$5000='Adj Ageing by Brand'!J$8)*('Отчет по покупателям УТ'!$M$6:$M$5000='Adj Ageing by Brand'!$A54)*('Отчет по покупателям УТ'!$K$6:$K$5000))</f>
        <v>0</v>
      </c>
      <c r="K54" s="254">
        <f t="array" ref="K54">SUM(('Отчет по покупателям УТ'!$J$6:$J$5000='Adj Ageing by Brand'!$B54)*('Отчет по покупателям УТ'!$H$6:$H$5000='Adj Ageing by Brand'!K$8)*('Отчет по покупателям УТ'!$M$6:$M$5000='Adj Ageing by Brand'!$A54)*('Отчет по покупателям УТ'!$K$6:$K$5000))</f>
        <v>0</v>
      </c>
      <c r="L54" s="254">
        <f t="array" ref="L54">SUM(('Отчет по покупателям УТ'!$J$6:$J$5000='Adj Ageing by Brand'!$B54)*('Отчет по покупателям УТ'!$H$6:$H$5000='Adj Ageing by Brand'!L$8)*('Отчет по покупателям УТ'!$M$6:$M$5000='Adj Ageing by Brand'!$A54)*('Отчет по покупателям УТ'!$K$6:$K$5000))</f>
        <v>-255220.18</v>
      </c>
      <c r="M54" s="44">
        <f t="shared" si="19"/>
        <v>-255220.18</v>
      </c>
      <c r="R54" s="9" t="b">
        <f t="shared" si="15"/>
        <v>1</v>
      </c>
      <c r="S54" s="228">
        <f t="shared" si="20"/>
        <v>0</v>
      </c>
      <c r="T54" s="228">
        <f t="shared" si="21"/>
        <v>-255220.18</v>
      </c>
      <c r="U54" s="228">
        <f t="shared" si="22"/>
        <v>0</v>
      </c>
      <c r="V54" s="228">
        <f t="shared" si="23"/>
        <v>-255220.18</v>
      </c>
      <c r="W54" s="228">
        <f t="shared" si="24"/>
        <v>0</v>
      </c>
      <c r="X54" s="228">
        <f t="shared" si="25"/>
        <v>-255220.18</v>
      </c>
      <c r="Y54" s="228">
        <f t="shared" si="26"/>
        <v>0</v>
      </c>
      <c r="Z54" s="228">
        <f t="shared" si="27"/>
        <v>-255220.18</v>
      </c>
      <c r="AA54" s="228">
        <f t="shared" si="28"/>
        <v>0</v>
      </c>
      <c r="AB54" s="228">
        <f t="shared" si="29"/>
        <v>-255220.18</v>
      </c>
      <c r="AC54" s="247">
        <f t="shared" si="17"/>
        <v>-255220.18</v>
      </c>
      <c r="AD54" s="227">
        <f t="shared" si="18"/>
        <v>0</v>
      </c>
    </row>
    <row r="55" spans="1:30" x14ac:dyDescent="0.2">
      <c r="A55" t="s">
        <v>134</v>
      </c>
      <c r="B55" t="s">
        <v>22</v>
      </c>
      <c r="D55" s="9">
        <v>-10</v>
      </c>
      <c r="F55" s="9"/>
      <c r="G55" s="254">
        <f t="array" ref="G55">SUM(('Отчет по покупателям УТ'!$J$6:$J$5000='Adj Ageing by Brand'!$B55)*('Отчет по покупателям УТ'!$H$6:$H$5000='Adj Ageing by Brand'!G$8)*('Отчет по покупателям УТ'!$M$6:$M$5000='Adj Ageing by Brand'!$A55)*('Отчет по покупателям УТ'!$K$6:$K$5000))</f>
        <v>0</v>
      </c>
      <c r="H55" s="254">
        <f t="array" ref="H55">SUM(('Отчет по покупателям УТ'!$J$6:$J$5000='Adj Ageing by Brand'!$B55)*('Отчет по покупателям УТ'!$H$6:$H$5000='Adj Ageing by Brand'!H$8)*('Отчет по покупателям УТ'!$M$6:$M$5000='Adj Ageing by Brand'!$A55)*('Отчет по покупателям УТ'!$K$6:$K$5000))</f>
        <v>0</v>
      </c>
      <c r="I55" s="254">
        <f t="array" ref="I55">SUM(('Отчет по покупателям УТ'!$J$6:$J$5000='Adj Ageing by Brand'!$B55)*('Отчет по покупателям УТ'!$H$6:$H$5000='Adj Ageing by Brand'!I$8)*('Отчет по покупателям УТ'!$M$6:$M$5000='Adj Ageing by Brand'!$A55)*('Отчет по покупателям УТ'!$K$6:$K$5000))</f>
        <v>0</v>
      </c>
      <c r="J55" s="254">
        <f t="array" ref="J55">SUM(('Отчет по покупателям УТ'!$J$6:$J$5000='Adj Ageing by Brand'!$B55)*('Отчет по покупателям УТ'!$H$6:$H$5000='Adj Ageing by Brand'!J$8)*('Отчет по покупателям УТ'!$M$6:$M$5000='Adj Ageing by Brand'!$A55)*('Отчет по покупателям УТ'!$K$6:$K$5000))</f>
        <v>0</v>
      </c>
      <c r="K55" s="254">
        <f t="array" ref="K55">SUM(('Отчет по покупателям УТ'!$J$6:$J$5000='Adj Ageing by Brand'!$B55)*('Отчет по покупателям УТ'!$H$6:$H$5000='Adj Ageing by Brand'!K$8)*('Отчет по покупателям УТ'!$M$6:$M$5000='Adj Ageing by Brand'!$A55)*('Отчет по покупателям УТ'!$K$6:$K$5000))</f>
        <v>0</v>
      </c>
      <c r="L55" s="254">
        <f t="array" ref="L55">SUM(('Отчет по покупателям УТ'!$J$6:$J$5000='Adj Ageing by Brand'!$B55)*('Отчет по покупателям УТ'!$H$6:$H$5000='Adj Ageing by Brand'!L$8)*('Отчет по покупателям УТ'!$M$6:$M$5000='Adj Ageing by Brand'!$A55)*('Отчет по покупателям УТ'!$K$6:$K$5000))</f>
        <v>-10</v>
      </c>
      <c r="M55" s="44">
        <f t="shared" si="19"/>
        <v>-10</v>
      </c>
      <c r="R55" s="9" t="b">
        <f t="shared" si="15"/>
        <v>1</v>
      </c>
      <c r="S55" s="228">
        <f t="shared" si="20"/>
        <v>0</v>
      </c>
      <c r="T55" s="228">
        <f t="shared" si="21"/>
        <v>-10</v>
      </c>
      <c r="U55" s="228">
        <f t="shared" si="22"/>
        <v>0</v>
      </c>
      <c r="V55" s="228">
        <f t="shared" si="23"/>
        <v>-10</v>
      </c>
      <c r="W55" s="228">
        <f t="shared" si="24"/>
        <v>0</v>
      </c>
      <c r="X55" s="228">
        <f t="shared" si="25"/>
        <v>-10</v>
      </c>
      <c r="Y55" s="228">
        <f t="shared" si="26"/>
        <v>0</v>
      </c>
      <c r="Z55" s="228">
        <f t="shared" si="27"/>
        <v>-10</v>
      </c>
      <c r="AA55" s="228">
        <f t="shared" si="28"/>
        <v>0</v>
      </c>
      <c r="AB55" s="228">
        <f t="shared" si="29"/>
        <v>-10</v>
      </c>
      <c r="AC55" s="247">
        <f t="shared" si="17"/>
        <v>-10</v>
      </c>
      <c r="AD55" s="227">
        <f t="shared" si="18"/>
        <v>0</v>
      </c>
    </row>
    <row r="56" spans="1:30" x14ac:dyDescent="0.2">
      <c r="A56" t="s">
        <v>134</v>
      </c>
      <c r="B56" t="s">
        <v>16</v>
      </c>
      <c r="D56" s="9">
        <v>-10188</v>
      </c>
      <c r="F56" s="9"/>
      <c r="G56" s="254">
        <f t="array" ref="G56">SUM(('Отчет по покупателям УТ'!$J$6:$J$5000='Adj Ageing by Brand'!$B56)*('Отчет по покупателям УТ'!$H$6:$H$5000='Adj Ageing by Brand'!G$8)*('Отчет по покупателям УТ'!$M$6:$M$5000='Adj Ageing by Brand'!$A56)*('Отчет по покупателям УТ'!$K$6:$K$5000))</f>
        <v>0</v>
      </c>
      <c r="H56" s="254">
        <f t="array" ref="H56">SUM(('Отчет по покупателям УТ'!$J$6:$J$5000='Adj Ageing by Brand'!$B56)*('Отчет по покупателям УТ'!$H$6:$H$5000='Adj Ageing by Brand'!H$8)*('Отчет по покупателям УТ'!$M$6:$M$5000='Adj Ageing by Brand'!$A56)*('Отчет по покупателям УТ'!$K$6:$K$5000))</f>
        <v>0</v>
      </c>
      <c r="I56" s="254">
        <f t="array" ref="I56">SUM(('Отчет по покупателям УТ'!$J$6:$J$5000='Adj Ageing by Brand'!$B56)*('Отчет по покупателям УТ'!$H$6:$H$5000='Adj Ageing by Brand'!I$8)*('Отчет по покупателям УТ'!$M$6:$M$5000='Adj Ageing by Brand'!$A56)*('Отчет по покупателям УТ'!$K$6:$K$5000))</f>
        <v>0</v>
      </c>
      <c r="J56" s="254">
        <f t="array" ref="J56">SUM(('Отчет по покупателям УТ'!$J$6:$J$5000='Adj Ageing by Brand'!$B56)*('Отчет по покупателям УТ'!$H$6:$H$5000='Adj Ageing by Brand'!J$8)*('Отчет по покупателям УТ'!$M$6:$M$5000='Adj Ageing by Brand'!$A56)*('Отчет по покупателям УТ'!$K$6:$K$5000))</f>
        <v>0</v>
      </c>
      <c r="K56" s="254">
        <f t="array" ref="K56">SUM(('Отчет по покупателям УТ'!$J$6:$J$5000='Adj Ageing by Brand'!$B56)*('Отчет по покупателям УТ'!$H$6:$H$5000='Adj Ageing by Brand'!K$8)*('Отчет по покупателям УТ'!$M$6:$M$5000='Adj Ageing by Brand'!$A56)*('Отчет по покупателям УТ'!$K$6:$K$5000))</f>
        <v>0</v>
      </c>
      <c r="L56" s="254">
        <f t="array" ref="L56">SUM(('Отчет по покупателям УТ'!$J$6:$J$5000='Adj Ageing by Brand'!$B56)*('Отчет по покупателям УТ'!$H$6:$H$5000='Adj Ageing by Brand'!L$8)*('Отчет по покупателям УТ'!$M$6:$M$5000='Adj Ageing by Brand'!$A56)*('Отчет по покупателям УТ'!$K$6:$K$5000))</f>
        <v>-10188</v>
      </c>
      <c r="M56" s="44">
        <f t="shared" si="19"/>
        <v>-10188</v>
      </c>
      <c r="R56" s="9" t="b">
        <f t="shared" si="15"/>
        <v>1</v>
      </c>
      <c r="S56" s="228">
        <f t="shared" si="20"/>
        <v>0</v>
      </c>
      <c r="T56" s="228">
        <f t="shared" si="21"/>
        <v>-10188</v>
      </c>
      <c r="U56" s="228">
        <f t="shared" si="22"/>
        <v>0</v>
      </c>
      <c r="V56" s="228">
        <f t="shared" si="23"/>
        <v>-10188</v>
      </c>
      <c r="W56" s="228">
        <f t="shared" si="24"/>
        <v>0</v>
      </c>
      <c r="X56" s="228">
        <f t="shared" si="25"/>
        <v>-10188</v>
      </c>
      <c r="Y56" s="228">
        <f t="shared" si="26"/>
        <v>0</v>
      </c>
      <c r="Z56" s="228">
        <f t="shared" si="27"/>
        <v>-10188</v>
      </c>
      <c r="AA56" s="228">
        <f t="shared" si="28"/>
        <v>0</v>
      </c>
      <c r="AB56" s="228">
        <f t="shared" si="29"/>
        <v>-10188</v>
      </c>
      <c r="AC56" s="247">
        <f t="shared" si="17"/>
        <v>-10188</v>
      </c>
      <c r="AD56" s="227">
        <f t="shared" si="18"/>
        <v>0</v>
      </c>
    </row>
    <row r="57" spans="1:30" x14ac:dyDescent="0.2">
      <c r="A57" t="s">
        <v>135</v>
      </c>
      <c r="B57" t="s">
        <v>22</v>
      </c>
      <c r="D57" s="9">
        <v>-73000</v>
      </c>
      <c r="F57" s="9"/>
      <c r="G57" s="254">
        <f t="array" ref="G57">SUM(('Отчет по покупателям УТ'!$J$6:$J$5000='Adj Ageing by Brand'!$B57)*('Отчет по покупателям УТ'!$H$6:$H$5000='Adj Ageing by Brand'!G$8)*('Отчет по покупателям УТ'!$M$6:$M$5000='Adj Ageing by Brand'!$A57)*('Отчет по покупателям УТ'!$K$6:$K$5000))</f>
        <v>0</v>
      </c>
      <c r="H57" s="254">
        <f t="array" ref="H57">SUM(('Отчет по покупателям УТ'!$J$6:$J$5000='Adj Ageing by Brand'!$B57)*('Отчет по покупателям УТ'!$H$6:$H$5000='Adj Ageing by Brand'!H$8)*('Отчет по покупателям УТ'!$M$6:$M$5000='Adj Ageing by Brand'!$A57)*('Отчет по покупателям УТ'!$K$6:$K$5000))</f>
        <v>0</v>
      </c>
      <c r="I57" s="254">
        <f t="array" ref="I57">SUM(('Отчет по покупателям УТ'!$J$6:$J$5000='Adj Ageing by Brand'!$B57)*('Отчет по покупателям УТ'!$H$6:$H$5000='Adj Ageing by Brand'!I$8)*('Отчет по покупателям УТ'!$M$6:$M$5000='Adj Ageing by Brand'!$A57)*('Отчет по покупателям УТ'!$K$6:$K$5000))</f>
        <v>0</v>
      </c>
      <c r="J57" s="254">
        <f t="array" ref="J57">SUM(('Отчет по покупателям УТ'!$J$6:$J$5000='Adj Ageing by Brand'!$B57)*('Отчет по покупателям УТ'!$H$6:$H$5000='Adj Ageing by Brand'!J$8)*('Отчет по покупателям УТ'!$M$6:$M$5000='Adj Ageing by Brand'!$A57)*('Отчет по покупателям УТ'!$K$6:$K$5000))</f>
        <v>0</v>
      </c>
      <c r="K57" s="254">
        <f t="array" ref="K57">SUM(('Отчет по покупателям УТ'!$J$6:$J$5000='Adj Ageing by Brand'!$B57)*('Отчет по покупателям УТ'!$H$6:$H$5000='Adj Ageing by Brand'!K$8)*('Отчет по покупателям УТ'!$M$6:$M$5000='Adj Ageing by Brand'!$A57)*('Отчет по покупателям УТ'!$K$6:$K$5000))</f>
        <v>0</v>
      </c>
      <c r="L57" s="254">
        <f t="array" ref="L57">SUM(('Отчет по покупателям УТ'!$J$6:$J$5000='Adj Ageing by Brand'!$B57)*('Отчет по покупателям УТ'!$H$6:$H$5000='Adj Ageing by Brand'!L$8)*('Отчет по покупателям УТ'!$M$6:$M$5000='Adj Ageing by Brand'!$A57)*('Отчет по покупателям УТ'!$K$6:$K$5000))</f>
        <v>-73000</v>
      </c>
      <c r="M57" s="44">
        <f t="shared" si="19"/>
        <v>-73000</v>
      </c>
      <c r="R57" s="9" t="b">
        <f t="shared" si="15"/>
        <v>1</v>
      </c>
      <c r="S57" s="228">
        <f>IF(G57+T57&lt;0,0,G57+T57)</f>
        <v>0</v>
      </c>
      <c r="T57" s="228">
        <f t="shared" si="21"/>
        <v>-73000</v>
      </c>
      <c r="U57" s="228">
        <f t="shared" si="22"/>
        <v>0</v>
      </c>
      <c r="V57" s="228">
        <f t="shared" si="23"/>
        <v>-73000</v>
      </c>
      <c r="W57" s="228">
        <f t="shared" si="24"/>
        <v>0</v>
      </c>
      <c r="X57" s="228">
        <f t="shared" si="25"/>
        <v>-73000</v>
      </c>
      <c r="Y57" s="228">
        <f t="shared" si="26"/>
        <v>0</v>
      </c>
      <c r="Z57" s="228">
        <f t="shared" si="27"/>
        <v>-73000</v>
      </c>
      <c r="AA57" s="228">
        <f t="shared" si="28"/>
        <v>0</v>
      </c>
      <c r="AB57" s="228">
        <f t="shared" si="29"/>
        <v>-73000</v>
      </c>
      <c r="AC57" s="247">
        <f t="shared" si="17"/>
        <v>-73000</v>
      </c>
      <c r="AD57" s="227">
        <f t="shared" si="18"/>
        <v>0</v>
      </c>
    </row>
    <row r="58" spans="1:30" x14ac:dyDescent="0.2">
      <c r="A58" t="s">
        <v>137</v>
      </c>
      <c r="B58" t="s">
        <v>22</v>
      </c>
      <c r="D58" s="9">
        <v>-134160.04999999999</v>
      </c>
      <c r="F58" s="9"/>
      <c r="G58" s="254">
        <f t="array" ref="G58">SUM(('Отчет по покупателям УТ'!$J$6:$J$5000='Adj Ageing by Brand'!$B58)*('Отчет по покупателям УТ'!$H$6:$H$5000='Adj Ageing by Brand'!G$8)*('Отчет по покупателям УТ'!$M$6:$M$5000='Adj Ageing by Brand'!$A58)*('Отчет по покупателям УТ'!$K$6:$K$5000))</f>
        <v>0</v>
      </c>
      <c r="H58" s="254">
        <f t="array" ref="H58">SUM(('Отчет по покупателям УТ'!$J$6:$J$5000='Adj Ageing by Brand'!$B58)*('Отчет по покупателям УТ'!$H$6:$H$5000='Adj Ageing by Brand'!H$8)*('Отчет по покупателям УТ'!$M$6:$M$5000='Adj Ageing by Brand'!$A58)*('Отчет по покупателям УТ'!$K$6:$K$5000))</f>
        <v>0</v>
      </c>
      <c r="I58" s="254">
        <f t="array" ref="I58">SUM(('Отчет по покупателям УТ'!$J$6:$J$5000='Adj Ageing by Brand'!$B58)*('Отчет по покупателям УТ'!$H$6:$H$5000='Adj Ageing by Brand'!I$8)*('Отчет по покупателям УТ'!$M$6:$M$5000='Adj Ageing by Brand'!$A58)*('Отчет по покупателям УТ'!$K$6:$K$5000))</f>
        <v>0</v>
      </c>
      <c r="J58" s="254">
        <f t="array" ref="J58">SUM(('Отчет по покупателям УТ'!$J$6:$J$5000='Adj Ageing by Brand'!$B58)*('Отчет по покупателям УТ'!$H$6:$H$5000='Adj Ageing by Brand'!J$8)*('Отчет по покупателям УТ'!$M$6:$M$5000='Adj Ageing by Brand'!$A58)*('Отчет по покупателям УТ'!$K$6:$K$5000))</f>
        <v>0</v>
      </c>
      <c r="K58" s="254">
        <f t="array" ref="K58">SUM(('Отчет по покупателям УТ'!$J$6:$J$5000='Adj Ageing by Brand'!$B58)*('Отчет по покупателям УТ'!$H$6:$H$5000='Adj Ageing by Brand'!K$8)*('Отчет по покупателям УТ'!$M$6:$M$5000='Adj Ageing by Brand'!$A58)*('Отчет по покупателям УТ'!$K$6:$K$5000))</f>
        <v>0</v>
      </c>
      <c r="L58" s="254">
        <f t="array" ref="L58">SUM(('Отчет по покупателям УТ'!$J$6:$J$5000='Adj Ageing by Brand'!$B58)*('Отчет по покупателям УТ'!$H$6:$H$5000='Adj Ageing by Brand'!L$8)*('Отчет по покупателям УТ'!$M$6:$M$5000='Adj Ageing by Brand'!$A58)*('Отчет по покупателям УТ'!$K$6:$K$5000))</f>
        <v>-134160.04999999999</v>
      </c>
      <c r="M58" s="44">
        <f t="shared" si="19"/>
        <v>-134160.04999999999</v>
      </c>
      <c r="R58" s="9" t="b">
        <f t="shared" si="15"/>
        <v>1</v>
      </c>
      <c r="S58" s="228">
        <f t="shared" si="20"/>
        <v>0</v>
      </c>
      <c r="T58" s="228">
        <f t="shared" si="21"/>
        <v>-134160.04999999999</v>
      </c>
      <c r="U58" s="228">
        <f t="shared" si="22"/>
        <v>0</v>
      </c>
      <c r="V58" s="228">
        <f t="shared" si="23"/>
        <v>-134160.04999999999</v>
      </c>
      <c r="W58" s="228">
        <f t="shared" si="24"/>
        <v>0</v>
      </c>
      <c r="X58" s="228">
        <f t="shared" si="25"/>
        <v>-134160.04999999999</v>
      </c>
      <c r="Y58" s="228">
        <f t="shared" si="26"/>
        <v>0</v>
      </c>
      <c r="Z58" s="228">
        <f t="shared" si="27"/>
        <v>-134160.04999999999</v>
      </c>
      <c r="AA58" s="228">
        <f t="shared" si="28"/>
        <v>0</v>
      </c>
      <c r="AB58" s="228">
        <f t="shared" si="29"/>
        <v>-134160.04999999999</v>
      </c>
      <c r="AC58" s="247">
        <f t="shared" si="17"/>
        <v>-134160.04999999999</v>
      </c>
      <c r="AD58" s="227">
        <f t="shared" si="18"/>
        <v>0</v>
      </c>
    </row>
    <row r="59" spans="1:30" x14ac:dyDescent="0.2">
      <c r="A59" t="s">
        <v>140</v>
      </c>
      <c r="B59" t="s">
        <v>31</v>
      </c>
      <c r="D59" s="9">
        <v>-625.94000000000005</v>
      </c>
      <c r="F59" s="9"/>
      <c r="G59" s="254">
        <f t="array" ref="G59">SUM(('Отчет по покупателям УТ'!$J$6:$J$5000='Adj Ageing by Brand'!$B59)*('Отчет по покупателям УТ'!$H$6:$H$5000='Adj Ageing by Brand'!G$8)*('Отчет по покупателям УТ'!$M$6:$M$5000='Adj Ageing by Brand'!$A59)*('Отчет по покупателям УТ'!$K$6:$K$5000))</f>
        <v>0</v>
      </c>
      <c r="H59" s="254">
        <f t="array" ref="H59">SUM(('Отчет по покупателям УТ'!$J$6:$J$5000='Adj Ageing by Brand'!$B59)*('Отчет по покупателям УТ'!$H$6:$H$5000='Adj Ageing by Brand'!H$8)*('Отчет по покупателям УТ'!$M$6:$M$5000='Adj Ageing by Brand'!$A59)*('Отчет по покупателям УТ'!$K$6:$K$5000))</f>
        <v>0</v>
      </c>
      <c r="I59" s="254">
        <f t="array" ref="I59">SUM(('Отчет по покупателям УТ'!$J$6:$J$5000='Adj Ageing by Brand'!$B59)*('Отчет по покупателям УТ'!$H$6:$H$5000='Adj Ageing by Brand'!I$8)*('Отчет по покупателям УТ'!$M$6:$M$5000='Adj Ageing by Brand'!$A59)*('Отчет по покупателям УТ'!$K$6:$K$5000))</f>
        <v>0</v>
      </c>
      <c r="J59" s="254">
        <f t="array" ref="J59">SUM(('Отчет по покупателям УТ'!$J$6:$J$5000='Adj Ageing by Brand'!$B59)*('Отчет по покупателям УТ'!$H$6:$H$5000='Adj Ageing by Brand'!J$8)*('Отчет по покупателям УТ'!$M$6:$M$5000='Adj Ageing by Brand'!$A59)*('Отчет по покупателям УТ'!$K$6:$K$5000))</f>
        <v>0</v>
      </c>
      <c r="K59" s="254">
        <f t="array" ref="K59">SUM(('Отчет по покупателям УТ'!$J$6:$J$5000='Adj Ageing by Brand'!$B59)*('Отчет по покупателям УТ'!$H$6:$H$5000='Adj Ageing by Brand'!K$8)*('Отчет по покупателям УТ'!$M$6:$M$5000='Adj Ageing by Brand'!$A59)*('Отчет по покупателям УТ'!$K$6:$K$5000))</f>
        <v>0</v>
      </c>
      <c r="L59" s="254">
        <f t="array" ref="L59">SUM(('Отчет по покупателям УТ'!$J$6:$J$5000='Adj Ageing by Brand'!$B59)*('Отчет по покупателям УТ'!$H$6:$H$5000='Adj Ageing by Brand'!L$8)*('Отчет по покупателям УТ'!$M$6:$M$5000='Adj Ageing by Brand'!$A59)*('Отчет по покупателям УТ'!$K$6:$K$5000))</f>
        <v>-625.94000000000005</v>
      </c>
      <c r="M59" s="44">
        <f t="shared" si="19"/>
        <v>-625.94000000000005</v>
      </c>
      <c r="R59" s="9" t="b">
        <f t="shared" si="15"/>
        <v>1</v>
      </c>
      <c r="S59" s="228">
        <f t="shared" si="20"/>
        <v>0</v>
      </c>
      <c r="T59" s="228">
        <f t="shared" si="21"/>
        <v>-625.94000000000005</v>
      </c>
      <c r="U59" s="228">
        <f t="shared" si="22"/>
        <v>0</v>
      </c>
      <c r="V59" s="228">
        <f t="shared" si="23"/>
        <v>-625.94000000000005</v>
      </c>
      <c r="W59" s="228">
        <f t="shared" si="24"/>
        <v>0</v>
      </c>
      <c r="X59" s="228">
        <f t="shared" si="25"/>
        <v>-625.94000000000005</v>
      </c>
      <c r="Y59" s="228">
        <f t="shared" si="26"/>
        <v>0</v>
      </c>
      <c r="Z59" s="228">
        <f t="shared" si="27"/>
        <v>-625.94000000000005</v>
      </c>
      <c r="AA59" s="228">
        <f t="shared" si="28"/>
        <v>0</v>
      </c>
      <c r="AB59" s="228">
        <f t="shared" si="29"/>
        <v>-625.94000000000005</v>
      </c>
      <c r="AC59" s="247">
        <f t="shared" si="17"/>
        <v>-625.94000000000005</v>
      </c>
      <c r="AD59" s="227">
        <f t="shared" si="18"/>
        <v>0</v>
      </c>
    </row>
    <row r="60" spans="1:30" x14ac:dyDescent="0.2">
      <c r="A60" t="s">
        <v>142</v>
      </c>
      <c r="B60" t="s">
        <v>22</v>
      </c>
      <c r="D60" s="9">
        <v>-115396.68</v>
      </c>
      <c r="F60" s="9"/>
      <c r="G60" s="254">
        <f t="array" ref="G60">SUM(('Отчет по покупателям УТ'!$J$6:$J$5000='Adj Ageing by Brand'!$B60)*('Отчет по покупателям УТ'!$H$6:$H$5000='Adj Ageing by Brand'!G$8)*('Отчет по покупателям УТ'!$M$6:$M$5000='Adj Ageing by Brand'!$A60)*('Отчет по покупателям УТ'!$K$6:$K$5000))</f>
        <v>0</v>
      </c>
      <c r="H60" s="254">
        <f t="array" ref="H60">SUM(('Отчет по покупателям УТ'!$J$6:$J$5000='Adj Ageing by Brand'!$B60)*('Отчет по покупателям УТ'!$H$6:$H$5000='Adj Ageing by Brand'!H$8)*('Отчет по покупателям УТ'!$M$6:$M$5000='Adj Ageing by Brand'!$A60)*('Отчет по покупателям УТ'!$K$6:$K$5000))</f>
        <v>0</v>
      </c>
      <c r="I60" s="254">
        <f t="array" ref="I60">SUM(('Отчет по покупателям УТ'!$J$6:$J$5000='Adj Ageing by Brand'!$B60)*('Отчет по покупателям УТ'!$H$6:$H$5000='Adj Ageing by Brand'!I$8)*('Отчет по покупателям УТ'!$M$6:$M$5000='Adj Ageing by Brand'!$A60)*('Отчет по покупателям УТ'!$K$6:$K$5000))</f>
        <v>0</v>
      </c>
      <c r="J60" s="254">
        <f t="array" ref="J60">SUM(('Отчет по покупателям УТ'!$J$6:$J$5000='Adj Ageing by Brand'!$B60)*('Отчет по покупателям УТ'!$H$6:$H$5000='Adj Ageing by Brand'!J$8)*('Отчет по покупателям УТ'!$M$6:$M$5000='Adj Ageing by Brand'!$A60)*('Отчет по покупателям УТ'!$K$6:$K$5000))</f>
        <v>0</v>
      </c>
      <c r="K60" s="254">
        <f t="array" ref="K60">SUM(('Отчет по покупателям УТ'!$J$6:$J$5000='Adj Ageing by Brand'!$B60)*('Отчет по покупателям УТ'!$H$6:$H$5000='Adj Ageing by Brand'!K$8)*('Отчет по покупателям УТ'!$M$6:$M$5000='Adj Ageing by Brand'!$A60)*('Отчет по покупателям УТ'!$K$6:$K$5000))</f>
        <v>0</v>
      </c>
      <c r="L60" s="254">
        <f t="array" ref="L60">SUM(('Отчет по покупателям УТ'!$J$6:$J$5000='Adj Ageing by Brand'!$B60)*('Отчет по покупателям УТ'!$H$6:$H$5000='Adj Ageing by Brand'!L$8)*('Отчет по покупателям УТ'!$M$6:$M$5000='Adj Ageing by Brand'!$A60)*('Отчет по покупателям УТ'!$K$6:$K$5000))</f>
        <v>-115396.68</v>
      </c>
      <c r="M60" s="44">
        <f t="shared" si="19"/>
        <v>-115396.68</v>
      </c>
      <c r="R60" s="9" t="b">
        <f t="shared" si="15"/>
        <v>1</v>
      </c>
      <c r="S60" s="228">
        <f t="shared" si="20"/>
        <v>0</v>
      </c>
      <c r="T60" s="228">
        <f t="shared" si="21"/>
        <v>-115396.68</v>
      </c>
      <c r="U60" s="228">
        <f t="shared" si="22"/>
        <v>0</v>
      </c>
      <c r="V60" s="228">
        <f t="shared" si="23"/>
        <v>-115396.68</v>
      </c>
      <c r="W60" s="228">
        <f t="shared" si="24"/>
        <v>0</v>
      </c>
      <c r="X60" s="228">
        <f t="shared" si="25"/>
        <v>-115396.68</v>
      </c>
      <c r="Y60" s="228">
        <f t="shared" si="26"/>
        <v>0</v>
      </c>
      <c r="Z60" s="228">
        <f t="shared" si="27"/>
        <v>-115396.68</v>
      </c>
      <c r="AA60" s="228">
        <f t="shared" si="28"/>
        <v>0</v>
      </c>
      <c r="AB60" s="228">
        <f t="shared" si="29"/>
        <v>-115396.68</v>
      </c>
      <c r="AC60" s="247">
        <f t="shared" si="17"/>
        <v>-115396.68</v>
      </c>
      <c r="AD60" s="227">
        <f t="shared" si="18"/>
        <v>0</v>
      </c>
    </row>
    <row r="61" spans="1:30" x14ac:dyDescent="0.2">
      <c r="A61" t="s">
        <v>142</v>
      </c>
      <c r="B61" t="s">
        <v>31</v>
      </c>
      <c r="D61" s="9">
        <v>-89728.9</v>
      </c>
      <c r="F61" s="9"/>
      <c r="G61" s="254">
        <f t="array" ref="G61">SUM(('Отчет по покупателям УТ'!$J$6:$J$5000='Adj Ageing by Brand'!$B61)*('Отчет по покупателям УТ'!$H$6:$H$5000='Adj Ageing by Brand'!G$8)*('Отчет по покупателям УТ'!$M$6:$M$5000='Adj Ageing by Brand'!$A61)*('Отчет по покупателям УТ'!$K$6:$K$5000))</f>
        <v>0</v>
      </c>
      <c r="H61" s="254">
        <f t="array" ref="H61">SUM(('Отчет по покупателям УТ'!$J$6:$J$5000='Adj Ageing by Brand'!$B61)*('Отчет по покупателям УТ'!$H$6:$H$5000='Adj Ageing by Brand'!H$8)*('Отчет по покупателям УТ'!$M$6:$M$5000='Adj Ageing by Brand'!$A61)*('Отчет по покупателям УТ'!$K$6:$K$5000))</f>
        <v>0</v>
      </c>
      <c r="I61" s="254">
        <f t="array" ref="I61">SUM(('Отчет по покупателям УТ'!$J$6:$J$5000='Adj Ageing by Brand'!$B61)*('Отчет по покупателям УТ'!$H$6:$H$5000='Adj Ageing by Brand'!I$8)*('Отчет по покупателям УТ'!$M$6:$M$5000='Adj Ageing by Brand'!$A61)*('Отчет по покупателям УТ'!$K$6:$K$5000))</f>
        <v>0</v>
      </c>
      <c r="J61" s="254">
        <f t="array" ref="J61">SUM(('Отчет по покупателям УТ'!$J$6:$J$5000='Adj Ageing by Brand'!$B61)*('Отчет по покупателям УТ'!$H$6:$H$5000='Adj Ageing by Brand'!J$8)*('Отчет по покупателям УТ'!$M$6:$M$5000='Adj Ageing by Brand'!$A61)*('Отчет по покупателям УТ'!$K$6:$K$5000))</f>
        <v>0</v>
      </c>
      <c r="K61" s="254">
        <f t="array" ref="K61">SUM(('Отчет по покупателям УТ'!$J$6:$J$5000='Adj Ageing by Brand'!$B61)*('Отчет по покупателям УТ'!$H$6:$H$5000='Adj Ageing by Brand'!K$8)*('Отчет по покупателям УТ'!$M$6:$M$5000='Adj Ageing by Brand'!$A61)*('Отчет по покупателям УТ'!$K$6:$K$5000))</f>
        <v>0</v>
      </c>
      <c r="L61" s="254">
        <f t="array" ref="L61">SUM(('Отчет по покупателям УТ'!$J$6:$J$5000='Adj Ageing by Brand'!$B61)*('Отчет по покупателям УТ'!$H$6:$H$5000='Adj Ageing by Brand'!L$8)*('Отчет по покупателям УТ'!$M$6:$M$5000='Adj Ageing by Brand'!$A61)*('Отчет по покупателям УТ'!$K$6:$K$5000))</f>
        <v>-89728.9</v>
      </c>
      <c r="M61" s="44">
        <f t="shared" si="19"/>
        <v>-89728.9</v>
      </c>
      <c r="R61" s="9" t="b">
        <f t="shared" si="15"/>
        <v>1</v>
      </c>
      <c r="S61" s="228">
        <f t="shared" si="20"/>
        <v>0</v>
      </c>
      <c r="T61" s="228">
        <f t="shared" si="21"/>
        <v>-89728.9</v>
      </c>
      <c r="U61" s="228">
        <f t="shared" si="22"/>
        <v>0</v>
      </c>
      <c r="V61" s="228">
        <f t="shared" si="23"/>
        <v>-89728.9</v>
      </c>
      <c r="W61" s="228">
        <f t="shared" si="24"/>
        <v>0</v>
      </c>
      <c r="X61" s="228">
        <f t="shared" si="25"/>
        <v>-89728.9</v>
      </c>
      <c r="Y61" s="228">
        <f t="shared" si="26"/>
        <v>0</v>
      </c>
      <c r="Z61" s="228">
        <f t="shared" si="27"/>
        <v>-89728.9</v>
      </c>
      <c r="AA61" s="228">
        <f t="shared" si="28"/>
        <v>0</v>
      </c>
      <c r="AB61" s="228">
        <f t="shared" si="29"/>
        <v>-89728.9</v>
      </c>
      <c r="AC61" s="247">
        <f t="shared" si="17"/>
        <v>-89728.9</v>
      </c>
      <c r="AD61" s="227">
        <f t="shared" si="18"/>
        <v>0</v>
      </c>
    </row>
    <row r="62" spans="1:30" x14ac:dyDescent="0.2">
      <c r="A62" t="s">
        <v>145</v>
      </c>
      <c r="B62" t="s">
        <v>23</v>
      </c>
      <c r="D62" s="9">
        <v>-53</v>
      </c>
      <c r="F62" s="9"/>
      <c r="G62" s="254">
        <f t="array" ref="G62">SUM(('Отчет по покупателям УТ'!$J$6:$J$5000='Adj Ageing by Brand'!$B62)*('Отчет по покупателям УТ'!$H$6:$H$5000='Adj Ageing by Brand'!G$8)*('Отчет по покупателям УТ'!$M$6:$M$5000='Adj Ageing by Brand'!$A62)*('Отчет по покупателям УТ'!$K$6:$K$5000))</f>
        <v>0</v>
      </c>
      <c r="H62" s="254">
        <f t="array" ref="H62">SUM(('Отчет по покупателям УТ'!$J$6:$J$5000='Adj Ageing by Brand'!$B62)*('Отчет по покупателям УТ'!$H$6:$H$5000='Adj Ageing by Brand'!H$8)*('Отчет по покупателям УТ'!$M$6:$M$5000='Adj Ageing by Brand'!$A62)*('Отчет по покупателям УТ'!$K$6:$K$5000))</f>
        <v>0</v>
      </c>
      <c r="I62" s="254">
        <f t="array" ref="I62">SUM(('Отчет по покупателям УТ'!$J$6:$J$5000='Adj Ageing by Brand'!$B62)*('Отчет по покупателям УТ'!$H$6:$H$5000='Adj Ageing by Brand'!I$8)*('Отчет по покупателям УТ'!$M$6:$M$5000='Adj Ageing by Brand'!$A62)*('Отчет по покупателям УТ'!$K$6:$K$5000))</f>
        <v>0</v>
      </c>
      <c r="J62" s="254">
        <f t="array" ref="J62">SUM(('Отчет по покупателям УТ'!$J$6:$J$5000='Adj Ageing by Brand'!$B62)*('Отчет по покупателям УТ'!$H$6:$H$5000='Adj Ageing by Brand'!J$8)*('Отчет по покупателям УТ'!$M$6:$M$5000='Adj Ageing by Brand'!$A62)*('Отчет по покупателям УТ'!$K$6:$K$5000))</f>
        <v>0</v>
      </c>
      <c r="K62" s="254">
        <f t="array" ref="K62">SUM(('Отчет по покупателям УТ'!$J$6:$J$5000='Adj Ageing by Brand'!$B62)*('Отчет по покупателям УТ'!$H$6:$H$5000='Adj Ageing by Brand'!K$8)*('Отчет по покупателям УТ'!$M$6:$M$5000='Adj Ageing by Brand'!$A62)*('Отчет по покупателям УТ'!$K$6:$K$5000))</f>
        <v>0</v>
      </c>
      <c r="L62" s="254">
        <f t="array" ref="L62">SUM(('Отчет по покупателям УТ'!$J$6:$J$5000='Adj Ageing by Brand'!$B62)*('Отчет по покупателям УТ'!$H$6:$H$5000='Adj Ageing by Brand'!L$8)*('Отчет по покупателям УТ'!$M$6:$M$5000='Adj Ageing by Brand'!$A62)*('Отчет по покупателям УТ'!$K$6:$K$5000))</f>
        <v>-53</v>
      </c>
      <c r="M62" s="44">
        <f t="shared" si="19"/>
        <v>-53</v>
      </c>
      <c r="R62" s="9" t="b">
        <f t="shared" si="15"/>
        <v>1</v>
      </c>
      <c r="S62" s="228">
        <f t="shared" si="20"/>
        <v>0</v>
      </c>
      <c r="T62" s="228">
        <f t="shared" si="21"/>
        <v>-53</v>
      </c>
      <c r="U62" s="228">
        <f t="shared" si="22"/>
        <v>0</v>
      </c>
      <c r="V62" s="228">
        <f t="shared" si="23"/>
        <v>-53</v>
      </c>
      <c r="W62" s="228">
        <f t="shared" si="24"/>
        <v>0</v>
      </c>
      <c r="X62" s="228">
        <f t="shared" si="25"/>
        <v>-53</v>
      </c>
      <c r="Y62" s="228">
        <f t="shared" si="26"/>
        <v>0</v>
      </c>
      <c r="Z62" s="228">
        <f t="shared" si="27"/>
        <v>-53</v>
      </c>
      <c r="AA62" s="228">
        <f t="shared" si="28"/>
        <v>0</v>
      </c>
      <c r="AB62" s="228">
        <f t="shared" si="29"/>
        <v>-53</v>
      </c>
      <c r="AC62" s="247">
        <f t="shared" si="17"/>
        <v>-53</v>
      </c>
      <c r="AD62" s="227">
        <f t="shared" si="18"/>
        <v>0</v>
      </c>
    </row>
    <row r="63" spans="1:30" x14ac:dyDescent="0.2">
      <c r="A63" t="s">
        <v>148</v>
      </c>
      <c r="B63" t="s">
        <v>22</v>
      </c>
      <c r="D63" s="9">
        <v>744354.33</v>
      </c>
      <c r="F63" s="9"/>
      <c r="G63" s="254">
        <f t="array" ref="G63">SUM(('Отчет по покупателям УТ'!$J$6:$J$5000='Adj Ageing by Brand'!$B63)*('Отчет по покупателям УТ'!$H$6:$H$5000='Adj Ageing by Brand'!G$8)*('Отчет по покупателям УТ'!$M$6:$M$5000='Adj Ageing by Brand'!$A63)*('Отчет по покупателям УТ'!$K$6:$K$5000))</f>
        <v>940525</v>
      </c>
      <c r="H63" s="254">
        <f t="array" ref="H63">SUM(('Отчет по покупателям УТ'!$J$6:$J$5000='Adj Ageing by Brand'!$B63)*('Отчет по покупателям УТ'!$H$6:$H$5000='Adj Ageing by Brand'!H$8)*('Отчет по покупателям УТ'!$M$6:$M$5000='Adj Ageing by Brand'!$A63)*('Отчет по покупателям УТ'!$K$6:$K$5000))</f>
        <v>0</v>
      </c>
      <c r="I63" s="254">
        <f t="array" ref="I63">SUM(('Отчет по покупателям УТ'!$J$6:$J$5000='Adj Ageing by Brand'!$B63)*('Отчет по покупателям УТ'!$H$6:$H$5000='Adj Ageing by Brand'!I$8)*('Отчет по покупателям УТ'!$M$6:$M$5000='Adj Ageing by Brand'!$A63)*('Отчет по покупателям УТ'!$K$6:$K$5000))</f>
        <v>0</v>
      </c>
      <c r="J63" s="254">
        <f t="array" ref="J63">SUM(('Отчет по покупателям УТ'!$J$6:$J$5000='Adj Ageing by Brand'!$B63)*('Отчет по покупателям УТ'!$H$6:$H$5000='Adj Ageing by Brand'!J$8)*('Отчет по покупателям УТ'!$M$6:$M$5000='Adj Ageing by Brand'!$A63)*('Отчет по покупателям УТ'!$K$6:$K$5000))</f>
        <v>0</v>
      </c>
      <c r="K63" s="254">
        <f t="array" ref="K63">SUM(('Отчет по покупателям УТ'!$J$6:$J$5000='Adj Ageing by Brand'!$B63)*('Отчет по покупателям УТ'!$H$6:$H$5000='Adj Ageing by Brand'!K$8)*('Отчет по покупателям УТ'!$M$6:$M$5000='Adj Ageing by Brand'!$A63)*('Отчет по покупателям УТ'!$K$6:$K$5000))</f>
        <v>0</v>
      </c>
      <c r="L63" s="254">
        <f t="array" ref="L63">SUM(('Отчет по покупателям УТ'!$J$6:$J$5000='Adj Ageing by Brand'!$B63)*('Отчет по покупателям УТ'!$H$6:$H$5000='Adj Ageing by Brand'!L$8)*('Отчет по покупателям УТ'!$M$6:$M$5000='Adj Ageing by Brand'!$A63)*('Отчет по покупателям УТ'!$K$6:$K$5000))</f>
        <v>-196170.67</v>
      </c>
      <c r="M63" s="44">
        <f t="shared" si="19"/>
        <v>744354.33</v>
      </c>
      <c r="R63" s="9" t="b">
        <f t="shared" si="15"/>
        <v>1</v>
      </c>
      <c r="S63" s="228">
        <f t="shared" si="20"/>
        <v>744354.33</v>
      </c>
      <c r="T63" s="228">
        <f t="shared" si="21"/>
        <v>-196170.67</v>
      </c>
      <c r="U63" s="228">
        <f t="shared" si="22"/>
        <v>0</v>
      </c>
      <c r="V63" s="228">
        <f t="shared" si="23"/>
        <v>-196170.67</v>
      </c>
      <c r="W63" s="228">
        <f t="shared" si="24"/>
        <v>0</v>
      </c>
      <c r="X63" s="228">
        <f t="shared" si="25"/>
        <v>-196170.67</v>
      </c>
      <c r="Y63" s="228">
        <f t="shared" si="26"/>
        <v>0</v>
      </c>
      <c r="Z63" s="228">
        <f t="shared" si="27"/>
        <v>-196170.67</v>
      </c>
      <c r="AA63" s="228">
        <f t="shared" si="28"/>
        <v>0</v>
      </c>
      <c r="AB63" s="228">
        <f t="shared" si="29"/>
        <v>0</v>
      </c>
      <c r="AC63" s="247">
        <f t="shared" si="17"/>
        <v>744354.33</v>
      </c>
      <c r="AD63" s="227">
        <f t="shared" si="18"/>
        <v>744354.33</v>
      </c>
    </row>
    <row r="64" spans="1:30" x14ac:dyDescent="0.2">
      <c r="A64" t="s">
        <v>148</v>
      </c>
      <c r="B64" t="s">
        <v>16</v>
      </c>
      <c r="D64" s="9">
        <v>-146102.18</v>
      </c>
      <c r="F64" s="9"/>
      <c r="G64" s="254">
        <f t="array" ref="G64">SUM(('Отчет по покупателям УТ'!$J$6:$J$5000='Adj Ageing by Brand'!$B64)*('Отчет по покупателям УТ'!$H$6:$H$5000='Adj Ageing by Brand'!G$8)*('Отчет по покупателям УТ'!$M$6:$M$5000='Adj Ageing by Brand'!$A64)*('Отчет по покупателям УТ'!$K$6:$K$5000))</f>
        <v>0</v>
      </c>
      <c r="H64" s="254">
        <f t="array" ref="H64">SUM(('Отчет по покупателям УТ'!$J$6:$J$5000='Adj Ageing by Brand'!$B64)*('Отчет по покупателям УТ'!$H$6:$H$5000='Adj Ageing by Brand'!H$8)*('Отчет по покупателям УТ'!$M$6:$M$5000='Adj Ageing by Brand'!$A64)*('Отчет по покупателям УТ'!$K$6:$K$5000))</f>
        <v>0</v>
      </c>
      <c r="I64" s="254">
        <f t="array" ref="I64">SUM(('Отчет по покупателям УТ'!$J$6:$J$5000='Adj Ageing by Brand'!$B64)*('Отчет по покупателям УТ'!$H$6:$H$5000='Adj Ageing by Brand'!I$8)*('Отчет по покупателям УТ'!$M$6:$M$5000='Adj Ageing by Brand'!$A64)*('Отчет по покупателям УТ'!$K$6:$K$5000))</f>
        <v>0</v>
      </c>
      <c r="J64" s="254">
        <f t="array" ref="J64">SUM(('Отчет по покупателям УТ'!$J$6:$J$5000='Adj Ageing by Brand'!$B64)*('Отчет по покупателям УТ'!$H$6:$H$5000='Adj Ageing by Brand'!J$8)*('Отчет по покупателям УТ'!$M$6:$M$5000='Adj Ageing by Brand'!$A64)*('Отчет по покупателям УТ'!$K$6:$K$5000))</f>
        <v>0</v>
      </c>
      <c r="K64" s="254">
        <f t="array" ref="K64">SUM(('Отчет по покупателям УТ'!$J$6:$J$5000='Adj Ageing by Brand'!$B64)*('Отчет по покупателям УТ'!$H$6:$H$5000='Adj Ageing by Brand'!K$8)*('Отчет по покупателям УТ'!$M$6:$M$5000='Adj Ageing by Brand'!$A64)*('Отчет по покупателям УТ'!$K$6:$K$5000))</f>
        <v>0</v>
      </c>
      <c r="L64" s="254">
        <f t="array" ref="L64">SUM(('Отчет по покупателям УТ'!$J$6:$J$5000='Adj Ageing by Brand'!$B64)*('Отчет по покупателям УТ'!$H$6:$H$5000='Adj Ageing by Brand'!L$8)*('Отчет по покупателям УТ'!$M$6:$M$5000='Adj Ageing by Brand'!$A64)*('Отчет по покупателям УТ'!$K$6:$K$5000))</f>
        <v>-146102.18</v>
      </c>
      <c r="M64" s="44">
        <f t="shared" si="19"/>
        <v>-146102.18</v>
      </c>
      <c r="R64" s="9" t="b">
        <f t="shared" si="15"/>
        <v>1</v>
      </c>
      <c r="S64" s="228">
        <f t="shared" si="20"/>
        <v>0</v>
      </c>
      <c r="T64" s="228">
        <f t="shared" si="21"/>
        <v>-146102.18</v>
      </c>
      <c r="U64" s="228">
        <f t="shared" si="22"/>
        <v>0</v>
      </c>
      <c r="V64" s="228">
        <f t="shared" si="23"/>
        <v>-146102.18</v>
      </c>
      <c r="W64" s="228">
        <f t="shared" si="24"/>
        <v>0</v>
      </c>
      <c r="X64" s="228">
        <f t="shared" si="25"/>
        <v>-146102.18</v>
      </c>
      <c r="Y64" s="228">
        <f t="shared" si="26"/>
        <v>0</v>
      </c>
      <c r="Z64" s="228">
        <f t="shared" si="27"/>
        <v>-146102.18</v>
      </c>
      <c r="AA64" s="228">
        <f t="shared" si="28"/>
        <v>0</v>
      </c>
      <c r="AB64" s="228">
        <f t="shared" si="29"/>
        <v>-146102.18</v>
      </c>
      <c r="AC64" s="247">
        <f t="shared" si="17"/>
        <v>-146102.18</v>
      </c>
      <c r="AD64" s="227">
        <f t="shared" si="18"/>
        <v>0</v>
      </c>
    </row>
    <row r="65" spans="1:30" x14ac:dyDescent="0.2">
      <c r="A65" t="s">
        <v>149</v>
      </c>
      <c r="B65" t="s">
        <v>22</v>
      </c>
      <c r="D65" s="9">
        <v>-84510</v>
      </c>
      <c r="F65" s="9"/>
      <c r="G65" s="254">
        <f t="array" ref="G65">SUM(('Отчет по покупателям УТ'!$J$6:$J$5000='Adj Ageing by Brand'!$B65)*('Отчет по покупателям УТ'!$H$6:$H$5000='Adj Ageing by Brand'!G$8)*('Отчет по покупателям УТ'!$M$6:$M$5000='Adj Ageing by Brand'!$A65)*('Отчет по покупателям УТ'!$K$6:$K$5000))</f>
        <v>0</v>
      </c>
      <c r="H65" s="254">
        <f t="array" ref="H65">SUM(('Отчет по покупателям УТ'!$J$6:$J$5000='Adj Ageing by Brand'!$B65)*('Отчет по покупателям УТ'!$H$6:$H$5000='Adj Ageing by Brand'!H$8)*('Отчет по покупателям УТ'!$M$6:$M$5000='Adj Ageing by Brand'!$A65)*('Отчет по покупателям УТ'!$K$6:$K$5000))</f>
        <v>0</v>
      </c>
      <c r="I65" s="254">
        <f t="array" ref="I65">SUM(('Отчет по покупателям УТ'!$J$6:$J$5000='Adj Ageing by Brand'!$B65)*('Отчет по покупателям УТ'!$H$6:$H$5000='Adj Ageing by Brand'!I$8)*('Отчет по покупателям УТ'!$M$6:$M$5000='Adj Ageing by Brand'!$A65)*('Отчет по покупателям УТ'!$K$6:$K$5000))</f>
        <v>0</v>
      </c>
      <c r="J65" s="254">
        <f t="array" ref="J65">SUM(('Отчет по покупателям УТ'!$J$6:$J$5000='Adj Ageing by Brand'!$B65)*('Отчет по покупателям УТ'!$H$6:$H$5000='Adj Ageing by Brand'!J$8)*('Отчет по покупателям УТ'!$M$6:$M$5000='Adj Ageing by Brand'!$A65)*('Отчет по покупателям УТ'!$K$6:$K$5000))</f>
        <v>0</v>
      </c>
      <c r="K65" s="254">
        <f t="array" ref="K65">SUM(('Отчет по покупателям УТ'!$J$6:$J$5000='Adj Ageing by Brand'!$B65)*('Отчет по покупателям УТ'!$H$6:$H$5000='Adj Ageing by Brand'!K$8)*('Отчет по покупателям УТ'!$M$6:$M$5000='Adj Ageing by Brand'!$A65)*('Отчет по покупателям УТ'!$K$6:$K$5000))</f>
        <v>0</v>
      </c>
      <c r="L65" s="254">
        <f t="array" ref="L65">SUM(('Отчет по покупателям УТ'!$J$6:$J$5000='Adj Ageing by Brand'!$B65)*('Отчет по покупателям УТ'!$H$6:$H$5000='Adj Ageing by Brand'!L$8)*('Отчет по покупателям УТ'!$M$6:$M$5000='Adj Ageing by Brand'!$A65)*('Отчет по покупателям УТ'!$K$6:$K$5000))</f>
        <v>-84510</v>
      </c>
      <c r="M65" s="44">
        <f t="shared" si="19"/>
        <v>-84510</v>
      </c>
      <c r="R65" s="9" t="b">
        <f t="shared" si="15"/>
        <v>1</v>
      </c>
      <c r="S65" s="228">
        <f t="shared" si="20"/>
        <v>0</v>
      </c>
      <c r="T65" s="228">
        <f t="shared" si="21"/>
        <v>-84510</v>
      </c>
      <c r="U65" s="228">
        <f t="shared" si="22"/>
        <v>0</v>
      </c>
      <c r="V65" s="228">
        <f t="shared" si="23"/>
        <v>-84510</v>
      </c>
      <c r="W65" s="228">
        <f t="shared" si="24"/>
        <v>0</v>
      </c>
      <c r="X65" s="228">
        <f t="shared" si="25"/>
        <v>-84510</v>
      </c>
      <c r="Y65" s="228">
        <f t="shared" si="26"/>
        <v>0</v>
      </c>
      <c r="Z65" s="228">
        <f t="shared" si="27"/>
        <v>-84510</v>
      </c>
      <c r="AA65" s="228">
        <f t="shared" si="28"/>
        <v>0</v>
      </c>
      <c r="AB65" s="228">
        <f t="shared" si="29"/>
        <v>-84510</v>
      </c>
      <c r="AC65" s="247">
        <f t="shared" si="17"/>
        <v>-84510</v>
      </c>
      <c r="AD65" s="227">
        <f t="shared" si="18"/>
        <v>0</v>
      </c>
    </row>
    <row r="66" spans="1:30" x14ac:dyDescent="0.2">
      <c r="A66" t="s">
        <v>149</v>
      </c>
      <c r="B66" t="s">
        <v>31</v>
      </c>
      <c r="D66" s="9">
        <v>-158009.37</v>
      </c>
      <c r="F66" s="9"/>
      <c r="G66" s="254">
        <f t="array" ref="G66">SUM(('Отчет по покупателям УТ'!$J$6:$J$5000='Adj Ageing by Brand'!$B66)*('Отчет по покупателям УТ'!$H$6:$H$5000='Adj Ageing by Brand'!G$8)*('Отчет по покупателям УТ'!$M$6:$M$5000='Adj Ageing by Brand'!$A66)*('Отчет по покупателям УТ'!$K$6:$K$5000))</f>
        <v>0</v>
      </c>
      <c r="H66" s="254">
        <f t="array" ref="H66">SUM(('Отчет по покупателям УТ'!$J$6:$J$5000='Adj Ageing by Brand'!$B66)*('Отчет по покупателям УТ'!$H$6:$H$5000='Adj Ageing by Brand'!H$8)*('Отчет по покупателям УТ'!$M$6:$M$5000='Adj Ageing by Brand'!$A66)*('Отчет по покупателям УТ'!$K$6:$K$5000))</f>
        <v>0</v>
      </c>
      <c r="I66" s="254">
        <f t="array" ref="I66">SUM(('Отчет по покупателям УТ'!$J$6:$J$5000='Adj Ageing by Brand'!$B66)*('Отчет по покупателям УТ'!$H$6:$H$5000='Adj Ageing by Brand'!I$8)*('Отчет по покупателям УТ'!$M$6:$M$5000='Adj Ageing by Brand'!$A66)*('Отчет по покупателям УТ'!$K$6:$K$5000))</f>
        <v>0</v>
      </c>
      <c r="J66" s="254">
        <f t="array" ref="J66">SUM(('Отчет по покупателям УТ'!$J$6:$J$5000='Adj Ageing by Brand'!$B66)*('Отчет по покупателям УТ'!$H$6:$H$5000='Adj Ageing by Brand'!J$8)*('Отчет по покупателям УТ'!$M$6:$M$5000='Adj Ageing by Brand'!$A66)*('Отчет по покупателям УТ'!$K$6:$K$5000))</f>
        <v>0</v>
      </c>
      <c r="K66" s="254">
        <f t="array" ref="K66">SUM(('Отчет по покупателям УТ'!$J$6:$J$5000='Adj Ageing by Brand'!$B66)*('Отчет по покупателям УТ'!$H$6:$H$5000='Adj Ageing by Brand'!K$8)*('Отчет по покупателям УТ'!$M$6:$M$5000='Adj Ageing by Brand'!$A66)*('Отчет по покупателям УТ'!$K$6:$K$5000))</f>
        <v>0</v>
      </c>
      <c r="L66" s="254">
        <f t="array" ref="L66">SUM(('Отчет по покупателям УТ'!$J$6:$J$5000='Adj Ageing by Brand'!$B66)*('Отчет по покупателям УТ'!$H$6:$H$5000='Adj Ageing by Brand'!L$8)*('Отчет по покупателям УТ'!$M$6:$M$5000='Adj Ageing by Brand'!$A66)*('Отчет по покупателям УТ'!$K$6:$K$5000))</f>
        <v>-158009.37</v>
      </c>
      <c r="M66" s="44">
        <f t="shared" si="19"/>
        <v>-158009.37</v>
      </c>
      <c r="R66" s="9" t="b">
        <f t="shared" si="15"/>
        <v>1</v>
      </c>
      <c r="S66" s="228">
        <f t="shared" si="20"/>
        <v>0</v>
      </c>
      <c r="T66" s="228">
        <f t="shared" si="21"/>
        <v>-158009.37</v>
      </c>
      <c r="U66" s="228">
        <f t="shared" si="22"/>
        <v>0</v>
      </c>
      <c r="V66" s="228">
        <f t="shared" si="23"/>
        <v>-158009.37</v>
      </c>
      <c r="W66" s="228">
        <f t="shared" si="24"/>
        <v>0</v>
      </c>
      <c r="X66" s="228">
        <f t="shared" si="25"/>
        <v>-158009.37</v>
      </c>
      <c r="Y66" s="228">
        <f t="shared" si="26"/>
        <v>0</v>
      </c>
      <c r="Z66" s="228">
        <f t="shared" si="27"/>
        <v>-158009.37</v>
      </c>
      <c r="AA66" s="228">
        <f t="shared" si="28"/>
        <v>0</v>
      </c>
      <c r="AB66" s="228">
        <f t="shared" si="29"/>
        <v>-158009.37</v>
      </c>
      <c r="AC66" s="247">
        <f t="shared" si="17"/>
        <v>-158009.37</v>
      </c>
      <c r="AD66" s="227">
        <f t="shared" si="18"/>
        <v>0</v>
      </c>
    </row>
    <row r="67" spans="1:30" x14ac:dyDescent="0.2">
      <c r="A67" t="s">
        <v>149</v>
      </c>
      <c r="B67" t="s">
        <v>23</v>
      </c>
      <c r="D67" s="9">
        <v>-337883.74</v>
      </c>
      <c r="F67" s="9"/>
      <c r="G67" s="254">
        <f t="array" ref="G67">SUM(('Отчет по покупателям УТ'!$J$6:$J$5000='Adj Ageing by Brand'!$B67)*('Отчет по покупателям УТ'!$H$6:$H$5000='Adj Ageing by Brand'!G$8)*('Отчет по покупателям УТ'!$M$6:$M$5000='Adj Ageing by Brand'!$A67)*('Отчет по покупателям УТ'!$K$6:$K$5000))</f>
        <v>0</v>
      </c>
      <c r="H67" s="254">
        <f t="array" ref="H67">SUM(('Отчет по покупателям УТ'!$J$6:$J$5000='Adj Ageing by Brand'!$B67)*('Отчет по покупателям УТ'!$H$6:$H$5000='Adj Ageing by Brand'!H$8)*('Отчет по покупателям УТ'!$M$6:$M$5000='Adj Ageing by Brand'!$A67)*('Отчет по покупателям УТ'!$K$6:$K$5000))</f>
        <v>0</v>
      </c>
      <c r="I67" s="254">
        <f t="array" ref="I67">SUM(('Отчет по покупателям УТ'!$J$6:$J$5000='Adj Ageing by Brand'!$B67)*('Отчет по покупателям УТ'!$H$6:$H$5000='Adj Ageing by Brand'!I$8)*('Отчет по покупателям УТ'!$M$6:$M$5000='Adj Ageing by Brand'!$A67)*('Отчет по покупателям УТ'!$K$6:$K$5000))</f>
        <v>0</v>
      </c>
      <c r="J67" s="254">
        <f t="array" ref="J67">SUM(('Отчет по покупателям УТ'!$J$6:$J$5000='Adj Ageing by Brand'!$B67)*('Отчет по покупателям УТ'!$H$6:$H$5000='Adj Ageing by Brand'!J$8)*('Отчет по покупателям УТ'!$M$6:$M$5000='Adj Ageing by Brand'!$A67)*('Отчет по покупателям УТ'!$K$6:$K$5000))</f>
        <v>0</v>
      </c>
      <c r="K67" s="254">
        <f t="array" ref="K67">SUM(('Отчет по покупателям УТ'!$J$6:$J$5000='Adj Ageing by Brand'!$B67)*('Отчет по покупателям УТ'!$H$6:$H$5000='Adj Ageing by Brand'!K$8)*('Отчет по покупателям УТ'!$M$6:$M$5000='Adj Ageing by Brand'!$A67)*('Отчет по покупателям УТ'!$K$6:$K$5000))</f>
        <v>0</v>
      </c>
      <c r="L67" s="254">
        <f t="array" ref="L67">SUM(('Отчет по покупателям УТ'!$J$6:$J$5000='Adj Ageing by Brand'!$B67)*('Отчет по покупателям УТ'!$H$6:$H$5000='Adj Ageing by Brand'!L$8)*('Отчет по покупателям УТ'!$M$6:$M$5000='Adj Ageing by Brand'!$A67)*('Отчет по покупателям УТ'!$K$6:$K$5000))</f>
        <v>-337883.74</v>
      </c>
      <c r="M67" s="44">
        <f t="shared" si="19"/>
        <v>-337883.74</v>
      </c>
      <c r="R67" s="9" t="b">
        <f t="shared" si="15"/>
        <v>1</v>
      </c>
      <c r="S67" s="228">
        <f t="shared" si="20"/>
        <v>0</v>
      </c>
      <c r="T67" s="228">
        <f t="shared" si="21"/>
        <v>-337883.74</v>
      </c>
      <c r="U67" s="228">
        <f t="shared" si="22"/>
        <v>0</v>
      </c>
      <c r="V67" s="228">
        <f t="shared" si="23"/>
        <v>-337883.74</v>
      </c>
      <c r="W67" s="228">
        <f t="shared" si="24"/>
        <v>0</v>
      </c>
      <c r="X67" s="228">
        <f t="shared" si="25"/>
        <v>-337883.74</v>
      </c>
      <c r="Y67" s="228">
        <f t="shared" si="26"/>
        <v>0</v>
      </c>
      <c r="Z67" s="228">
        <f t="shared" si="27"/>
        <v>-337883.74</v>
      </c>
      <c r="AA67" s="228">
        <f t="shared" si="28"/>
        <v>0</v>
      </c>
      <c r="AB67" s="228">
        <f t="shared" si="29"/>
        <v>-337883.74</v>
      </c>
      <c r="AC67" s="247">
        <f t="shared" si="17"/>
        <v>-337883.74</v>
      </c>
      <c r="AD67" s="227">
        <f t="shared" si="18"/>
        <v>0</v>
      </c>
    </row>
    <row r="68" spans="1:30" x14ac:dyDescent="0.2">
      <c r="A68" t="s">
        <v>150</v>
      </c>
      <c r="B68" t="s">
        <v>22</v>
      </c>
      <c r="D68" s="9">
        <v>-413.01</v>
      </c>
      <c r="F68" s="9"/>
      <c r="G68" s="254">
        <f t="array" ref="G68">SUM(('Отчет по покупателям УТ'!$J$6:$J$5000='Adj Ageing by Brand'!$B68)*('Отчет по покупателям УТ'!$H$6:$H$5000='Adj Ageing by Brand'!G$8)*('Отчет по покупателям УТ'!$M$6:$M$5000='Adj Ageing by Brand'!$A68)*('Отчет по покупателям УТ'!$K$6:$K$5000))</f>
        <v>0</v>
      </c>
      <c r="H68" s="254">
        <f t="array" ref="H68">SUM(('Отчет по покупателям УТ'!$J$6:$J$5000='Adj Ageing by Brand'!$B68)*('Отчет по покупателям УТ'!$H$6:$H$5000='Adj Ageing by Brand'!H$8)*('Отчет по покупателям УТ'!$M$6:$M$5000='Adj Ageing by Brand'!$A68)*('Отчет по покупателям УТ'!$K$6:$K$5000))</f>
        <v>0</v>
      </c>
      <c r="I68" s="254">
        <f t="array" ref="I68">SUM(('Отчет по покупателям УТ'!$J$6:$J$5000='Adj Ageing by Brand'!$B68)*('Отчет по покупателям УТ'!$H$6:$H$5000='Adj Ageing by Brand'!I$8)*('Отчет по покупателям УТ'!$M$6:$M$5000='Adj Ageing by Brand'!$A68)*('Отчет по покупателям УТ'!$K$6:$K$5000))</f>
        <v>0</v>
      </c>
      <c r="J68" s="254">
        <f t="array" ref="J68">SUM(('Отчет по покупателям УТ'!$J$6:$J$5000='Adj Ageing by Brand'!$B68)*('Отчет по покупателям УТ'!$H$6:$H$5000='Adj Ageing by Brand'!J$8)*('Отчет по покупателям УТ'!$M$6:$M$5000='Adj Ageing by Brand'!$A68)*('Отчет по покупателям УТ'!$K$6:$K$5000))</f>
        <v>0</v>
      </c>
      <c r="K68" s="254">
        <f t="array" ref="K68">SUM(('Отчет по покупателям УТ'!$J$6:$J$5000='Adj Ageing by Brand'!$B68)*('Отчет по покупателям УТ'!$H$6:$H$5000='Adj Ageing by Brand'!K$8)*('Отчет по покупателям УТ'!$M$6:$M$5000='Adj Ageing by Brand'!$A68)*('Отчет по покупателям УТ'!$K$6:$K$5000))</f>
        <v>0</v>
      </c>
      <c r="L68" s="254">
        <f t="array" ref="L68">SUM(('Отчет по покупателям УТ'!$J$6:$J$5000='Adj Ageing by Brand'!$B68)*('Отчет по покупателям УТ'!$H$6:$H$5000='Adj Ageing by Brand'!L$8)*('Отчет по покупателям УТ'!$M$6:$M$5000='Adj Ageing by Brand'!$A68)*('Отчет по покупателям УТ'!$K$6:$K$5000))</f>
        <v>-413.01</v>
      </c>
      <c r="M68" s="44">
        <f t="shared" si="19"/>
        <v>-413.01</v>
      </c>
      <c r="R68" s="9" t="b">
        <f t="shared" si="15"/>
        <v>1</v>
      </c>
      <c r="S68" s="228">
        <f t="shared" si="20"/>
        <v>0</v>
      </c>
      <c r="T68" s="228">
        <f t="shared" si="21"/>
        <v>-413.01</v>
      </c>
      <c r="U68" s="228">
        <f t="shared" si="22"/>
        <v>0</v>
      </c>
      <c r="V68" s="228">
        <f t="shared" si="23"/>
        <v>-413.01</v>
      </c>
      <c r="W68" s="228">
        <f t="shared" si="24"/>
        <v>0</v>
      </c>
      <c r="X68" s="228">
        <f t="shared" si="25"/>
        <v>-413.01</v>
      </c>
      <c r="Y68" s="228">
        <f t="shared" si="26"/>
        <v>0</v>
      </c>
      <c r="Z68" s="228">
        <f t="shared" si="27"/>
        <v>-413.01</v>
      </c>
      <c r="AA68" s="228">
        <f t="shared" si="28"/>
        <v>0</v>
      </c>
      <c r="AB68" s="228">
        <f t="shared" si="29"/>
        <v>-413.01</v>
      </c>
      <c r="AC68" s="247">
        <f t="shared" si="17"/>
        <v>-413.01</v>
      </c>
      <c r="AD68" s="227">
        <f t="shared" si="18"/>
        <v>0</v>
      </c>
    </row>
    <row r="69" spans="1:30" x14ac:dyDescent="0.2">
      <c r="A69" t="s">
        <v>152</v>
      </c>
      <c r="B69" t="s">
        <v>22</v>
      </c>
      <c r="D69" s="9">
        <v>-123449</v>
      </c>
      <c r="F69" s="9"/>
      <c r="G69" s="254">
        <f t="array" ref="G69">SUM(('Отчет по покупателям УТ'!$J$6:$J$5000='Adj Ageing by Brand'!$B69)*('Отчет по покупателям УТ'!$H$6:$H$5000='Adj Ageing by Brand'!G$8)*('Отчет по покупателям УТ'!$M$6:$M$5000='Adj Ageing by Brand'!$A69)*('Отчет по покупателям УТ'!$K$6:$K$5000))</f>
        <v>0</v>
      </c>
      <c r="H69" s="254">
        <f t="array" ref="H69">SUM(('Отчет по покупателям УТ'!$J$6:$J$5000='Adj Ageing by Brand'!$B69)*('Отчет по покупателям УТ'!$H$6:$H$5000='Adj Ageing by Brand'!H$8)*('Отчет по покупателям УТ'!$M$6:$M$5000='Adj Ageing by Brand'!$A69)*('Отчет по покупателям УТ'!$K$6:$K$5000))</f>
        <v>0</v>
      </c>
      <c r="I69" s="254">
        <f t="array" ref="I69">SUM(('Отчет по покупателям УТ'!$J$6:$J$5000='Adj Ageing by Brand'!$B69)*('Отчет по покупателям УТ'!$H$6:$H$5000='Adj Ageing by Brand'!I$8)*('Отчет по покупателям УТ'!$M$6:$M$5000='Adj Ageing by Brand'!$A69)*('Отчет по покупателям УТ'!$K$6:$K$5000))</f>
        <v>0</v>
      </c>
      <c r="J69" s="254">
        <f t="array" ref="J69">SUM(('Отчет по покупателям УТ'!$J$6:$J$5000='Adj Ageing by Brand'!$B69)*('Отчет по покупателям УТ'!$H$6:$H$5000='Adj Ageing by Brand'!J$8)*('Отчет по покупателям УТ'!$M$6:$M$5000='Adj Ageing by Brand'!$A69)*('Отчет по покупателям УТ'!$K$6:$K$5000))</f>
        <v>0</v>
      </c>
      <c r="K69" s="254">
        <f t="array" ref="K69">SUM(('Отчет по покупателям УТ'!$J$6:$J$5000='Adj Ageing by Brand'!$B69)*('Отчет по покупателям УТ'!$H$6:$H$5000='Adj Ageing by Brand'!K$8)*('Отчет по покупателям УТ'!$M$6:$M$5000='Adj Ageing by Brand'!$A69)*('Отчет по покупателям УТ'!$K$6:$K$5000))</f>
        <v>0</v>
      </c>
      <c r="L69" s="254">
        <f t="array" ref="L69">SUM(('Отчет по покупателям УТ'!$J$6:$J$5000='Adj Ageing by Brand'!$B69)*('Отчет по покупателям УТ'!$H$6:$H$5000='Adj Ageing by Brand'!L$8)*('Отчет по покупателям УТ'!$M$6:$M$5000='Adj Ageing by Brand'!$A69)*('Отчет по покупателям УТ'!$K$6:$K$5000))</f>
        <v>-123449</v>
      </c>
      <c r="M69" s="44">
        <f t="shared" si="19"/>
        <v>-123449</v>
      </c>
      <c r="R69" s="9" t="b">
        <f t="shared" si="15"/>
        <v>1</v>
      </c>
      <c r="S69" s="228">
        <f t="shared" si="20"/>
        <v>0</v>
      </c>
      <c r="T69" s="228">
        <f t="shared" si="21"/>
        <v>-123449</v>
      </c>
      <c r="U69" s="228">
        <f t="shared" si="22"/>
        <v>0</v>
      </c>
      <c r="V69" s="228">
        <f t="shared" si="23"/>
        <v>-123449</v>
      </c>
      <c r="W69" s="228">
        <f t="shared" si="24"/>
        <v>0</v>
      </c>
      <c r="X69" s="228">
        <f t="shared" si="25"/>
        <v>-123449</v>
      </c>
      <c r="Y69" s="228">
        <f t="shared" si="26"/>
        <v>0</v>
      </c>
      <c r="Z69" s="228">
        <f t="shared" si="27"/>
        <v>-123449</v>
      </c>
      <c r="AA69" s="228">
        <f t="shared" si="28"/>
        <v>0</v>
      </c>
      <c r="AB69" s="228">
        <f t="shared" si="29"/>
        <v>-123449</v>
      </c>
      <c r="AC69" s="247">
        <f t="shared" si="17"/>
        <v>-123449</v>
      </c>
      <c r="AD69" s="227">
        <f t="shared" si="18"/>
        <v>0</v>
      </c>
    </row>
    <row r="70" spans="1:30" x14ac:dyDescent="0.2">
      <c r="A70" t="s">
        <v>152</v>
      </c>
      <c r="B70" t="s">
        <v>31</v>
      </c>
      <c r="D70" s="9">
        <v>-118113</v>
      </c>
      <c r="F70" s="9"/>
      <c r="G70" s="254">
        <f t="array" ref="G70">SUM(('Отчет по покупателям УТ'!$J$6:$J$5000='Adj Ageing by Brand'!$B70)*('Отчет по покупателям УТ'!$H$6:$H$5000='Adj Ageing by Brand'!G$8)*('Отчет по покупателям УТ'!$M$6:$M$5000='Adj Ageing by Brand'!$A70)*('Отчет по покупателям УТ'!$K$6:$K$5000))</f>
        <v>0</v>
      </c>
      <c r="H70" s="254">
        <f t="array" ref="H70">SUM(('Отчет по покупателям УТ'!$J$6:$J$5000='Adj Ageing by Brand'!$B70)*('Отчет по покупателям УТ'!$H$6:$H$5000='Adj Ageing by Brand'!H$8)*('Отчет по покупателям УТ'!$M$6:$M$5000='Adj Ageing by Brand'!$A70)*('Отчет по покупателям УТ'!$K$6:$K$5000))</f>
        <v>0</v>
      </c>
      <c r="I70" s="254">
        <f t="array" ref="I70">SUM(('Отчет по покупателям УТ'!$J$6:$J$5000='Adj Ageing by Brand'!$B70)*('Отчет по покупателям УТ'!$H$6:$H$5000='Adj Ageing by Brand'!I$8)*('Отчет по покупателям УТ'!$M$6:$M$5000='Adj Ageing by Brand'!$A70)*('Отчет по покупателям УТ'!$K$6:$K$5000))</f>
        <v>0</v>
      </c>
      <c r="J70" s="254">
        <f t="array" ref="J70">SUM(('Отчет по покупателям УТ'!$J$6:$J$5000='Adj Ageing by Brand'!$B70)*('Отчет по покупателям УТ'!$H$6:$H$5000='Adj Ageing by Brand'!J$8)*('Отчет по покупателям УТ'!$M$6:$M$5000='Adj Ageing by Brand'!$A70)*('Отчет по покупателям УТ'!$K$6:$K$5000))</f>
        <v>0</v>
      </c>
      <c r="K70" s="254">
        <f t="array" ref="K70">SUM(('Отчет по покупателям УТ'!$J$6:$J$5000='Adj Ageing by Brand'!$B70)*('Отчет по покупателям УТ'!$H$6:$H$5000='Adj Ageing by Brand'!K$8)*('Отчет по покупателям УТ'!$M$6:$M$5000='Adj Ageing by Brand'!$A70)*('Отчет по покупателям УТ'!$K$6:$K$5000))</f>
        <v>0</v>
      </c>
      <c r="L70" s="254">
        <f t="array" ref="L70">SUM(('Отчет по покупателям УТ'!$J$6:$J$5000='Adj Ageing by Brand'!$B70)*('Отчет по покупателям УТ'!$H$6:$H$5000='Adj Ageing by Brand'!L$8)*('Отчет по покупателям УТ'!$M$6:$M$5000='Adj Ageing by Brand'!$A70)*('Отчет по покупателям УТ'!$K$6:$K$5000))</f>
        <v>-118113</v>
      </c>
      <c r="M70" s="44">
        <f t="shared" si="19"/>
        <v>-118113</v>
      </c>
      <c r="R70" s="9" t="b">
        <f t="shared" si="15"/>
        <v>1</v>
      </c>
      <c r="S70" s="228">
        <f t="shared" si="20"/>
        <v>0</v>
      </c>
      <c r="T70" s="228">
        <f t="shared" si="21"/>
        <v>-118113</v>
      </c>
      <c r="U70" s="228">
        <f t="shared" si="22"/>
        <v>0</v>
      </c>
      <c r="V70" s="228">
        <f t="shared" si="23"/>
        <v>-118113</v>
      </c>
      <c r="W70" s="228">
        <f t="shared" si="24"/>
        <v>0</v>
      </c>
      <c r="X70" s="228">
        <f t="shared" si="25"/>
        <v>-118113</v>
      </c>
      <c r="Y70" s="228">
        <f t="shared" si="26"/>
        <v>0</v>
      </c>
      <c r="Z70" s="228">
        <f t="shared" si="27"/>
        <v>-118113</v>
      </c>
      <c r="AA70" s="228">
        <f t="shared" si="28"/>
        <v>0</v>
      </c>
      <c r="AB70" s="228">
        <f t="shared" si="29"/>
        <v>-118113</v>
      </c>
      <c r="AC70" s="247">
        <f t="shared" si="17"/>
        <v>-118113</v>
      </c>
      <c r="AD70" s="227">
        <f t="shared" si="18"/>
        <v>0</v>
      </c>
    </row>
    <row r="71" spans="1:30" x14ac:dyDescent="0.2">
      <c r="A71" t="s">
        <v>154</v>
      </c>
      <c r="B71" t="s">
        <v>22</v>
      </c>
      <c r="D71" s="9">
        <v>-178707.59999999998</v>
      </c>
      <c r="F71" s="9"/>
      <c r="G71" s="254">
        <f t="array" ref="G71">SUM(('Отчет по покупателям УТ'!$J$6:$J$5000='Adj Ageing by Brand'!$B71)*('Отчет по покупателям УТ'!$H$6:$H$5000='Adj Ageing by Brand'!G$8)*('Отчет по покупателям УТ'!$M$6:$M$5000='Adj Ageing by Brand'!$A71)*('Отчет по покупателям УТ'!$K$6:$K$5000))</f>
        <v>0</v>
      </c>
      <c r="H71" s="254">
        <f t="array" ref="H71">SUM(('Отчет по покупателям УТ'!$J$6:$J$5000='Adj Ageing by Brand'!$B71)*('Отчет по покупателям УТ'!$H$6:$H$5000='Adj Ageing by Brand'!H$8)*('Отчет по покупателям УТ'!$M$6:$M$5000='Adj Ageing by Brand'!$A71)*('Отчет по покупателям УТ'!$K$6:$K$5000))</f>
        <v>0</v>
      </c>
      <c r="I71" s="254">
        <f t="array" ref="I71">SUM(('Отчет по покупателям УТ'!$J$6:$J$5000='Adj Ageing by Brand'!$B71)*('Отчет по покупателям УТ'!$H$6:$H$5000='Adj Ageing by Brand'!I$8)*('Отчет по покупателям УТ'!$M$6:$M$5000='Adj Ageing by Brand'!$A71)*('Отчет по покупателям УТ'!$K$6:$K$5000))</f>
        <v>0</v>
      </c>
      <c r="J71" s="254">
        <f t="array" ref="J71">SUM(('Отчет по покупателям УТ'!$J$6:$J$5000='Adj Ageing by Brand'!$B71)*('Отчет по покупателям УТ'!$H$6:$H$5000='Adj Ageing by Brand'!J$8)*('Отчет по покупателям УТ'!$M$6:$M$5000='Adj Ageing by Brand'!$A71)*('Отчет по покупателям УТ'!$K$6:$K$5000))</f>
        <v>0</v>
      </c>
      <c r="K71" s="254">
        <f t="array" ref="K71">SUM(('Отчет по покупателям УТ'!$J$6:$J$5000='Adj Ageing by Brand'!$B71)*('Отчет по покупателям УТ'!$H$6:$H$5000='Adj Ageing by Brand'!K$8)*('Отчет по покупателям УТ'!$M$6:$M$5000='Adj Ageing by Brand'!$A71)*('Отчет по покупателям УТ'!$K$6:$K$5000))</f>
        <v>0</v>
      </c>
      <c r="L71" s="254">
        <f t="array" ref="L71">SUM(('Отчет по покупателям УТ'!$J$6:$J$5000='Adj Ageing by Brand'!$B71)*('Отчет по покупателям УТ'!$H$6:$H$5000='Adj Ageing by Brand'!L$8)*('Отчет по покупателям УТ'!$M$6:$M$5000='Adj Ageing by Brand'!$A71)*('Отчет по покупателям УТ'!$K$6:$K$5000))</f>
        <v>-178707.59999999998</v>
      </c>
      <c r="M71" s="44">
        <f t="shared" si="19"/>
        <v>-178707.59999999998</v>
      </c>
      <c r="R71" s="9" t="b">
        <f t="shared" si="15"/>
        <v>1</v>
      </c>
      <c r="S71" s="228">
        <f t="shared" si="20"/>
        <v>0</v>
      </c>
      <c r="T71" s="228">
        <f t="shared" si="21"/>
        <v>-178707.59999999998</v>
      </c>
      <c r="U71" s="228">
        <f t="shared" si="22"/>
        <v>0</v>
      </c>
      <c r="V71" s="228">
        <f t="shared" si="23"/>
        <v>-178707.59999999998</v>
      </c>
      <c r="W71" s="228">
        <f t="shared" si="24"/>
        <v>0</v>
      </c>
      <c r="X71" s="228">
        <f t="shared" si="25"/>
        <v>-178707.59999999998</v>
      </c>
      <c r="Y71" s="228">
        <f t="shared" si="26"/>
        <v>0</v>
      </c>
      <c r="Z71" s="228">
        <f t="shared" si="27"/>
        <v>-178707.59999999998</v>
      </c>
      <c r="AA71" s="228">
        <f t="shared" si="28"/>
        <v>0</v>
      </c>
      <c r="AB71" s="228">
        <f t="shared" si="29"/>
        <v>-178707.59999999998</v>
      </c>
      <c r="AC71" s="247">
        <f t="shared" si="17"/>
        <v>-178707.59999999998</v>
      </c>
      <c r="AD71" s="227">
        <f t="shared" si="18"/>
        <v>0</v>
      </c>
    </row>
    <row r="72" spans="1:30" x14ac:dyDescent="0.2">
      <c r="A72" t="s">
        <v>156</v>
      </c>
      <c r="B72" t="s">
        <v>22</v>
      </c>
      <c r="D72" s="9">
        <v>-110330.7</v>
      </c>
      <c r="F72" s="9"/>
      <c r="G72" s="254">
        <f t="array" ref="G72">SUM(('Отчет по покупателям УТ'!$J$6:$J$5000='Adj Ageing by Brand'!$B72)*('Отчет по покупателям УТ'!$H$6:$H$5000='Adj Ageing by Brand'!G$8)*('Отчет по покупателям УТ'!$M$6:$M$5000='Adj Ageing by Brand'!$A72)*('Отчет по покупателям УТ'!$K$6:$K$5000))</f>
        <v>0</v>
      </c>
      <c r="H72" s="254">
        <f t="array" ref="H72">SUM(('Отчет по покупателям УТ'!$J$6:$J$5000='Adj Ageing by Brand'!$B72)*('Отчет по покупателям УТ'!$H$6:$H$5000='Adj Ageing by Brand'!H$8)*('Отчет по покупателям УТ'!$M$6:$M$5000='Adj Ageing by Brand'!$A72)*('Отчет по покупателям УТ'!$K$6:$K$5000))</f>
        <v>0</v>
      </c>
      <c r="I72" s="254">
        <f t="array" ref="I72">SUM(('Отчет по покупателям УТ'!$J$6:$J$5000='Adj Ageing by Brand'!$B72)*('Отчет по покупателям УТ'!$H$6:$H$5000='Adj Ageing by Brand'!I$8)*('Отчет по покупателям УТ'!$M$6:$M$5000='Adj Ageing by Brand'!$A72)*('Отчет по покупателям УТ'!$K$6:$K$5000))</f>
        <v>0</v>
      </c>
      <c r="J72" s="254">
        <f t="array" ref="J72">SUM(('Отчет по покупателям УТ'!$J$6:$J$5000='Adj Ageing by Brand'!$B72)*('Отчет по покупателям УТ'!$H$6:$H$5000='Adj Ageing by Brand'!J$8)*('Отчет по покупателям УТ'!$M$6:$M$5000='Adj Ageing by Brand'!$A72)*('Отчет по покупателям УТ'!$K$6:$K$5000))</f>
        <v>0</v>
      </c>
      <c r="K72" s="254">
        <f t="array" ref="K72">SUM(('Отчет по покупателям УТ'!$J$6:$J$5000='Adj Ageing by Brand'!$B72)*('Отчет по покупателям УТ'!$H$6:$H$5000='Adj Ageing by Brand'!K$8)*('Отчет по покупателям УТ'!$M$6:$M$5000='Adj Ageing by Brand'!$A72)*('Отчет по покупателям УТ'!$K$6:$K$5000))</f>
        <v>0</v>
      </c>
      <c r="L72" s="254">
        <f t="array" ref="L72">SUM(('Отчет по покупателям УТ'!$J$6:$J$5000='Adj Ageing by Brand'!$B72)*('Отчет по покупателям УТ'!$H$6:$H$5000='Adj Ageing by Brand'!L$8)*('Отчет по покупателям УТ'!$M$6:$M$5000='Adj Ageing by Brand'!$A72)*('Отчет по покупателям УТ'!$K$6:$K$5000))</f>
        <v>-110330.7</v>
      </c>
      <c r="M72" s="44">
        <f t="shared" si="19"/>
        <v>-110330.7</v>
      </c>
      <c r="R72" s="9" t="b">
        <f t="shared" si="15"/>
        <v>1</v>
      </c>
      <c r="S72" s="228">
        <f t="shared" si="20"/>
        <v>0</v>
      </c>
      <c r="T72" s="228">
        <f t="shared" si="21"/>
        <v>-110330.7</v>
      </c>
      <c r="U72" s="228">
        <f t="shared" si="22"/>
        <v>0</v>
      </c>
      <c r="V72" s="228">
        <f t="shared" si="23"/>
        <v>-110330.7</v>
      </c>
      <c r="W72" s="228">
        <f t="shared" si="24"/>
        <v>0</v>
      </c>
      <c r="X72" s="228">
        <f t="shared" si="25"/>
        <v>-110330.7</v>
      </c>
      <c r="Y72" s="228">
        <f t="shared" si="26"/>
        <v>0</v>
      </c>
      <c r="Z72" s="228">
        <f t="shared" si="27"/>
        <v>-110330.7</v>
      </c>
      <c r="AA72" s="228">
        <f t="shared" si="28"/>
        <v>0</v>
      </c>
      <c r="AB72" s="228">
        <f t="shared" si="29"/>
        <v>-110330.7</v>
      </c>
      <c r="AC72" s="247">
        <f t="shared" si="17"/>
        <v>-110330.7</v>
      </c>
      <c r="AD72" s="227">
        <f t="shared" si="18"/>
        <v>0</v>
      </c>
    </row>
    <row r="73" spans="1:30" x14ac:dyDescent="0.2">
      <c r="A73" t="s">
        <v>158</v>
      </c>
      <c r="B73" t="s">
        <v>22</v>
      </c>
      <c r="D73" s="9">
        <v>-245.97</v>
      </c>
      <c r="F73" s="9"/>
      <c r="G73" s="254">
        <f t="array" ref="G73">SUM(('Отчет по покупателям УТ'!$J$6:$J$5000='Adj Ageing by Brand'!$B73)*('Отчет по покупателям УТ'!$H$6:$H$5000='Adj Ageing by Brand'!G$8)*('Отчет по покупателям УТ'!$M$6:$M$5000='Adj Ageing by Brand'!$A73)*('Отчет по покупателям УТ'!$K$6:$K$5000))</f>
        <v>0</v>
      </c>
      <c r="H73" s="254">
        <f t="array" ref="H73">SUM(('Отчет по покупателям УТ'!$J$6:$J$5000='Adj Ageing by Brand'!$B73)*('Отчет по покупателям УТ'!$H$6:$H$5000='Adj Ageing by Brand'!H$8)*('Отчет по покупателям УТ'!$M$6:$M$5000='Adj Ageing by Brand'!$A73)*('Отчет по покупателям УТ'!$K$6:$K$5000))</f>
        <v>0</v>
      </c>
      <c r="I73" s="254">
        <f t="array" ref="I73">SUM(('Отчет по покупателям УТ'!$J$6:$J$5000='Adj Ageing by Brand'!$B73)*('Отчет по покупателям УТ'!$H$6:$H$5000='Adj Ageing by Brand'!I$8)*('Отчет по покупателям УТ'!$M$6:$M$5000='Adj Ageing by Brand'!$A73)*('Отчет по покупателям УТ'!$K$6:$K$5000))</f>
        <v>0</v>
      </c>
      <c r="J73" s="254">
        <f t="array" ref="J73">SUM(('Отчет по покупателям УТ'!$J$6:$J$5000='Adj Ageing by Brand'!$B73)*('Отчет по покупателям УТ'!$H$6:$H$5000='Adj Ageing by Brand'!J$8)*('Отчет по покупателям УТ'!$M$6:$M$5000='Adj Ageing by Brand'!$A73)*('Отчет по покупателям УТ'!$K$6:$K$5000))</f>
        <v>0</v>
      </c>
      <c r="K73" s="254">
        <f t="array" ref="K73">SUM(('Отчет по покупателям УТ'!$J$6:$J$5000='Adj Ageing by Brand'!$B73)*('Отчет по покупателям УТ'!$H$6:$H$5000='Adj Ageing by Brand'!K$8)*('Отчет по покупателям УТ'!$M$6:$M$5000='Adj Ageing by Brand'!$A73)*('Отчет по покупателям УТ'!$K$6:$K$5000))</f>
        <v>0</v>
      </c>
      <c r="L73" s="254">
        <f t="array" ref="L73">SUM(('Отчет по покупателям УТ'!$J$6:$J$5000='Adj Ageing by Brand'!$B73)*('Отчет по покупателям УТ'!$H$6:$H$5000='Adj Ageing by Brand'!L$8)*('Отчет по покупателям УТ'!$M$6:$M$5000='Adj Ageing by Brand'!$A73)*('Отчет по покупателям УТ'!$K$6:$K$5000))</f>
        <v>-245.97</v>
      </c>
      <c r="M73" s="44">
        <f t="shared" ref="M73:M104" si="30">SUM(G73:L73)</f>
        <v>-245.97</v>
      </c>
      <c r="R73" s="9" t="b">
        <f t="shared" si="15"/>
        <v>1</v>
      </c>
      <c r="S73" s="228">
        <f t="shared" ref="S73:S104" si="31">IF(G73+T73&lt;0,0,G73+T73)</f>
        <v>0</v>
      </c>
      <c r="T73" s="228">
        <f t="shared" ref="T73:T104" si="32">IF(L73+K73+J73+I73+H73&lt;0,L73+K73+J73+I73+H73,0)</f>
        <v>-245.97</v>
      </c>
      <c r="U73" s="228">
        <f t="shared" ref="U73:U104" si="33">IF(H73+V73&lt;0,0,H73+V73)</f>
        <v>0</v>
      </c>
      <c r="V73" s="228">
        <f t="shared" ref="V73:V104" si="34">IF(L73+K73+J73+I73&lt;0,L73+K73+J73+I73,0)</f>
        <v>-245.97</v>
      </c>
      <c r="W73" s="228">
        <f t="shared" ref="W73:W104" si="35">IF(I73+X73&lt;0,0,I73+X73)</f>
        <v>0</v>
      </c>
      <c r="X73" s="228">
        <f t="shared" ref="X73:X104" si="36">IF(L73+K73+J73&lt;0,L73+K73+J73,0)</f>
        <v>-245.97</v>
      </c>
      <c r="Y73" s="228">
        <f t="shared" ref="Y73:Y104" si="37">IF(J73+Z73&lt;0,0,J73+Z73)</f>
        <v>0</v>
      </c>
      <c r="Z73" s="228">
        <f t="shared" ref="Z73:Z104" si="38">IF(L73+K73&lt;0,L73+K73,0)</f>
        <v>-245.97</v>
      </c>
      <c r="AA73" s="228">
        <f t="shared" ref="AA73:AA104" si="39">IF(K73+L73&lt;0,0,K73+L73)</f>
        <v>0</v>
      </c>
      <c r="AB73" s="228">
        <f t="shared" ref="AB73:AB104" si="40">IF(SUM(G73:L73)&lt;0,M73,0)</f>
        <v>-245.97</v>
      </c>
      <c r="AC73" s="247">
        <f t="shared" si="17"/>
        <v>-245.97</v>
      </c>
      <c r="AD73" s="227">
        <f t="shared" si="18"/>
        <v>0</v>
      </c>
    </row>
    <row r="74" spans="1:30" x14ac:dyDescent="0.2">
      <c r="A74" t="s">
        <v>164</v>
      </c>
      <c r="B74" t="s">
        <v>16</v>
      </c>
      <c r="D74" s="9">
        <v>-79689.259999999995</v>
      </c>
      <c r="F74" s="9"/>
      <c r="G74" s="254">
        <f t="array" ref="G74">SUM(('Отчет по покупателям УТ'!$J$6:$J$5000='Adj Ageing by Brand'!$B74)*('Отчет по покупателям УТ'!$H$6:$H$5000='Adj Ageing by Brand'!G$8)*('Отчет по покупателям УТ'!$M$6:$M$5000='Adj Ageing by Brand'!$A74)*('Отчет по покупателям УТ'!$K$6:$K$5000))</f>
        <v>0</v>
      </c>
      <c r="H74" s="254">
        <f t="array" ref="H74">SUM(('Отчет по покупателям УТ'!$J$6:$J$5000='Adj Ageing by Brand'!$B74)*('Отчет по покупателям УТ'!$H$6:$H$5000='Adj Ageing by Brand'!H$8)*('Отчет по покупателям УТ'!$M$6:$M$5000='Adj Ageing by Brand'!$A74)*('Отчет по покупателям УТ'!$K$6:$K$5000))</f>
        <v>0</v>
      </c>
      <c r="I74" s="254">
        <f t="array" ref="I74">SUM(('Отчет по покупателям УТ'!$J$6:$J$5000='Adj Ageing by Brand'!$B74)*('Отчет по покупателям УТ'!$H$6:$H$5000='Adj Ageing by Brand'!I$8)*('Отчет по покупателям УТ'!$M$6:$M$5000='Adj Ageing by Brand'!$A74)*('Отчет по покупателям УТ'!$K$6:$K$5000))</f>
        <v>0</v>
      </c>
      <c r="J74" s="254">
        <f t="array" ref="J74">SUM(('Отчет по покупателям УТ'!$J$6:$J$5000='Adj Ageing by Brand'!$B74)*('Отчет по покупателям УТ'!$H$6:$H$5000='Adj Ageing by Brand'!J$8)*('Отчет по покупателям УТ'!$M$6:$M$5000='Adj Ageing by Brand'!$A74)*('Отчет по покупателям УТ'!$K$6:$K$5000))</f>
        <v>0</v>
      </c>
      <c r="K74" s="254">
        <f t="array" ref="K74">SUM(('Отчет по покупателям УТ'!$J$6:$J$5000='Adj Ageing by Brand'!$B74)*('Отчет по покупателям УТ'!$H$6:$H$5000='Adj Ageing by Brand'!K$8)*('Отчет по покупателям УТ'!$M$6:$M$5000='Adj Ageing by Brand'!$A74)*('Отчет по покупателям УТ'!$K$6:$K$5000))</f>
        <v>0</v>
      </c>
      <c r="L74" s="254">
        <f t="array" ref="L74">SUM(('Отчет по покупателям УТ'!$J$6:$J$5000='Adj Ageing by Brand'!$B74)*('Отчет по покупателям УТ'!$H$6:$H$5000='Adj Ageing by Brand'!L$8)*('Отчет по покупателям УТ'!$M$6:$M$5000='Adj Ageing by Brand'!$A74)*('Отчет по покупателям УТ'!$K$6:$K$5000))</f>
        <v>-79689.259999999995</v>
      </c>
      <c r="M74" s="44">
        <f t="shared" si="30"/>
        <v>-79689.259999999995</v>
      </c>
      <c r="R74" s="9" t="b">
        <f t="shared" ref="R74:R127" si="41">M74=SUM(S74,U74,W74,Y74,AA74,AB74)</f>
        <v>1</v>
      </c>
      <c r="S74" s="228">
        <f t="shared" si="31"/>
        <v>0</v>
      </c>
      <c r="T74" s="228">
        <f t="shared" si="32"/>
        <v>-79689.259999999995</v>
      </c>
      <c r="U74" s="228">
        <f t="shared" si="33"/>
        <v>0</v>
      </c>
      <c r="V74" s="228">
        <f t="shared" si="34"/>
        <v>-79689.259999999995</v>
      </c>
      <c r="W74" s="228">
        <f t="shared" si="35"/>
        <v>0</v>
      </c>
      <c r="X74" s="228">
        <f t="shared" si="36"/>
        <v>-79689.259999999995</v>
      </c>
      <c r="Y74" s="228">
        <f t="shared" si="37"/>
        <v>0</v>
      </c>
      <c r="Z74" s="228">
        <f t="shared" si="38"/>
        <v>-79689.259999999995</v>
      </c>
      <c r="AA74" s="228">
        <f t="shared" si="39"/>
        <v>0</v>
      </c>
      <c r="AB74" s="228">
        <f t="shared" si="40"/>
        <v>-79689.259999999995</v>
      </c>
      <c r="AC74" s="247">
        <f t="shared" ref="AC74:AC127" si="42">SUM(AB74,AA74,Y74,W74,U74,S74)</f>
        <v>-79689.259999999995</v>
      </c>
      <c r="AD74" s="227">
        <f t="shared" ref="AD74:AD137" si="43">SUM(S74,U74,W74,Y74,AA74)</f>
        <v>0</v>
      </c>
    </row>
    <row r="75" spans="1:30" x14ac:dyDescent="0.2">
      <c r="A75" t="s">
        <v>168</v>
      </c>
      <c r="B75" t="s">
        <v>22</v>
      </c>
      <c r="D75" s="9">
        <v>-35353.949999999997</v>
      </c>
      <c r="F75" s="9"/>
      <c r="G75" s="254">
        <f t="array" ref="G75">SUM(('Отчет по покупателям УТ'!$J$6:$J$5000='Adj Ageing by Brand'!$B75)*('Отчет по покупателям УТ'!$H$6:$H$5000='Adj Ageing by Brand'!G$8)*('Отчет по покупателям УТ'!$M$6:$M$5000='Adj Ageing by Brand'!$A75)*('Отчет по покупателям УТ'!$K$6:$K$5000))</f>
        <v>0</v>
      </c>
      <c r="H75" s="254">
        <f t="array" ref="H75">SUM(('Отчет по покупателям УТ'!$J$6:$J$5000='Adj Ageing by Brand'!$B75)*('Отчет по покупателям УТ'!$H$6:$H$5000='Adj Ageing by Brand'!H$8)*('Отчет по покупателям УТ'!$M$6:$M$5000='Adj Ageing by Brand'!$A75)*('Отчет по покупателям УТ'!$K$6:$K$5000))</f>
        <v>0</v>
      </c>
      <c r="I75" s="254">
        <f t="array" ref="I75">SUM(('Отчет по покупателям УТ'!$J$6:$J$5000='Adj Ageing by Brand'!$B75)*('Отчет по покупателям УТ'!$H$6:$H$5000='Adj Ageing by Brand'!I$8)*('Отчет по покупателям УТ'!$M$6:$M$5000='Adj Ageing by Brand'!$A75)*('Отчет по покупателям УТ'!$K$6:$K$5000))</f>
        <v>0</v>
      </c>
      <c r="J75" s="254">
        <f t="array" ref="J75">SUM(('Отчет по покупателям УТ'!$J$6:$J$5000='Adj Ageing by Brand'!$B75)*('Отчет по покупателям УТ'!$H$6:$H$5000='Adj Ageing by Brand'!J$8)*('Отчет по покупателям УТ'!$M$6:$M$5000='Adj Ageing by Brand'!$A75)*('Отчет по покупателям УТ'!$K$6:$K$5000))</f>
        <v>0</v>
      </c>
      <c r="K75" s="254">
        <f t="array" ref="K75">SUM(('Отчет по покупателям УТ'!$J$6:$J$5000='Adj Ageing by Brand'!$B75)*('Отчет по покупателям УТ'!$H$6:$H$5000='Adj Ageing by Brand'!K$8)*('Отчет по покупателям УТ'!$M$6:$M$5000='Adj Ageing by Brand'!$A75)*('Отчет по покупателям УТ'!$K$6:$K$5000))</f>
        <v>0</v>
      </c>
      <c r="L75" s="254">
        <f t="array" ref="L75">SUM(('Отчет по покупателям УТ'!$J$6:$J$5000='Adj Ageing by Brand'!$B75)*('Отчет по покупателям УТ'!$H$6:$H$5000='Adj Ageing by Brand'!L$8)*('Отчет по покупателям УТ'!$M$6:$M$5000='Adj Ageing by Brand'!$A75)*('Отчет по покупателям УТ'!$K$6:$K$5000))</f>
        <v>-35353.949999999997</v>
      </c>
      <c r="M75" s="44">
        <f t="shared" si="30"/>
        <v>-35353.949999999997</v>
      </c>
      <c r="R75" s="9" t="b">
        <f t="shared" si="41"/>
        <v>1</v>
      </c>
      <c r="S75" s="228">
        <f t="shared" si="31"/>
        <v>0</v>
      </c>
      <c r="T75" s="228">
        <f t="shared" si="32"/>
        <v>-35353.949999999997</v>
      </c>
      <c r="U75" s="228">
        <f t="shared" si="33"/>
        <v>0</v>
      </c>
      <c r="V75" s="228">
        <f t="shared" si="34"/>
        <v>-35353.949999999997</v>
      </c>
      <c r="W75" s="228">
        <f t="shared" si="35"/>
        <v>0</v>
      </c>
      <c r="X75" s="228">
        <f t="shared" si="36"/>
        <v>-35353.949999999997</v>
      </c>
      <c r="Y75" s="228">
        <f t="shared" si="37"/>
        <v>0</v>
      </c>
      <c r="Z75" s="228">
        <f t="shared" si="38"/>
        <v>-35353.949999999997</v>
      </c>
      <c r="AA75" s="228">
        <f t="shared" si="39"/>
        <v>0</v>
      </c>
      <c r="AB75" s="228">
        <f t="shared" si="40"/>
        <v>-35353.949999999997</v>
      </c>
      <c r="AC75" s="247">
        <f t="shared" si="42"/>
        <v>-35353.949999999997</v>
      </c>
      <c r="AD75" s="227">
        <f t="shared" si="43"/>
        <v>0</v>
      </c>
    </row>
    <row r="76" spans="1:30" x14ac:dyDescent="0.2">
      <c r="A76" t="s">
        <v>173</v>
      </c>
      <c r="B76" t="s">
        <v>22</v>
      </c>
      <c r="D76" s="9">
        <v>-57267</v>
      </c>
      <c r="F76" s="9"/>
      <c r="G76" s="254">
        <f t="array" ref="G76">SUM(('Отчет по покупателям УТ'!$J$6:$J$5000='Adj Ageing by Brand'!$B76)*('Отчет по покупателям УТ'!$H$6:$H$5000='Adj Ageing by Brand'!G$8)*('Отчет по покупателям УТ'!$M$6:$M$5000='Adj Ageing by Brand'!$A76)*('Отчет по покупателям УТ'!$K$6:$K$5000))</f>
        <v>0</v>
      </c>
      <c r="H76" s="254">
        <f t="array" ref="H76">SUM(('Отчет по покупателям УТ'!$J$6:$J$5000='Adj Ageing by Brand'!$B76)*('Отчет по покупателям УТ'!$H$6:$H$5000='Adj Ageing by Brand'!H$8)*('Отчет по покупателям УТ'!$M$6:$M$5000='Adj Ageing by Brand'!$A76)*('Отчет по покупателям УТ'!$K$6:$K$5000))</f>
        <v>0</v>
      </c>
      <c r="I76" s="254">
        <f t="array" ref="I76">SUM(('Отчет по покупателям УТ'!$J$6:$J$5000='Adj Ageing by Brand'!$B76)*('Отчет по покупателям УТ'!$H$6:$H$5000='Adj Ageing by Brand'!I$8)*('Отчет по покупателям УТ'!$M$6:$M$5000='Adj Ageing by Brand'!$A76)*('Отчет по покупателям УТ'!$K$6:$K$5000))</f>
        <v>0</v>
      </c>
      <c r="J76" s="254">
        <f t="array" ref="J76">SUM(('Отчет по покупателям УТ'!$J$6:$J$5000='Adj Ageing by Brand'!$B76)*('Отчет по покупателям УТ'!$H$6:$H$5000='Adj Ageing by Brand'!J$8)*('Отчет по покупателям УТ'!$M$6:$M$5000='Adj Ageing by Brand'!$A76)*('Отчет по покупателям УТ'!$K$6:$K$5000))</f>
        <v>0</v>
      </c>
      <c r="K76" s="254">
        <f t="array" ref="K76">SUM(('Отчет по покупателям УТ'!$J$6:$J$5000='Adj Ageing by Brand'!$B76)*('Отчет по покупателям УТ'!$H$6:$H$5000='Adj Ageing by Brand'!K$8)*('Отчет по покупателям УТ'!$M$6:$M$5000='Adj Ageing by Brand'!$A76)*('Отчет по покупателям УТ'!$K$6:$K$5000))</f>
        <v>0</v>
      </c>
      <c r="L76" s="254">
        <f t="array" ref="L76">SUM(('Отчет по покупателям УТ'!$J$6:$J$5000='Adj Ageing by Brand'!$B76)*('Отчет по покупателям УТ'!$H$6:$H$5000='Adj Ageing by Brand'!L$8)*('Отчет по покупателям УТ'!$M$6:$M$5000='Adj Ageing by Brand'!$A76)*('Отчет по покупателям УТ'!$K$6:$K$5000))</f>
        <v>-57267</v>
      </c>
      <c r="M76" s="44">
        <f t="shared" si="30"/>
        <v>-57267</v>
      </c>
      <c r="R76" s="9" t="b">
        <f t="shared" si="41"/>
        <v>1</v>
      </c>
      <c r="S76" s="228">
        <f t="shared" si="31"/>
        <v>0</v>
      </c>
      <c r="T76" s="228">
        <f t="shared" si="32"/>
        <v>-57267</v>
      </c>
      <c r="U76" s="228">
        <f t="shared" si="33"/>
        <v>0</v>
      </c>
      <c r="V76" s="228">
        <f t="shared" si="34"/>
        <v>-57267</v>
      </c>
      <c r="W76" s="228">
        <f t="shared" si="35"/>
        <v>0</v>
      </c>
      <c r="X76" s="228">
        <f t="shared" si="36"/>
        <v>-57267</v>
      </c>
      <c r="Y76" s="228">
        <f t="shared" si="37"/>
        <v>0</v>
      </c>
      <c r="Z76" s="228">
        <f t="shared" si="38"/>
        <v>-57267</v>
      </c>
      <c r="AA76" s="228">
        <f t="shared" si="39"/>
        <v>0</v>
      </c>
      <c r="AB76" s="228">
        <f t="shared" si="40"/>
        <v>-57267</v>
      </c>
      <c r="AC76" s="247">
        <f t="shared" si="42"/>
        <v>-57267</v>
      </c>
      <c r="AD76" s="227">
        <f t="shared" si="43"/>
        <v>0</v>
      </c>
    </row>
    <row r="77" spans="1:30" x14ac:dyDescent="0.2">
      <c r="A77" t="s">
        <v>178</v>
      </c>
      <c r="B77" t="s">
        <v>22</v>
      </c>
      <c r="D77" s="9">
        <v>-305524.31</v>
      </c>
      <c r="F77" s="9"/>
      <c r="G77" s="254">
        <f t="array" ref="G77">SUM(('Отчет по покупателям УТ'!$J$6:$J$5000='Adj Ageing by Brand'!$B77)*('Отчет по покупателям УТ'!$H$6:$H$5000='Adj Ageing by Brand'!G$8)*('Отчет по покупателям УТ'!$M$6:$M$5000='Adj Ageing by Brand'!$A77)*('Отчет по покупателям УТ'!$K$6:$K$5000))</f>
        <v>0</v>
      </c>
      <c r="H77" s="254">
        <f t="array" ref="H77">SUM(('Отчет по покупателям УТ'!$J$6:$J$5000='Adj Ageing by Brand'!$B77)*('Отчет по покупателям УТ'!$H$6:$H$5000='Adj Ageing by Brand'!H$8)*('Отчет по покупателям УТ'!$M$6:$M$5000='Adj Ageing by Brand'!$A77)*('Отчет по покупателям УТ'!$K$6:$K$5000))</f>
        <v>0</v>
      </c>
      <c r="I77" s="254">
        <f t="array" ref="I77">SUM(('Отчет по покупателям УТ'!$J$6:$J$5000='Adj Ageing by Brand'!$B77)*('Отчет по покупателям УТ'!$H$6:$H$5000='Adj Ageing by Brand'!I$8)*('Отчет по покупателям УТ'!$M$6:$M$5000='Adj Ageing by Brand'!$A77)*('Отчет по покупателям УТ'!$K$6:$K$5000))</f>
        <v>0</v>
      </c>
      <c r="J77" s="254">
        <f t="array" ref="J77">SUM(('Отчет по покупателям УТ'!$J$6:$J$5000='Adj Ageing by Brand'!$B77)*('Отчет по покупателям УТ'!$H$6:$H$5000='Adj Ageing by Brand'!J$8)*('Отчет по покупателям УТ'!$M$6:$M$5000='Adj Ageing by Brand'!$A77)*('Отчет по покупателям УТ'!$K$6:$K$5000))</f>
        <v>0</v>
      </c>
      <c r="K77" s="254">
        <f t="array" ref="K77">SUM(('Отчет по покупателям УТ'!$J$6:$J$5000='Adj Ageing by Brand'!$B77)*('Отчет по покупателям УТ'!$H$6:$H$5000='Adj Ageing by Brand'!K$8)*('Отчет по покупателям УТ'!$M$6:$M$5000='Adj Ageing by Brand'!$A77)*('Отчет по покупателям УТ'!$K$6:$K$5000))</f>
        <v>0</v>
      </c>
      <c r="L77" s="254">
        <f t="array" ref="L77">SUM(('Отчет по покупателям УТ'!$J$6:$J$5000='Adj Ageing by Brand'!$B77)*('Отчет по покупателям УТ'!$H$6:$H$5000='Adj Ageing by Brand'!L$8)*('Отчет по покупателям УТ'!$M$6:$M$5000='Adj Ageing by Brand'!$A77)*('Отчет по покупателям УТ'!$K$6:$K$5000))</f>
        <v>-305524.31</v>
      </c>
      <c r="M77" s="44">
        <f t="shared" si="30"/>
        <v>-305524.31</v>
      </c>
      <c r="R77" s="9" t="b">
        <f t="shared" si="41"/>
        <v>1</v>
      </c>
      <c r="S77" s="228">
        <f t="shared" si="31"/>
        <v>0</v>
      </c>
      <c r="T77" s="228">
        <f t="shared" si="32"/>
        <v>-305524.31</v>
      </c>
      <c r="U77" s="228">
        <f t="shared" si="33"/>
        <v>0</v>
      </c>
      <c r="V77" s="228">
        <f t="shared" si="34"/>
        <v>-305524.31</v>
      </c>
      <c r="W77" s="228">
        <f t="shared" si="35"/>
        <v>0</v>
      </c>
      <c r="X77" s="228">
        <f t="shared" si="36"/>
        <v>-305524.31</v>
      </c>
      <c r="Y77" s="228">
        <f t="shared" si="37"/>
        <v>0</v>
      </c>
      <c r="Z77" s="228">
        <f t="shared" si="38"/>
        <v>-305524.31</v>
      </c>
      <c r="AA77" s="228">
        <f t="shared" si="39"/>
        <v>0</v>
      </c>
      <c r="AB77" s="228">
        <f t="shared" si="40"/>
        <v>-305524.31</v>
      </c>
      <c r="AC77" s="247">
        <f t="shared" si="42"/>
        <v>-305524.31</v>
      </c>
      <c r="AD77" s="227">
        <f t="shared" si="43"/>
        <v>0</v>
      </c>
    </row>
    <row r="78" spans="1:30" x14ac:dyDescent="0.2">
      <c r="A78" t="s">
        <v>178</v>
      </c>
      <c r="B78" t="s">
        <v>16</v>
      </c>
      <c r="D78" s="9">
        <v>-523490.53</v>
      </c>
      <c r="F78" s="9"/>
      <c r="G78" s="254">
        <f t="array" ref="G78">SUM(('Отчет по покупателям УТ'!$J$6:$J$5000='Adj Ageing by Brand'!$B78)*('Отчет по покупателям УТ'!$H$6:$H$5000='Adj Ageing by Brand'!G$8)*('Отчет по покупателям УТ'!$M$6:$M$5000='Adj Ageing by Brand'!$A78)*('Отчет по покупателям УТ'!$K$6:$K$5000))</f>
        <v>0</v>
      </c>
      <c r="H78" s="254">
        <f t="array" ref="H78">SUM(('Отчет по покупателям УТ'!$J$6:$J$5000='Adj Ageing by Brand'!$B78)*('Отчет по покупателям УТ'!$H$6:$H$5000='Adj Ageing by Brand'!H$8)*('Отчет по покупателям УТ'!$M$6:$M$5000='Adj Ageing by Brand'!$A78)*('Отчет по покупателям УТ'!$K$6:$K$5000))</f>
        <v>0</v>
      </c>
      <c r="I78" s="254">
        <f t="array" ref="I78">SUM(('Отчет по покупателям УТ'!$J$6:$J$5000='Adj Ageing by Brand'!$B78)*('Отчет по покупателям УТ'!$H$6:$H$5000='Adj Ageing by Brand'!I$8)*('Отчет по покупателям УТ'!$M$6:$M$5000='Adj Ageing by Brand'!$A78)*('Отчет по покупателям УТ'!$K$6:$K$5000))</f>
        <v>0</v>
      </c>
      <c r="J78" s="254">
        <f t="array" ref="J78">SUM(('Отчет по покупателям УТ'!$J$6:$J$5000='Adj Ageing by Brand'!$B78)*('Отчет по покупателям УТ'!$H$6:$H$5000='Adj Ageing by Brand'!J$8)*('Отчет по покупателям УТ'!$M$6:$M$5000='Adj Ageing by Brand'!$A78)*('Отчет по покупателям УТ'!$K$6:$K$5000))</f>
        <v>0</v>
      </c>
      <c r="K78" s="254">
        <f t="array" ref="K78">SUM(('Отчет по покупателям УТ'!$J$6:$J$5000='Adj Ageing by Brand'!$B78)*('Отчет по покупателям УТ'!$H$6:$H$5000='Adj Ageing by Brand'!K$8)*('Отчет по покупателям УТ'!$M$6:$M$5000='Adj Ageing by Brand'!$A78)*('Отчет по покупателям УТ'!$K$6:$K$5000))</f>
        <v>0</v>
      </c>
      <c r="L78" s="254">
        <f t="array" ref="L78">SUM(('Отчет по покупателям УТ'!$J$6:$J$5000='Adj Ageing by Brand'!$B78)*('Отчет по покупателям УТ'!$H$6:$H$5000='Adj Ageing by Brand'!L$8)*('Отчет по покупателям УТ'!$M$6:$M$5000='Adj Ageing by Brand'!$A78)*('Отчет по покупателям УТ'!$K$6:$K$5000))</f>
        <v>-523490.53</v>
      </c>
      <c r="M78" s="44">
        <f t="shared" si="30"/>
        <v>-523490.53</v>
      </c>
      <c r="R78" s="9" t="b">
        <f t="shared" si="41"/>
        <v>1</v>
      </c>
      <c r="S78" s="228">
        <f t="shared" si="31"/>
        <v>0</v>
      </c>
      <c r="T78" s="228">
        <f t="shared" si="32"/>
        <v>-523490.53</v>
      </c>
      <c r="U78" s="228">
        <f t="shared" si="33"/>
        <v>0</v>
      </c>
      <c r="V78" s="228">
        <f t="shared" si="34"/>
        <v>-523490.53</v>
      </c>
      <c r="W78" s="228">
        <f t="shared" si="35"/>
        <v>0</v>
      </c>
      <c r="X78" s="228">
        <f t="shared" si="36"/>
        <v>-523490.53</v>
      </c>
      <c r="Y78" s="228">
        <f t="shared" si="37"/>
        <v>0</v>
      </c>
      <c r="Z78" s="228">
        <f t="shared" si="38"/>
        <v>-523490.53</v>
      </c>
      <c r="AA78" s="228">
        <f t="shared" si="39"/>
        <v>0</v>
      </c>
      <c r="AB78" s="228">
        <f t="shared" si="40"/>
        <v>-523490.53</v>
      </c>
      <c r="AC78" s="247">
        <f t="shared" si="42"/>
        <v>-523490.53</v>
      </c>
      <c r="AD78" s="227">
        <f t="shared" si="43"/>
        <v>0</v>
      </c>
    </row>
    <row r="79" spans="1:30" x14ac:dyDescent="0.2">
      <c r="A79" t="s">
        <v>178</v>
      </c>
      <c r="B79" t="s">
        <v>31</v>
      </c>
      <c r="D79" s="9">
        <v>-156171.37</v>
      </c>
      <c r="F79" s="9"/>
      <c r="G79" s="254">
        <f t="array" ref="G79">SUM(('Отчет по покупателям УТ'!$J$6:$J$5000='Adj Ageing by Brand'!$B79)*('Отчет по покупателям УТ'!$H$6:$H$5000='Adj Ageing by Brand'!G$8)*('Отчет по покупателям УТ'!$M$6:$M$5000='Adj Ageing by Brand'!$A79)*('Отчет по покупателям УТ'!$K$6:$K$5000))</f>
        <v>0</v>
      </c>
      <c r="H79" s="254">
        <f t="array" ref="H79">SUM(('Отчет по покупателям УТ'!$J$6:$J$5000='Adj Ageing by Brand'!$B79)*('Отчет по покупателям УТ'!$H$6:$H$5000='Adj Ageing by Brand'!H$8)*('Отчет по покупателям УТ'!$M$6:$M$5000='Adj Ageing by Brand'!$A79)*('Отчет по покупателям УТ'!$K$6:$K$5000))</f>
        <v>0</v>
      </c>
      <c r="I79" s="254">
        <f t="array" ref="I79">SUM(('Отчет по покупателям УТ'!$J$6:$J$5000='Adj Ageing by Brand'!$B79)*('Отчет по покупателям УТ'!$H$6:$H$5000='Adj Ageing by Brand'!I$8)*('Отчет по покупателям УТ'!$M$6:$M$5000='Adj Ageing by Brand'!$A79)*('Отчет по покупателям УТ'!$K$6:$K$5000))</f>
        <v>0</v>
      </c>
      <c r="J79" s="254">
        <f t="array" ref="J79">SUM(('Отчет по покупателям УТ'!$J$6:$J$5000='Adj Ageing by Brand'!$B79)*('Отчет по покупателям УТ'!$H$6:$H$5000='Adj Ageing by Brand'!J$8)*('Отчет по покупателям УТ'!$M$6:$M$5000='Adj Ageing by Brand'!$A79)*('Отчет по покупателям УТ'!$K$6:$K$5000))</f>
        <v>0</v>
      </c>
      <c r="K79" s="254">
        <f t="array" ref="K79">SUM(('Отчет по покупателям УТ'!$J$6:$J$5000='Adj Ageing by Brand'!$B79)*('Отчет по покупателям УТ'!$H$6:$H$5000='Adj Ageing by Brand'!K$8)*('Отчет по покупателям УТ'!$M$6:$M$5000='Adj Ageing by Brand'!$A79)*('Отчет по покупателям УТ'!$K$6:$K$5000))</f>
        <v>0</v>
      </c>
      <c r="L79" s="254">
        <f t="array" ref="L79">SUM(('Отчет по покупателям УТ'!$J$6:$J$5000='Adj Ageing by Brand'!$B79)*('Отчет по покупателям УТ'!$H$6:$H$5000='Adj Ageing by Brand'!L$8)*('Отчет по покупателям УТ'!$M$6:$M$5000='Adj Ageing by Brand'!$A79)*('Отчет по покупателям УТ'!$K$6:$K$5000))</f>
        <v>-156171.37</v>
      </c>
      <c r="M79" s="44">
        <f t="shared" si="30"/>
        <v>-156171.37</v>
      </c>
      <c r="R79" s="9" t="b">
        <f t="shared" si="41"/>
        <v>1</v>
      </c>
      <c r="S79" s="228">
        <f t="shared" si="31"/>
        <v>0</v>
      </c>
      <c r="T79" s="228">
        <f t="shared" si="32"/>
        <v>-156171.37</v>
      </c>
      <c r="U79" s="228">
        <f t="shared" si="33"/>
        <v>0</v>
      </c>
      <c r="V79" s="228">
        <f t="shared" si="34"/>
        <v>-156171.37</v>
      </c>
      <c r="W79" s="228">
        <f t="shared" si="35"/>
        <v>0</v>
      </c>
      <c r="X79" s="228">
        <f t="shared" si="36"/>
        <v>-156171.37</v>
      </c>
      <c r="Y79" s="228">
        <f t="shared" si="37"/>
        <v>0</v>
      </c>
      <c r="Z79" s="228">
        <f t="shared" si="38"/>
        <v>-156171.37</v>
      </c>
      <c r="AA79" s="228">
        <f t="shared" si="39"/>
        <v>0</v>
      </c>
      <c r="AB79" s="228">
        <f t="shared" si="40"/>
        <v>-156171.37</v>
      </c>
      <c r="AC79" s="247">
        <f t="shared" si="42"/>
        <v>-156171.37</v>
      </c>
      <c r="AD79" s="227">
        <f t="shared" si="43"/>
        <v>0</v>
      </c>
    </row>
    <row r="80" spans="1:30" x14ac:dyDescent="0.2">
      <c r="A80" t="s">
        <v>178</v>
      </c>
      <c r="B80" t="s">
        <v>23</v>
      </c>
      <c r="D80" s="9">
        <v>-138746.19</v>
      </c>
      <c r="F80" s="9"/>
      <c r="G80" s="254">
        <f t="array" ref="G80">SUM(('Отчет по покупателям УТ'!$J$6:$J$5000='Adj Ageing by Brand'!$B80)*('Отчет по покупателям УТ'!$H$6:$H$5000='Adj Ageing by Brand'!G$8)*('Отчет по покупателям УТ'!$M$6:$M$5000='Adj Ageing by Brand'!$A80)*('Отчет по покупателям УТ'!$K$6:$K$5000))</f>
        <v>0</v>
      </c>
      <c r="H80" s="254">
        <f t="array" ref="H80">SUM(('Отчет по покупателям УТ'!$J$6:$J$5000='Adj Ageing by Brand'!$B80)*('Отчет по покупателям УТ'!$H$6:$H$5000='Adj Ageing by Brand'!H$8)*('Отчет по покупателям УТ'!$M$6:$M$5000='Adj Ageing by Brand'!$A80)*('Отчет по покупателям УТ'!$K$6:$K$5000))</f>
        <v>0</v>
      </c>
      <c r="I80" s="254">
        <f t="array" ref="I80">SUM(('Отчет по покупателям УТ'!$J$6:$J$5000='Adj Ageing by Brand'!$B80)*('Отчет по покупателям УТ'!$H$6:$H$5000='Adj Ageing by Brand'!I$8)*('Отчет по покупателям УТ'!$M$6:$M$5000='Adj Ageing by Brand'!$A80)*('Отчет по покупателям УТ'!$K$6:$K$5000))</f>
        <v>0</v>
      </c>
      <c r="J80" s="254">
        <f t="array" ref="J80">SUM(('Отчет по покупателям УТ'!$J$6:$J$5000='Adj Ageing by Brand'!$B80)*('Отчет по покупателям УТ'!$H$6:$H$5000='Adj Ageing by Brand'!J$8)*('Отчет по покупателям УТ'!$M$6:$M$5000='Adj Ageing by Brand'!$A80)*('Отчет по покупателям УТ'!$K$6:$K$5000))</f>
        <v>0</v>
      </c>
      <c r="K80" s="254">
        <f t="array" ref="K80">SUM(('Отчет по покупателям УТ'!$J$6:$J$5000='Adj Ageing by Brand'!$B80)*('Отчет по покупателям УТ'!$H$6:$H$5000='Adj Ageing by Brand'!K$8)*('Отчет по покупателям УТ'!$M$6:$M$5000='Adj Ageing by Brand'!$A80)*('Отчет по покупателям УТ'!$K$6:$K$5000))</f>
        <v>0</v>
      </c>
      <c r="L80" s="254">
        <f t="array" ref="L80">SUM(('Отчет по покупателям УТ'!$J$6:$J$5000='Adj Ageing by Brand'!$B80)*('Отчет по покупателям УТ'!$H$6:$H$5000='Adj Ageing by Brand'!L$8)*('Отчет по покупателям УТ'!$M$6:$M$5000='Adj Ageing by Brand'!$A80)*('Отчет по покупателям УТ'!$K$6:$K$5000))</f>
        <v>-138746.19</v>
      </c>
      <c r="M80" s="44">
        <f t="shared" si="30"/>
        <v>-138746.19</v>
      </c>
      <c r="R80" s="9" t="b">
        <f t="shared" si="41"/>
        <v>1</v>
      </c>
      <c r="S80" s="228">
        <f t="shared" si="31"/>
        <v>0</v>
      </c>
      <c r="T80" s="228">
        <f t="shared" si="32"/>
        <v>-138746.19</v>
      </c>
      <c r="U80" s="228">
        <f t="shared" si="33"/>
        <v>0</v>
      </c>
      <c r="V80" s="228">
        <f t="shared" si="34"/>
        <v>-138746.19</v>
      </c>
      <c r="W80" s="228">
        <f t="shared" si="35"/>
        <v>0</v>
      </c>
      <c r="X80" s="228">
        <f t="shared" si="36"/>
        <v>-138746.19</v>
      </c>
      <c r="Y80" s="228">
        <f t="shared" si="37"/>
        <v>0</v>
      </c>
      <c r="Z80" s="228">
        <f t="shared" si="38"/>
        <v>-138746.19</v>
      </c>
      <c r="AA80" s="228">
        <f t="shared" si="39"/>
        <v>0</v>
      </c>
      <c r="AB80" s="228">
        <f t="shared" si="40"/>
        <v>-138746.19</v>
      </c>
      <c r="AC80" s="247">
        <f t="shared" si="42"/>
        <v>-138746.19</v>
      </c>
      <c r="AD80" s="227">
        <f t="shared" si="43"/>
        <v>0</v>
      </c>
    </row>
    <row r="81" spans="1:30" x14ac:dyDescent="0.2">
      <c r="A81" t="s">
        <v>180</v>
      </c>
      <c r="B81" t="s">
        <v>22</v>
      </c>
      <c r="D81" s="9">
        <v>85942.5</v>
      </c>
      <c r="F81" s="9"/>
      <c r="G81" s="254">
        <f t="array" ref="G81">SUM(('Отчет по покупателям УТ'!$J$6:$J$5000='Adj Ageing by Brand'!$B81)*('Отчет по покупателям УТ'!$H$6:$H$5000='Adj Ageing by Brand'!G$8)*('Отчет по покупателям УТ'!$M$6:$M$5000='Adj Ageing by Brand'!$A81)*('Отчет по покупателям УТ'!$K$6:$K$5000))</f>
        <v>0</v>
      </c>
      <c r="H81" s="254">
        <f t="array" ref="H81">SUM(('Отчет по покупателям УТ'!$J$6:$J$5000='Adj Ageing by Brand'!$B81)*('Отчет по покупателям УТ'!$H$6:$H$5000='Adj Ageing by Brand'!H$8)*('Отчет по покупателям УТ'!$M$6:$M$5000='Adj Ageing by Brand'!$A81)*('Отчет по покупателям УТ'!$K$6:$K$5000))</f>
        <v>0</v>
      </c>
      <c r="I81" s="254">
        <f t="array" ref="I81">SUM(('Отчет по покупателям УТ'!$J$6:$J$5000='Adj Ageing by Brand'!$B81)*('Отчет по покупателям УТ'!$H$6:$H$5000='Adj Ageing by Brand'!I$8)*('Отчет по покупателям УТ'!$M$6:$M$5000='Adj Ageing by Brand'!$A81)*('Отчет по покупателям УТ'!$K$6:$K$5000))</f>
        <v>0</v>
      </c>
      <c r="J81" s="254">
        <f t="array" ref="J81">SUM(('Отчет по покупателям УТ'!$J$6:$J$5000='Adj Ageing by Brand'!$B81)*('Отчет по покупателям УТ'!$H$6:$H$5000='Adj Ageing by Brand'!J$8)*('Отчет по покупателям УТ'!$M$6:$M$5000='Adj Ageing by Brand'!$A81)*('Отчет по покупателям УТ'!$K$6:$K$5000))</f>
        <v>0</v>
      </c>
      <c r="K81" s="254">
        <f t="array" ref="K81">SUM(('Отчет по покупателям УТ'!$J$6:$J$5000='Adj Ageing by Brand'!$B81)*('Отчет по покупателям УТ'!$H$6:$H$5000='Adj Ageing by Brand'!K$8)*('Отчет по покупателям УТ'!$M$6:$M$5000='Adj Ageing by Brand'!$A81)*('Отчет по покупателям УТ'!$K$6:$K$5000))</f>
        <v>85942.5</v>
      </c>
      <c r="L81" s="254">
        <f t="array" ref="L81">SUM(('Отчет по покупателям УТ'!$J$6:$J$5000='Adj Ageing by Brand'!$B81)*('Отчет по покупателям УТ'!$H$6:$H$5000='Adj Ageing by Brand'!L$8)*('Отчет по покупателям УТ'!$M$6:$M$5000='Adj Ageing by Brand'!$A81)*('Отчет по покупателям УТ'!$K$6:$K$5000))</f>
        <v>0</v>
      </c>
      <c r="M81" s="44">
        <f t="shared" si="30"/>
        <v>85942.5</v>
      </c>
      <c r="R81" s="9" t="b">
        <f t="shared" si="41"/>
        <v>1</v>
      </c>
      <c r="S81" s="228">
        <f t="shared" si="31"/>
        <v>0</v>
      </c>
      <c r="T81" s="228">
        <f t="shared" si="32"/>
        <v>0</v>
      </c>
      <c r="U81" s="228">
        <f t="shared" si="33"/>
        <v>0</v>
      </c>
      <c r="V81" s="228">
        <f t="shared" si="34"/>
        <v>0</v>
      </c>
      <c r="W81" s="228">
        <f t="shared" si="35"/>
        <v>0</v>
      </c>
      <c r="X81" s="228">
        <f t="shared" si="36"/>
        <v>0</v>
      </c>
      <c r="Y81" s="228">
        <f t="shared" si="37"/>
        <v>0</v>
      </c>
      <c r="Z81" s="228">
        <f t="shared" si="38"/>
        <v>0</v>
      </c>
      <c r="AA81" s="228">
        <f t="shared" si="39"/>
        <v>85942.5</v>
      </c>
      <c r="AB81" s="228">
        <f t="shared" si="40"/>
        <v>0</v>
      </c>
      <c r="AC81" s="247">
        <f t="shared" si="42"/>
        <v>85942.5</v>
      </c>
      <c r="AD81" s="227">
        <f t="shared" si="43"/>
        <v>85942.5</v>
      </c>
    </row>
    <row r="82" spans="1:30" x14ac:dyDescent="0.2">
      <c r="A82" t="s">
        <v>183</v>
      </c>
      <c r="B82" t="s">
        <v>22</v>
      </c>
      <c r="D82" s="9">
        <v>-18087.14</v>
      </c>
      <c r="F82" s="9"/>
      <c r="G82" s="254">
        <f t="array" ref="G82">SUM(('Отчет по покупателям УТ'!$J$6:$J$5000='Adj Ageing by Brand'!$B82)*('Отчет по покупателям УТ'!$H$6:$H$5000='Adj Ageing by Brand'!G$8)*('Отчет по покупателям УТ'!$M$6:$M$5000='Adj Ageing by Brand'!$A82)*('Отчет по покупателям УТ'!$K$6:$K$5000))</f>
        <v>0</v>
      </c>
      <c r="H82" s="254">
        <f t="array" ref="H82">SUM(('Отчет по покупателям УТ'!$J$6:$J$5000='Adj Ageing by Brand'!$B82)*('Отчет по покупателям УТ'!$H$6:$H$5000='Adj Ageing by Brand'!H$8)*('Отчет по покупателям УТ'!$M$6:$M$5000='Adj Ageing by Brand'!$A82)*('Отчет по покупателям УТ'!$K$6:$K$5000))</f>
        <v>0</v>
      </c>
      <c r="I82" s="254">
        <f t="array" ref="I82">SUM(('Отчет по покупателям УТ'!$J$6:$J$5000='Adj Ageing by Brand'!$B82)*('Отчет по покупателям УТ'!$H$6:$H$5000='Adj Ageing by Brand'!I$8)*('Отчет по покупателям УТ'!$M$6:$M$5000='Adj Ageing by Brand'!$A82)*('Отчет по покупателям УТ'!$K$6:$K$5000))</f>
        <v>0</v>
      </c>
      <c r="J82" s="254">
        <f t="array" ref="J82">SUM(('Отчет по покупателям УТ'!$J$6:$J$5000='Adj Ageing by Brand'!$B82)*('Отчет по покупателям УТ'!$H$6:$H$5000='Adj Ageing by Brand'!J$8)*('Отчет по покупателям УТ'!$M$6:$M$5000='Adj Ageing by Brand'!$A82)*('Отчет по покупателям УТ'!$K$6:$K$5000))</f>
        <v>0</v>
      </c>
      <c r="K82" s="254">
        <f t="array" ref="K82">SUM(('Отчет по покупателям УТ'!$J$6:$J$5000='Adj Ageing by Brand'!$B82)*('Отчет по покупателям УТ'!$H$6:$H$5000='Adj Ageing by Brand'!K$8)*('Отчет по покупателям УТ'!$M$6:$M$5000='Adj Ageing by Brand'!$A82)*('Отчет по покупателям УТ'!$K$6:$K$5000))</f>
        <v>0</v>
      </c>
      <c r="L82" s="254">
        <f t="array" ref="L82">SUM(('Отчет по покупателям УТ'!$J$6:$J$5000='Adj Ageing by Brand'!$B82)*('Отчет по покупателям УТ'!$H$6:$H$5000='Adj Ageing by Brand'!L$8)*('Отчет по покупателям УТ'!$M$6:$M$5000='Adj Ageing by Brand'!$A82)*('Отчет по покупателям УТ'!$K$6:$K$5000))</f>
        <v>-18087.14</v>
      </c>
      <c r="M82" s="44">
        <f t="shared" si="30"/>
        <v>-18087.14</v>
      </c>
      <c r="R82" s="9" t="b">
        <f t="shared" si="41"/>
        <v>1</v>
      </c>
      <c r="S82" s="228">
        <f t="shared" si="31"/>
        <v>0</v>
      </c>
      <c r="T82" s="228">
        <f t="shared" si="32"/>
        <v>-18087.14</v>
      </c>
      <c r="U82" s="228">
        <f t="shared" si="33"/>
        <v>0</v>
      </c>
      <c r="V82" s="228">
        <f t="shared" si="34"/>
        <v>-18087.14</v>
      </c>
      <c r="W82" s="228">
        <f t="shared" si="35"/>
        <v>0</v>
      </c>
      <c r="X82" s="228">
        <f t="shared" si="36"/>
        <v>-18087.14</v>
      </c>
      <c r="Y82" s="228">
        <f t="shared" si="37"/>
        <v>0</v>
      </c>
      <c r="Z82" s="228">
        <f t="shared" si="38"/>
        <v>-18087.14</v>
      </c>
      <c r="AA82" s="228">
        <f t="shared" si="39"/>
        <v>0</v>
      </c>
      <c r="AB82" s="228">
        <f t="shared" si="40"/>
        <v>-18087.14</v>
      </c>
      <c r="AC82" s="247">
        <f t="shared" si="42"/>
        <v>-18087.14</v>
      </c>
      <c r="AD82" s="227">
        <f t="shared" si="43"/>
        <v>0</v>
      </c>
    </row>
    <row r="83" spans="1:30" x14ac:dyDescent="0.2">
      <c r="A83" t="s">
        <v>185</v>
      </c>
      <c r="B83" t="s">
        <v>22</v>
      </c>
      <c r="D83" s="9">
        <v>2918303.06</v>
      </c>
      <c r="F83" s="9"/>
      <c r="G83" s="254">
        <f t="array" ref="G83">SUM(('Отчет по покупателям УТ'!$J$6:$J$5000='Adj Ageing by Brand'!$B83)*('Отчет по покупателям УТ'!$H$6:$H$5000='Adj Ageing by Brand'!G$8)*('Отчет по покупателям УТ'!$M$6:$M$5000='Adj Ageing by Brand'!$A83)*('Отчет по покупателям УТ'!$K$6:$K$5000))</f>
        <v>2918303.06</v>
      </c>
      <c r="H83" s="254">
        <f t="array" ref="H83">SUM(('Отчет по покупателям УТ'!$J$6:$J$5000='Adj Ageing by Brand'!$B83)*('Отчет по покупателям УТ'!$H$6:$H$5000='Adj Ageing by Brand'!H$8)*('Отчет по покупателям УТ'!$M$6:$M$5000='Adj Ageing by Brand'!$A83)*('Отчет по покупателям УТ'!$K$6:$K$5000))</f>
        <v>0</v>
      </c>
      <c r="I83" s="254">
        <f t="array" ref="I83">SUM(('Отчет по покупателям УТ'!$J$6:$J$5000='Adj Ageing by Brand'!$B83)*('Отчет по покупателям УТ'!$H$6:$H$5000='Adj Ageing by Brand'!I$8)*('Отчет по покупателям УТ'!$M$6:$M$5000='Adj Ageing by Brand'!$A83)*('Отчет по покупателям УТ'!$K$6:$K$5000))</f>
        <v>0</v>
      </c>
      <c r="J83" s="254">
        <f t="array" ref="J83">SUM(('Отчет по покупателям УТ'!$J$6:$J$5000='Adj Ageing by Brand'!$B83)*('Отчет по покупателям УТ'!$H$6:$H$5000='Adj Ageing by Brand'!J$8)*('Отчет по покупателям УТ'!$M$6:$M$5000='Adj Ageing by Brand'!$A83)*('Отчет по покупателям УТ'!$K$6:$K$5000))</f>
        <v>0</v>
      </c>
      <c r="K83" s="254">
        <f t="array" ref="K83">SUM(('Отчет по покупателям УТ'!$J$6:$J$5000='Adj Ageing by Brand'!$B83)*('Отчет по покупателям УТ'!$H$6:$H$5000='Adj Ageing by Brand'!K$8)*('Отчет по покупателям УТ'!$M$6:$M$5000='Adj Ageing by Brand'!$A83)*('Отчет по покупателям УТ'!$K$6:$K$5000))</f>
        <v>0</v>
      </c>
      <c r="L83" s="254">
        <f t="array" ref="L83">SUM(('Отчет по покупателям УТ'!$J$6:$J$5000='Adj Ageing by Brand'!$B83)*('Отчет по покупателям УТ'!$H$6:$H$5000='Adj Ageing by Brand'!L$8)*('Отчет по покупателям УТ'!$M$6:$M$5000='Adj Ageing by Brand'!$A83)*('Отчет по покупателям УТ'!$K$6:$K$5000))</f>
        <v>0</v>
      </c>
      <c r="M83" s="44">
        <f t="shared" si="30"/>
        <v>2918303.06</v>
      </c>
      <c r="R83" s="9" t="b">
        <f t="shared" si="41"/>
        <v>1</v>
      </c>
      <c r="S83" s="228">
        <f t="shared" si="31"/>
        <v>2918303.06</v>
      </c>
      <c r="T83" s="228">
        <f t="shared" si="32"/>
        <v>0</v>
      </c>
      <c r="U83" s="228">
        <f t="shared" si="33"/>
        <v>0</v>
      </c>
      <c r="V83" s="228">
        <f t="shared" si="34"/>
        <v>0</v>
      </c>
      <c r="W83" s="228">
        <f t="shared" si="35"/>
        <v>0</v>
      </c>
      <c r="X83" s="228">
        <f t="shared" si="36"/>
        <v>0</v>
      </c>
      <c r="Y83" s="228">
        <f t="shared" si="37"/>
        <v>0</v>
      </c>
      <c r="Z83" s="228">
        <f t="shared" si="38"/>
        <v>0</v>
      </c>
      <c r="AA83" s="228">
        <f t="shared" si="39"/>
        <v>0</v>
      </c>
      <c r="AB83" s="228">
        <f t="shared" si="40"/>
        <v>0</v>
      </c>
      <c r="AC83" s="247">
        <f t="shared" si="42"/>
        <v>2918303.06</v>
      </c>
      <c r="AD83" s="227">
        <f t="shared" si="43"/>
        <v>2918303.06</v>
      </c>
    </row>
    <row r="84" spans="1:30" x14ac:dyDescent="0.2">
      <c r="A84" t="s">
        <v>185</v>
      </c>
      <c r="B84" t="s">
        <v>16</v>
      </c>
      <c r="D84" s="9">
        <v>1769943.5</v>
      </c>
      <c r="F84" s="9"/>
      <c r="G84" s="254">
        <f t="array" ref="G84">SUM(('Отчет по покупателям УТ'!$J$6:$J$5000='Adj Ageing by Brand'!$B84)*('Отчет по покупателям УТ'!$H$6:$H$5000='Adj Ageing by Brand'!G$8)*('Отчет по покупателям УТ'!$M$6:$M$5000='Adj Ageing by Brand'!$A84)*('Отчет по покупателям УТ'!$K$6:$K$5000))</f>
        <v>1769943.5</v>
      </c>
      <c r="H84" s="254">
        <f t="array" ref="H84">SUM(('Отчет по покупателям УТ'!$J$6:$J$5000='Adj Ageing by Brand'!$B84)*('Отчет по покупателям УТ'!$H$6:$H$5000='Adj Ageing by Brand'!H$8)*('Отчет по покупателям УТ'!$M$6:$M$5000='Adj Ageing by Brand'!$A84)*('Отчет по покупателям УТ'!$K$6:$K$5000))</f>
        <v>0</v>
      </c>
      <c r="I84" s="254">
        <f t="array" ref="I84">SUM(('Отчет по покупателям УТ'!$J$6:$J$5000='Adj Ageing by Brand'!$B84)*('Отчет по покупателям УТ'!$H$6:$H$5000='Adj Ageing by Brand'!I$8)*('Отчет по покупателям УТ'!$M$6:$M$5000='Adj Ageing by Brand'!$A84)*('Отчет по покупателям УТ'!$K$6:$K$5000))</f>
        <v>0</v>
      </c>
      <c r="J84" s="254">
        <f t="array" ref="J84">SUM(('Отчет по покупателям УТ'!$J$6:$J$5000='Adj Ageing by Brand'!$B84)*('Отчет по покупателям УТ'!$H$6:$H$5000='Adj Ageing by Brand'!J$8)*('Отчет по покупателям УТ'!$M$6:$M$5000='Adj Ageing by Brand'!$A84)*('Отчет по покупателям УТ'!$K$6:$K$5000))</f>
        <v>0</v>
      </c>
      <c r="K84" s="254">
        <f t="array" ref="K84">SUM(('Отчет по покупателям УТ'!$J$6:$J$5000='Adj Ageing by Brand'!$B84)*('Отчет по покупателям УТ'!$H$6:$H$5000='Adj Ageing by Brand'!K$8)*('Отчет по покупателям УТ'!$M$6:$M$5000='Adj Ageing by Brand'!$A84)*('Отчет по покупателям УТ'!$K$6:$K$5000))</f>
        <v>0</v>
      </c>
      <c r="L84" s="254">
        <f t="array" ref="L84">SUM(('Отчет по покупателям УТ'!$J$6:$J$5000='Adj Ageing by Brand'!$B84)*('Отчет по покупателям УТ'!$H$6:$H$5000='Adj Ageing by Brand'!L$8)*('Отчет по покупателям УТ'!$M$6:$M$5000='Adj Ageing by Brand'!$A84)*('Отчет по покупателям УТ'!$K$6:$K$5000))</f>
        <v>0</v>
      </c>
      <c r="M84" s="44">
        <f t="shared" si="30"/>
        <v>1769943.5</v>
      </c>
      <c r="R84" s="9" t="b">
        <f t="shared" si="41"/>
        <v>1</v>
      </c>
      <c r="S84" s="228">
        <f t="shared" si="31"/>
        <v>1769943.5</v>
      </c>
      <c r="T84" s="228">
        <f t="shared" si="32"/>
        <v>0</v>
      </c>
      <c r="U84" s="228">
        <f t="shared" si="33"/>
        <v>0</v>
      </c>
      <c r="V84" s="228">
        <f t="shared" si="34"/>
        <v>0</v>
      </c>
      <c r="W84" s="228">
        <f t="shared" si="35"/>
        <v>0</v>
      </c>
      <c r="X84" s="228">
        <f t="shared" si="36"/>
        <v>0</v>
      </c>
      <c r="Y84" s="228">
        <f t="shared" si="37"/>
        <v>0</v>
      </c>
      <c r="Z84" s="228">
        <f t="shared" si="38"/>
        <v>0</v>
      </c>
      <c r="AA84" s="228">
        <f t="shared" si="39"/>
        <v>0</v>
      </c>
      <c r="AB84" s="228">
        <f t="shared" si="40"/>
        <v>0</v>
      </c>
      <c r="AC84" s="247">
        <f t="shared" si="42"/>
        <v>1769943.5</v>
      </c>
      <c r="AD84" s="227">
        <f t="shared" si="43"/>
        <v>1769943.5</v>
      </c>
    </row>
    <row r="85" spans="1:30" x14ac:dyDescent="0.2">
      <c r="A85" t="s">
        <v>185</v>
      </c>
      <c r="B85" t="s">
        <v>31</v>
      </c>
      <c r="D85" s="9">
        <v>1135860</v>
      </c>
      <c r="F85" s="9"/>
      <c r="G85" s="254">
        <f t="array" ref="G85">SUM(('Отчет по покупателям УТ'!$J$6:$J$5000='Adj Ageing by Brand'!$B85)*('Отчет по покупателям УТ'!$H$6:$H$5000='Adj Ageing by Brand'!G$8)*('Отчет по покупателям УТ'!$M$6:$M$5000='Adj Ageing by Brand'!$A85)*('Отчет по покупателям УТ'!$K$6:$K$5000))</f>
        <v>1135860</v>
      </c>
      <c r="H85" s="254">
        <f t="array" ref="H85">SUM(('Отчет по покупателям УТ'!$J$6:$J$5000='Adj Ageing by Brand'!$B85)*('Отчет по покупателям УТ'!$H$6:$H$5000='Adj Ageing by Brand'!H$8)*('Отчет по покупателям УТ'!$M$6:$M$5000='Adj Ageing by Brand'!$A85)*('Отчет по покупателям УТ'!$K$6:$K$5000))</f>
        <v>0</v>
      </c>
      <c r="I85" s="254">
        <f t="array" ref="I85">SUM(('Отчет по покупателям УТ'!$J$6:$J$5000='Adj Ageing by Brand'!$B85)*('Отчет по покупателям УТ'!$H$6:$H$5000='Adj Ageing by Brand'!I$8)*('Отчет по покупателям УТ'!$M$6:$M$5000='Adj Ageing by Brand'!$A85)*('Отчет по покупателям УТ'!$K$6:$K$5000))</f>
        <v>0</v>
      </c>
      <c r="J85" s="254">
        <f t="array" ref="J85">SUM(('Отчет по покупателям УТ'!$J$6:$J$5000='Adj Ageing by Brand'!$B85)*('Отчет по покупателям УТ'!$H$6:$H$5000='Adj Ageing by Brand'!J$8)*('Отчет по покупателям УТ'!$M$6:$M$5000='Adj Ageing by Brand'!$A85)*('Отчет по покупателям УТ'!$K$6:$K$5000))</f>
        <v>0</v>
      </c>
      <c r="K85" s="254">
        <f t="array" ref="K85">SUM(('Отчет по покупателям УТ'!$J$6:$J$5000='Adj Ageing by Brand'!$B85)*('Отчет по покупателям УТ'!$H$6:$H$5000='Adj Ageing by Brand'!K$8)*('Отчет по покупателям УТ'!$M$6:$M$5000='Adj Ageing by Brand'!$A85)*('Отчет по покупателям УТ'!$K$6:$K$5000))</f>
        <v>0</v>
      </c>
      <c r="L85" s="254">
        <f t="array" ref="L85">SUM(('Отчет по покупателям УТ'!$J$6:$J$5000='Adj Ageing by Brand'!$B85)*('Отчет по покупателям УТ'!$H$6:$H$5000='Adj Ageing by Brand'!L$8)*('Отчет по покупателям УТ'!$M$6:$M$5000='Adj Ageing by Brand'!$A85)*('Отчет по покупателям УТ'!$K$6:$K$5000))</f>
        <v>0</v>
      </c>
      <c r="M85" s="44">
        <f t="shared" si="30"/>
        <v>1135860</v>
      </c>
      <c r="R85" s="9" t="b">
        <f t="shared" si="41"/>
        <v>1</v>
      </c>
      <c r="S85" s="228">
        <f t="shared" si="31"/>
        <v>1135860</v>
      </c>
      <c r="T85" s="228">
        <f t="shared" si="32"/>
        <v>0</v>
      </c>
      <c r="U85" s="228">
        <f t="shared" si="33"/>
        <v>0</v>
      </c>
      <c r="V85" s="228">
        <f t="shared" si="34"/>
        <v>0</v>
      </c>
      <c r="W85" s="228">
        <f t="shared" si="35"/>
        <v>0</v>
      </c>
      <c r="X85" s="228">
        <f t="shared" si="36"/>
        <v>0</v>
      </c>
      <c r="Y85" s="228">
        <f t="shared" si="37"/>
        <v>0</v>
      </c>
      <c r="Z85" s="228">
        <f t="shared" si="38"/>
        <v>0</v>
      </c>
      <c r="AA85" s="228">
        <f t="shared" si="39"/>
        <v>0</v>
      </c>
      <c r="AB85" s="228">
        <f t="shared" si="40"/>
        <v>0</v>
      </c>
      <c r="AC85" s="247">
        <f t="shared" si="42"/>
        <v>1135860</v>
      </c>
      <c r="AD85" s="227">
        <f t="shared" si="43"/>
        <v>1135860</v>
      </c>
    </row>
    <row r="86" spans="1:30" x14ac:dyDescent="0.2">
      <c r="A86" t="s">
        <v>185</v>
      </c>
      <c r="B86" t="s">
        <v>23</v>
      </c>
      <c r="D86" s="9">
        <v>125575</v>
      </c>
      <c r="F86" s="9"/>
      <c r="G86" s="254">
        <f t="array" ref="G86">SUM(('Отчет по покупателям УТ'!$J$6:$J$5000='Adj Ageing by Brand'!$B86)*('Отчет по покупателям УТ'!$H$6:$H$5000='Adj Ageing by Brand'!G$8)*('Отчет по покупателям УТ'!$M$6:$M$5000='Adj Ageing by Brand'!$A86)*('Отчет по покупателям УТ'!$K$6:$K$5000))</f>
        <v>125575</v>
      </c>
      <c r="H86" s="254">
        <f t="array" ref="H86">SUM(('Отчет по покупателям УТ'!$J$6:$J$5000='Adj Ageing by Brand'!$B86)*('Отчет по покупателям УТ'!$H$6:$H$5000='Adj Ageing by Brand'!H$8)*('Отчет по покупателям УТ'!$M$6:$M$5000='Adj Ageing by Brand'!$A86)*('Отчет по покупателям УТ'!$K$6:$K$5000))</f>
        <v>0</v>
      </c>
      <c r="I86" s="254">
        <f t="array" ref="I86">SUM(('Отчет по покупателям УТ'!$J$6:$J$5000='Adj Ageing by Brand'!$B86)*('Отчет по покупателям УТ'!$H$6:$H$5000='Adj Ageing by Brand'!I$8)*('Отчет по покупателям УТ'!$M$6:$M$5000='Adj Ageing by Brand'!$A86)*('Отчет по покупателям УТ'!$K$6:$K$5000))</f>
        <v>0</v>
      </c>
      <c r="J86" s="254">
        <f t="array" ref="J86">SUM(('Отчет по покупателям УТ'!$J$6:$J$5000='Adj Ageing by Brand'!$B86)*('Отчет по покупателям УТ'!$H$6:$H$5000='Adj Ageing by Brand'!J$8)*('Отчет по покупателям УТ'!$M$6:$M$5000='Adj Ageing by Brand'!$A86)*('Отчет по покупателям УТ'!$K$6:$K$5000))</f>
        <v>0</v>
      </c>
      <c r="K86" s="254">
        <f t="array" ref="K86">SUM(('Отчет по покупателям УТ'!$J$6:$J$5000='Adj Ageing by Brand'!$B86)*('Отчет по покупателям УТ'!$H$6:$H$5000='Adj Ageing by Brand'!K$8)*('Отчет по покупателям УТ'!$M$6:$M$5000='Adj Ageing by Brand'!$A86)*('Отчет по покупателям УТ'!$K$6:$K$5000))</f>
        <v>0</v>
      </c>
      <c r="L86" s="254">
        <f t="array" ref="L86">SUM(('Отчет по покупателям УТ'!$J$6:$J$5000='Adj Ageing by Brand'!$B86)*('Отчет по покупателям УТ'!$H$6:$H$5000='Adj Ageing by Brand'!L$8)*('Отчет по покупателям УТ'!$M$6:$M$5000='Adj Ageing by Brand'!$A86)*('Отчет по покупателям УТ'!$K$6:$K$5000))</f>
        <v>0</v>
      </c>
      <c r="M86" s="44">
        <f t="shared" si="30"/>
        <v>125575</v>
      </c>
      <c r="R86" s="9" t="b">
        <f t="shared" si="41"/>
        <v>1</v>
      </c>
      <c r="S86" s="228">
        <f t="shared" si="31"/>
        <v>125575</v>
      </c>
      <c r="T86" s="228">
        <f t="shared" si="32"/>
        <v>0</v>
      </c>
      <c r="U86" s="228">
        <f t="shared" si="33"/>
        <v>0</v>
      </c>
      <c r="V86" s="228">
        <f t="shared" si="34"/>
        <v>0</v>
      </c>
      <c r="W86" s="228">
        <f t="shared" si="35"/>
        <v>0</v>
      </c>
      <c r="X86" s="228">
        <f t="shared" si="36"/>
        <v>0</v>
      </c>
      <c r="Y86" s="228">
        <f t="shared" si="37"/>
        <v>0</v>
      </c>
      <c r="Z86" s="228">
        <f t="shared" si="38"/>
        <v>0</v>
      </c>
      <c r="AA86" s="228">
        <f t="shared" si="39"/>
        <v>0</v>
      </c>
      <c r="AB86" s="228">
        <f t="shared" si="40"/>
        <v>0</v>
      </c>
      <c r="AC86" s="247">
        <f t="shared" si="42"/>
        <v>125575</v>
      </c>
      <c r="AD86" s="227">
        <f t="shared" si="43"/>
        <v>125575</v>
      </c>
    </row>
    <row r="87" spans="1:30" x14ac:dyDescent="0.2">
      <c r="A87" t="s">
        <v>240</v>
      </c>
      <c r="B87" s="47" t="s">
        <v>22</v>
      </c>
      <c r="D87" s="9">
        <v>7351956.080000001</v>
      </c>
      <c r="F87" s="9"/>
      <c r="G87" s="254">
        <f t="array" ref="G87">SUM(('Отчет по покупателям УТ'!$J$6:$J$5000='Adj Ageing by Brand'!$B87)*('Отчет по покупателям УТ'!$H$6:$H$5000='Adj Ageing by Brand'!G$8)*('Отчет по покупателям УТ'!$M$6:$M$5000='Adj Ageing by Brand'!$A87)*('Отчет по покупателям УТ'!$K$6:$K$5000))</f>
        <v>15311433.93</v>
      </c>
      <c r="H87" s="254">
        <f t="array" ref="H87">SUM(('Отчет по покупателям УТ'!$J$6:$J$5000='Adj Ageing by Brand'!$B87)*('Отчет по покупателям УТ'!$H$6:$H$5000='Adj Ageing by Brand'!H$8)*('Отчет по покупателям УТ'!$M$6:$M$5000='Adj Ageing by Brand'!$A87)*('Отчет по покупателям УТ'!$K$6:$K$5000))</f>
        <v>0</v>
      </c>
      <c r="I87" s="254">
        <f t="array" ref="I87">SUM(('Отчет по покупателям УТ'!$J$6:$J$5000='Adj Ageing by Brand'!$B87)*('Отчет по покупателям УТ'!$H$6:$H$5000='Adj Ageing by Brand'!I$8)*('Отчет по покупателям УТ'!$M$6:$M$5000='Adj Ageing by Brand'!$A87)*('Отчет по покупателям УТ'!$K$6:$K$5000))</f>
        <v>0</v>
      </c>
      <c r="J87" s="254">
        <f t="array" ref="J87">SUM(('Отчет по покупателям УТ'!$J$6:$J$5000='Adj Ageing by Brand'!$B87)*('Отчет по покупателям УТ'!$H$6:$H$5000='Adj Ageing by Brand'!J$8)*('Отчет по покупателям УТ'!$M$6:$M$5000='Adj Ageing by Brand'!$A87)*('Отчет по покупателям УТ'!$K$6:$K$5000))</f>
        <v>0</v>
      </c>
      <c r="K87" s="254">
        <f t="array" ref="K87">SUM(('Отчет по покупателям УТ'!$J$6:$J$5000='Adj Ageing by Brand'!$B87)*('Отчет по покупателям УТ'!$H$6:$H$5000='Adj Ageing by Brand'!K$8)*('Отчет по покупателям УТ'!$M$6:$M$5000='Adj Ageing by Brand'!$A87)*('Отчет по покупателям УТ'!$K$6:$K$5000))</f>
        <v>0</v>
      </c>
      <c r="L87" s="254">
        <f t="array" ref="L87">SUM(('Отчет по покупателям УТ'!$J$6:$J$5000='Adj Ageing by Brand'!$B87)*('Отчет по покупателям УТ'!$H$6:$H$5000='Adj Ageing by Brand'!L$8)*('Отчет по покупателям УТ'!$M$6:$M$5000='Adj Ageing by Brand'!$A87)*('Отчет по покупателям УТ'!$K$6:$K$5000))</f>
        <v>-7959477.8499999996</v>
      </c>
      <c r="M87" s="44">
        <f t="shared" si="30"/>
        <v>7351956.0800000001</v>
      </c>
      <c r="R87" s="9" t="b">
        <f t="shared" si="41"/>
        <v>1</v>
      </c>
      <c r="S87" s="228">
        <f t="shared" si="31"/>
        <v>7351956.0800000001</v>
      </c>
      <c r="T87" s="228">
        <f t="shared" si="32"/>
        <v>-7959477.8499999996</v>
      </c>
      <c r="U87" s="228">
        <f t="shared" si="33"/>
        <v>0</v>
      </c>
      <c r="V87" s="228">
        <f t="shared" si="34"/>
        <v>-7959477.8499999996</v>
      </c>
      <c r="W87" s="228">
        <f t="shared" si="35"/>
        <v>0</v>
      </c>
      <c r="X87" s="228">
        <f t="shared" si="36"/>
        <v>-7959477.8499999996</v>
      </c>
      <c r="Y87" s="228">
        <f t="shared" si="37"/>
        <v>0</v>
      </c>
      <c r="Z87" s="228">
        <f t="shared" si="38"/>
        <v>-7959477.8499999996</v>
      </c>
      <c r="AA87" s="228">
        <f t="shared" si="39"/>
        <v>0</v>
      </c>
      <c r="AB87" s="228">
        <f t="shared" si="40"/>
        <v>0</v>
      </c>
      <c r="AC87" s="247">
        <f t="shared" si="42"/>
        <v>7351956.0800000001</v>
      </c>
      <c r="AD87" s="227">
        <f t="shared" si="43"/>
        <v>7351956.0800000001</v>
      </c>
    </row>
    <row r="88" spans="1:30" x14ac:dyDescent="0.2">
      <c r="A88" t="s">
        <v>240</v>
      </c>
      <c r="B88" t="s">
        <v>16</v>
      </c>
      <c r="D88" s="9">
        <v>15809713.320000004</v>
      </c>
      <c r="F88" s="9"/>
      <c r="G88" s="254">
        <f t="array" ref="G88">SUM(('Отчет по покупателям УТ'!$J$6:$J$5000='Adj Ageing by Brand'!$B88)*('Отчет по покупателям УТ'!$H$6:$H$5000='Adj Ageing by Brand'!G$8)*('Отчет по покупателям УТ'!$M$6:$M$5000='Adj Ageing by Brand'!$A88)*('Отчет по покупателям УТ'!$K$6:$K$5000))</f>
        <v>32303700</v>
      </c>
      <c r="H88" s="254">
        <f t="array" ref="H88">SUM(('Отчет по покупателям УТ'!$J$6:$J$5000='Adj Ageing by Brand'!$B88)*('Отчет по покупателям УТ'!$H$6:$H$5000='Adj Ageing by Brand'!H$8)*('Отчет по покупателям УТ'!$M$6:$M$5000='Adj Ageing by Brand'!$A88)*('Отчет по покупателям УТ'!$K$6:$K$5000))</f>
        <v>0</v>
      </c>
      <c r="I88" s="254">
        <f t="array" ref="I88">SUM(('Отчет по покупателям УТ'!$J$6:$J$5000='Adj Ageing by Brand'!$B88)*('Отчет по покупателям УТ'!$H$6:$H$5000='Adj Ageing by Brand'!I$8)*('Отчет по покупателям УТ'!$M$6:$M$5000='Adj Ageing by Brand'!$A88)*('Отчет по покупателям УТ'!$K$6:$K$5000))</f>
        <v>0</v>
      </c>
      <c r="J88" s="254">
        <f t="array" ref="J88">SUM(('Отчет по покупателям УТ'!$J$6:$J$5000='Adj Ageing by Brand'!$B88)*('Отчет по покупателям УТ'!$H$6:$H$5000='Adj Ageing by Brand'!J$8)*('Отчет по покупателям УТ'!$M$6:$M$5000='Adj Ageing by Brand'!$A88)*('Отчет по покупателям УТ'!$K$6:$K$5000))</f>
        <v>0</v>
      </c>
      <c r="K88" s="254">
        <f t="array" ref="K88">SUM(('Отчет по покупателям УТ'!$J$6:$J$5000='Adj Ageing by Brand'!$B88)*('Отчет по покупателям УТ'!$H$6:$H$5000='Adj Ageing by Brand'!K$8)*('Отчет по покупателям УТ'!$M$6:$M$5000='Adj Ageing by Brand'!$A88)*('Отчет по покупателям УТ'!$K$6:$K$5000))</f>
        <v>0</v>
      </c>
      <c r="L88" s="254">
        <f t="array" ref="L88">SUM(('Отчет по покупателям УТ'!$J$6:$J$5000='Adj Ageing by Brand'!$B88)*('Отчет по покупателям УТ'!$H$6:$H$5000='Adj Ageing by Brand'!L$8)*('Отчет по покупателям УТ'!$M$6:$M$5000='Adj Ageing by Brand'!$A88)*('Отчет по покупателям УТ'!$K$6:$K$5000))</f>
        <v>-16493986.68</v>
      </c>
      <c r="M88" s="44">
        <f t="shared" si="30"/>
        <v>15809713.32</v>
      </c>
      <c r="R88" s="9" t="b">
        <f t="shared" si="41"/>
        <v>1</v>
      </c>
      <c r="S88" s="228">
        <f t="shared" si="31"/>
        <v>15809713.32</v>
      </c>
      <c r="T88" s="228">
        <f t="shared" si="32"/>
        <v>-16493986.68</v>
      </c>
      <c r="U88" s="228">
        <f t="shared" si="33"/>
        <v>0</v>
      </c>
      <c r="V88" s="228">
        <f t="shared" si="34"/>
        <v>-16493986.68</v>
      </c>
      <c r="W88" s="228">
        <f t="shared" si="35"/>
        <v>0</v>
      </c>
      <c r="X88" s="228">
        <f t="shared" si="36"/>
        <v>-16493986.68</v>
      </c>
      <c r="Y88" s="228">
        <f t="shared" si="37"/>
        <v>0</v>
      </c>
      <c r="Z88" s="228">
        <f t="shared" si="38"/>
        <v>-16493986.68</v>
      </c>
      <c r="AA88" s="228">
        <f t="shared" si="39"/>
        <v>0</v>
      </c>
      <c r="AB88" s="228">
        <f t="shared" si="40"/>
        <v>0</v>
      </c>
      <c r="AC88" s="247">
        <f t="shared" si="42"/>
        <v>15809713.32</v>
      </c>
      <c r="AD88" s="227">
        <f t="shared" si="43"/>
        <v>15809713.32</v>
      </c>
    </row>
    <row r="89" spans="1:30" x14ac:dyDescent="0.2">
      <c r="A89" t="s">
        <v>240</v>
      </c>
      <c r="B89" t="s">
        <v>31</v>
      </c>
      <c r="D89" s="9">
        <v>-856611.37</v>
      </c>
      <c r="F89" s="9"/>
      <c r="G89" s="254">
        <f t="array" ref="G89">SUM(('Отчет по покупателям УТ'!$J$6:$J$5000='Adj Ageing by Brand'!$B89)*('Отчет по покупателям УТ'!$H$6:$H$5000='Adj Ageing by Brand'!G$8)*('Отчет по покупателям УТ'!$M$6:$M$5000='Adj Ageing by Brand'!$A89)*('Отчет по покупателям УТ'!$K$6:$K$5000))</f>
        <v>0</v>
      </c>
      <c r="H89" s="254">
        <f t="array" ref="H89">SUM(('Отчет по покупателям УТ'!$J$6:$J$5000='Adj Ageing by Brand'!$B89)*('Отчет по покупателям УТ'!$H$6:$H$5000='Adj Ageing by Brand'!H$8)*('Отчет по покупателям УТ'!$M$6:$M$5000='Adj Ageing by Brand'!$A89)*('Отчет по покупателям УТ'!$K$6:$K$5000))</f>
        <v>0</v>
      </c>
      <c r="I89" s="254">
        <f t="array" ref="I89">SUM(('Отчет по покупателям УТ'!$J$6:$J$5000='Adj Ageing by Brand'!$B89)*('Отчет по покупателям УТ'!$H$6:$H$5000='Adj Ageing by Brand'!I$8)*('Отчет по покупателям УТ'!$M$6:$M$5000='Adj Ageing by Brand'!$A89)*('Отчет по покупателям УТ'!$K$6:$K$5000))</f>
        <v>0</v>
      </c>
      <c r="J89" s="254">
        <f t="array" ref="J89">SUM(('Отчет по покупателям УТ'!$J$6:$J$5000='Adj Ageing by Brand'!$B89)*('Отчет по покупателям УТ'!$H$6:$H$5000='Adj Ageing by Brand'!J$8)*('Отчет по покупателям УТ'!$M$6:$M$5000='Adj Ageing by Brand'!$A89)*('Отчет по покупателям УТ'!$K$6:$K$5000))</f>
        <v>0</v>
      </c>
      <c r="K89" s="254">
        <f t="array" ref="K89">SUM(('Отчет по покупателям УТ'!$J$6:$J$5000='Adj Ageing by Brand'!$B89)*('Отчет по покупателям УТ'!$H$6:$H$5000='Adj Ageing by Brand'!K$8)*('Отчет по покупателям УТ'!$M$6:$M$5000='Adj Ageing by Brand'!$A89)*('Отчет по покупателям УТ'!$K$6:$K$5000))</f>
        <v>0</v>
      </c>
      <c r="L89" s="254">
        <f t="array" ref="L89">SUM(('Отчет по покупателям УТ'!$J$6:$J$5000='Adj Ageing by Brand'!$B89)*('Отчет по покупателям УТ'!$H$6:$H$5000='Adj Ageing by Brand'!L$8)*('Отчет по покупателям УТ'!$M$6:$M$5000='Adj Ageing by Brand'!$A89)*('Отчет по покупателям УТ'!$K$6:$K$5000))</f>
        <v>-856611.37</v>
      </c>
      <c r="M89" s="44">
        <f t="shared" si="30"/>
        <v>-856611.37</v>
      </c>
      <c r="R89" s="9" t="b">
        <f t="shared" si="41"/>
        <v>1</v>
      </c>
      <c r="S89" s="228">
        <f t="shared" si="31"/>
        <v>0</v>
      </c>
      <c r="T89" s="228">
        <f t="shared" si="32"/>
        <v>-856611.37</v>
      </c>
      <c r="U89" s="228">
        <f t="shared" si="33"/>
        <v>0</v>
      </c>
      <c r="V89" s="228">
        <f t="shared" si="34"/>
        <v>-856611.37</v>
      </c>
      <c r="W89" s="228">
        <f t="shared" si="35"/>
        <v>0</v>
      </c>
      <c r="X89" s="228">
        <f t="shared" si="36"/>
        <v>-856611.37</v>
      </c>
      <c r="Y89" s="228">
        <f t="shared" si="37"/>
        <v>0</v>
      </c>
      <c r="Z89" s="228">
        <f t="shared" si="38"/>
        <v>-856611.37</v>
      </c>
      <c r="AA89" s="228">
        <f t="shared" si="39"/>
        <v>0</v>
      </c>
      <c r="AB89" s="228">
        <f t="shared" si="40"/>
        <v>-856611.37</v>
      </c>
      <c r="AC89" s="247">
        <f t="shared" si="42"/>
        <v>-856611.37</v>
      </c>
      <c r="AD89" s="227">
        <f t="shared" si="43"/>
        <v>0</v>
      </c>
    </row>
    <row r="90" spans="1:30" x14ac:dyDescent="0.2">
      <c r="A90" t="s">
        <v>240</v>
      </c>
      <c r="B90" t="s">
        <v>23</v>
      </c>
      <c r="D90" s="9">
        <v>13149834.760000002</v>
      </c>
      <c r="F90" s="9"/>
      <c r="G90" s="254">
        <f t="array" ref="G90">SUM(('Отчет по покупателям УТ'!$J$6:$J$5000='Adj Ageing by Brand'!$B90)*('Отчет по покупателям УТ'!$H$6:$H$5000='Adj Ageing by Brand'!G$8)*('Отчет по покупателям УТ'!$M$6:$M$5000='Adj Ageing by Brand'!$A90)*('Отчет по покупателям УТ'!$K$6:$K$5000))</f>
        <v>25080836</v>
      </c>
      <c r="H90" s="254">
        <f t="array" ref="H90">SUM(('Отчет по покупателям УТ'!$J$6:$J$5000='Adj Ageing by Brand'!$B90)*('Отчет по покупателям УТ'!$H$6:$H$5000='Adj Ageing by Brand'!H$8)*('Отчет по покупателям УТ'!$M$6:$M$5000='Adj Ageing by Brand'!$A90)*('Отчет по покупателям УТ'!$K$6:$K$5000))</f>
        <v>0</v>
      </c>
      <c r="I90" s="254">
        <f t="array" ref="I90">SUM(('Отчет по покупателям УТ'!$J$6:$J$5000='Adj Ageing by Brand'!$B90)*('Отчет по покупателям УТ'!$H$6:$H$5000='Adj Ageing by Brand'!I$8)*('Отчет по покупателям УТ'!$M$6:$M$5000='Adj Ageing by Brand'!$A90)*('Отчет по покупателям УТ'!$K$6:$K$5000))</f>
        <v>0</v>
      </c>
      <c r="J90" s="254">
        <f t="array" ref="J90">SUM(('Отчет по покупателям УТ'!$J$6:$J$5000='Adj Ageing by Brand'!$B90)*('Отчет по покупателям УТ'!$H$6:$H$5000='Adj Ageing by Brand'!J$8)*('Отчет по покупателям УТ'!$M$6:$M$5000='Adj Ageing by Brand'!$A90)*('Отчет по покупателям УТ'!$K$6:$K$5000))</f>
        <v>0</v>
      </c>
      <c r="K90" s="254">
        <f t="array" ref="K90">SUM(('Отчет по покупателям УТ'!$J$6:$J$5000='Adj Ageing by Brand'!$B90)*('Отчет по покупателям УТ'!$H$6:$H$5000='Adj Ageing by Brand'!K$8)*('Отчет по покупателям УТ'!$M$6:$M$5000='Adj Ageing by Brand'!$A90)*('Отчет по покупателям УТ'!$K$6:$K$5000))</f>
        <v>0</v>
      </c>
      <c r="L90" s="254">
        <f t="array" ref="L90">SUM(('Отчет по покупателям УТ'!$J$6:$J$5000='Adj Ageing by Brand'!$B90)*('Отчет по покупателям УТ'!$H$6:$H$5000='Adj Ageing by Brand'!L$8)*('Отчет по покупателям УТ'!$M$6:$M$5000='Adj Ageing by Brand'!$A90)*('Отчет по покупателям УТ'!$K$6:$K$5000))</f>
        <v>-11931001.24</v>
      </c>
      <c r="M90" s="44">
        <f t="shared" si="30"/>
        <v>13149834.76</v>
      </c>
      <c r="R90" s="9" t="b">
        <f t="shared" si="41"/>
        <v>1</v>
      </c>
      <c r="S90" s="228">
        <f t="shared" si="31"/>
        <v>13149834.76</v>
      </c>
      <c r="T90" s="228">
        <f t="shared" si="32"/>
        <v>-11931001.24</v>
      </c>
      <c r="U90" s="228">
        <f t="shared" si="33"/>
        <v>0</v>
      </c>
      <c r="V90" s="228">
        <f t="shared" si="34"/>
        <v>-11931001.24</v>
      </c>
      <c r="W90" s="228">
        <f t="shared" si="35"/>
        <v>0</v>
      </c>
      <c r="X90" s="228">
        <f t="shared" si="36"/>
        <v>-11931001.24</v>
      </c>
      <c r="Y90" s="228">
        <f t="shared" si="37"/>
        <v>0</v>
      </c>
      <c r="Z90" s="228">
        <f t="shared" si="38"/>
        <v>-11931001.24</v>
      </c>
      <c r="AA90" s="228">
        <f t="shared" si="39"/>
        <v>0</v>
      </c>
      <c r="AB90" s="228">
        <f t="shared" si="40"/>
        <v>0</v>
      </c>
      <c r="AC90" s="247">
        <f t="shared" si="42"/>
        <v>13149834.76</v>
      </c>
      <c r="AD90" s="227">
        <f t="shared" si="43"/>
        <v>13149834.76</v>
      </c>
    </row>
    <row r="91" spans="1:30" x14ac:dyDescent="0.2">
      <c r="A91" t="s">
        <v>250</v>
      </c>
      <c r="B91" t="s">
        <v>31</v>
      </c>
      <c r="D91" s="9">
        <v>-3775.8</v>
      </c>
      <c r="F91" s="9"/>
      <c r="G91" s="254">
        <f t="array" ref="G91">SUM(('Отчет по покупателям УТ'!$J$6:$J$5000='Adj Ageing by Brand'!$B91)*('Отчет по покупателям УТ'!$H$6:$H$5000='Adj Ageing by Brand'!G$8)*('Отчет по покупателям УТ'!$M$6:$M$5000='Adj Ageing by Brand'!$A91)*('Отчет по покупателям УТ'!$K$6:$K$5000))</f>
        <v>0</v>
      </c>
      <c r="H91" s="254">
        <f t="array" ref="H91">SUM(('Отчет по покупателям УТ'!$J$6:$J$5000='Adj Ageing by Brand'!$B91)*('Отчет по покупателям УТ'!$H$6:$H$5000='Adj Ageing by Brand'!H$8)*('Отчет по покупателям УТ'!$M$6:$M$5000='Adj Ageing by Brand'!$A91)*('Отчет по покупателям УТ'!$K$6:$K$5000))</f>
        <v>0</v>
      </c>
      <c r="I91" s="254">
        <f t="array" ref="I91">SUM(('Отчет по покупателям УТ'!$J$6:$J$5000='Adj Ageing by Brand'!$B91)*('Отчет по покупателям УТ'!$H$6:$H$5000='Adj Ageing by Brand'!I$8)*('Отчет по покупателям УТ'!$M$6:$M$5000='Adj Ageing by Brand'!$A91)*('Отчет по покупателям УТ'!$K$6:$K$5000))</f>
        <v>0</v>
      </c>
      <c r="J91" s="254">
        <f t="array" ref="J91">SUM(('Отчет по покупателям УТ'!$J$6:$J$5000='Adj Ageing by Brand'!$B91)*('Отчет по покупателям УТ'!$H$6:$H$5000='Adj Ageing by Brand'!J$8)*('Отчет по покупателям УТ'!$M$6:$M$5000='Adj Ageing by Brand'!$A91)*('Отчет по покупателям УТ'!$K$6:$K$5000))</f>
        <v>0</v>
      </c>
      <c r="K91" s="254">
        <f t="array" ref="K91">SUM(('Отчет по покупателям УТ'!$J$6:$J$5000='Adj Ageing by Brand'!$B91)*('Отчет по покупателям УТ'!$H$6:$H$5000='Adj Ageing by Brand'!K$8)*('Отчет по покупателям УТ'!$M$6:$M$5000='Adj Ageing by Brand'!$A91)*('Отчет по покупателям УТ'!$K$6:$K$5000))</f>
        <v>0</v>
      </c>
      <c r="L91" s="254">
        <f t="array" ref="L91">SUM(('Отчет по покупателям УТ'!$J$6:$J$5000='Adj Ageing by Brand'!$B91)*('Отчет по покупателям УТ'!$H$6:$H$5000='Adj Ageing by Brand'!L$8)*('Отчет по покупателям УТ'!$M$6:$M$5000='Adj Ageing by Brand'!$A91)*('Отчет по покупателям УТ'!$K$6:$K$5000))</f>
        <v>-3775.8</v>
      </c>
      <c r="M91" s="44">
        <f t="shared" si="30"/>
        <v>-3775.8</v>
      </c>
      <c r="R91" s="9" t="b">
        <f t="shared" si="41"/>
        <v>1</v>
      </c>
      <c r="S91" s="228">
        <f t="shared" si="31"/>
        <v>0</v>
      </c>
      <c r="T91" s="228">
        <f t="shared" si="32"/>
        <v>-3775.8</v>
      </c>
      <c r="U91" s="228">
        <f t="shared" si="33"/>
        <v>0</v>
      </c>
      <c r="V91" s="228">
        <f t="shared" si="34"/>
        <v>-3775.8</v>
      </c>
      <c r="W91" s="228">
        <f t="shared" si="35"/>
        <v>0</v>
      </c>
      <c r="X91" s="228">
        <f t="shared" si="36"/>
        <v>-3775.8</v>
      </c>
      <c r="Y91" s="228">
        <f t="shared" si="37"/>
        <v>0</v>
      </c>
      <c r="Z91" s="228">
        <f t="shared" si="38"/>
        <v>-3775.8</v>
      </c>
      <c r="AA91" s="228">
        <f t="shared" si="39"/>
        <v>0</v>
      </c>
      <c r="AB91" s="228">
        <f t="shared" si="40"/>
        <v>-3775.8</v>
      </c>
      <c r="AC91" s="247">
        <f t="shared" si="42"/>
        <v>-3775.8</v>
      </c>
      <c r="AD91" s="227">
        <f t="shared" si="43"/>
        <v>0</v>
      </c>
    </row>
    <row r="92" spans="1:30" x14ac:dyDescent="0.2">
      <c r="A92" t="s">
        <v>256</v>
      </c>
      <c r="B92" t="s">
        <v>31</v>
      </c>
      <c r="D92" s="9">
        <v>-144999.4</v>
      </c>
      <c r="F92" s="9"/>
      <c r="G92" s="254">
        <f t="array" ref="G92">SUM(('Отчет по покупателям УТ'!$J$6:$J$5000='Adj Ageing by Brand'!$B92)*('Отчет по покупателям УТ'!$H$6:$H$5000='Adj Ageing by Brand'!G$8)*('Отчет по покупателям УТ'!$M$6:$M$5000='Adj Ageing by Brand'!$A92)*('Отчет по покупателям УТ'!$K$6:$K$5000))</f>
        <v>0</v>
      </c>
      <c r="H92" s="254">
        <f t="array" ref="H92">SUM(('Отчет по покупателям УТ'!$J$6:$J$5000='Adj Ageing by Brand'!$B92)*('Отчет по покупателям УТ'!$H$6:$H$5000='Adj Ageing by Brand'!H$8)*('Отчет по покупателям УТ'!$M$6:$M$5000='Adj Ageing by Brand'!$A92)*('Отчет по покупателям УТ'!$K$6:$K$5000))</f>
        <v>0</v>
      </c>
      <c r="I92" s="254">
        <f t="array" ref="I92">SUM(('Отчет по покупателям УТ'!$J$6:$J$5000='Adj Ageing by Brand'!$B92)*('Отчет по покупателям УТ'!$H$6:$H$5000='Adj Ageing by Brand'!I$8)*('Отчет по покупателям УТ'!$M$6:$M$5000='Adj Ageing by Brand'!$A92)*('Отчет по покупателям УТ'!$K$6:$K$5000))</f>
        <v>0</v>
      </c>
      <c r="J92" s="254">
        <f t="array" ref="J92">SUM(('Отчет по покупателям УТ'!$J$6:$J$5000='Adj Ageing by Brand'!$B92)*('Отчет по покупателям УТ'!$H$6:$H$5000='Adj Ageing by Brand'!J$8)*('Отчет по покупателям УТ'!$M$6:$M$5000='Adj Ageing by Brand'!$A92)*('Отчет по покупателям УТ'!$K$6:$K$5000))</f>
        <v>0</v>
      </c>
      <c r="K92" s="254">
        <f t="array" ref="K92">SUM(('Отчет по покупателям УТ'!$J$6:$J$5000='Adj Ageing by Brand'!$B92)*('Отчет по покупателям УТ'!$H$6:$H$5000='Adj Ageing by Brand'!K$8)*('Отчет по покупателям УТ'!$M$6:$M$5000='Adj Ageing by Brand'!$A92)*('Отчет по покупателям УТ'!$K$6:$K$5000))</f>
        <v>0</v>
      </c>
      <c r="L92" s="254">
        <f t="array" ref="L92">SUM(('Отчет по покупателям УТ'!$J$6:$J$5000='Adj Ageing by Brand'!$B92)*('Отчет по покупателям УТ'!$H$6:$H$5000='Adj Ageing by Brand'!L$8)*('Отчет по покупателям УТ'!$M$6:$M$5000='Adj Ageing by Brand'!$A92)*('Отчет по покупателям УТ'!$K$6:$K$5000))</f>
        <v>-144999.4</v>
      </c>
      <c r="M92" s="44">
        <f t="shared" si="30"/>
        <v>-144999.4</v>
      </c>
      <c r="R92" s="9" t="b">
        <f t="shared" si="41"/>
        <v>1</v>
      </c>
      <c r="S92" s="228">
        <f t="shared" si="31"/>
        <v>0</v>
      </c>
      <c r="T92" s="228">
        <f t="shared" si="32"/>
        <v>-144999.4</v>
      </c>
      <c r="U92" s="228">
        <f t="shared" si="33"/>
        <v>0</v>
      </c>
      <c r="V92" s="228">
        <f t="shared" si="34"/>
        <v>-144999.4</v>
      </c>
      <c r="W92" s="228">
        <f t="shared" si="35"/>
        <v>0</v>
      </c>
      <c r="X92" s="228">
        <f t="shared" si="36"/>
        <v>-144999.4</v>
      </c>
      <c r="Y92" s="228">
        <f t="shared" si="37"/>
        <v>0</v>
      </c>
      <c r="Z92" s="228">
        <f t="shared" si="38"/>
        <v>-144999.4</v>
      </c>
      <c r="AA92" s="228">
        <f t="shared" si="39"/>
        <v>0</v>
      </c>
      <c r="AB92" s="228">
        <f t="shared" si="40"/>
        <v>-144999.4</v>
      </c>
      <c r="AC92" s="247">
        <f t="shared" si="42"/>
        <v>-144999.4</v>
      </c>
      <c r="AD92" s="227">
        <f t="shared" si="43"/>
        <v>0</v>
      </c>
    </row>
    <row r="93" spans="1:30" x14ac:dyDescent="0.2">
      <c r="A93" t="s">
        <v>258</v>
      </c>
      <c r="B93" t="s">
        <v>16</v>
      </c>
      <c r="D93" s="9">
        <v>-694717.67999999993</v>
      </c>
      <c r="F93" s="9"/>
      <c r="G93" s="254">
        <f t="array" ref="G93">SUM(('Отчет по покупателям УТ'!$J$6:$J$5000='Adj Ageing by Brand'!$B93)*('Отчет по покупателям УТ'!$H$6:$H$5000='Adj Ageing by Brand'!G$8)*('Отчет по покупателям УТ'!$M$6:$M$5000='Adj Ageing by Brand'!$A93)*('Отчет по покупателям УТ'!$K$6:$K$5000))</f>
        <v>0</v>
      </c>
      <c r="H93" s="254">
        <f t="array" ref="H93">SUM(('Отчет по покупателям УТ'!$J$6:$J$5000='Adj Ageing by Brand'!$B93)*('Отчет по покупателям УТ'!$H$6:$H$5000='Adj Ageing by Brand'!H$8)*('Отчет по покупателям УТ'!$M$6:$M$5000='Adj Ageing by Brand'!$A93)*('Отчет по покупателям УТ'!$K$6:$K$5000))</f>
        <v>0</v>
      </c>
      <c r="I93" s="254">
        <f t="array" ref="I93">SUM(('Отчет по покупателям УТ'!$J$6:$J$5000='Adj Ageing by Brand'!$B93)*('Отчет по покупателям УТ'!$H$6:$H$5000='Adj Ageing by Brand'!I$8)*('Отчет по покупателям УТ'!$M$6:$M$5000='Adj Ageing by Brand'!$A93)*('Отчет по покупателям УТ'!$K$6:$K$5000))</f>
        <v>0</v>
      </c>
      <c r="J93" s="254">
        <f t="array" ref="J93">SUM(('Отчет по покупателям УТ'!$J$6:$J$5000='Adj Ageing by Brand'!$B93)*('Отчет по покупателям УТ'!$H$6:$H$5000='Adj Ageing by Brand'!J$8)*('Отчет по покупателям УТ'!$M$6:$M$5000='Adj Ageing by Brand'!$A93)*('Отчет по покупателям УТ'!$K$6:$K$5000))</f>
        <v>0</v>
      </c>
      <c r="K93" s="254">
        <f t="array" ref="K93">SUM(('Отчет по покупателям УТ'!$J$6:$J$5000='Adj Ageing by Brand'!$B93)*('Отчет по покупателям УТ'!$H$6:$H$5000='Adj Ageing by Brand'!K$8)*('Отчет по покупателям УТ'!$M$6:$M$5000='Adj Ageing by Brand'!$A93)*('Отчет по покупателям УТ'!$K$6:$K$5000))</f>
        <v>0</v>
      </c>
      <c r="L93" s="254">
        <f t="array" ref="L93">SUM(('Отчет по покупателям УТ'!$J$6:$J$5000='Adj Ageing by Brand'!$B93)*('Отчет по покупателям УТ'!$H$6:$H$5000='Adj Ageing by Brand'!L$8)*('Отчет по покупателям УТ'!$M$6:$M$5000='Adj Ageing by Brand'!$A93)*('Отчет по покупателям УТ'!$K$6:$K$5000))</f>
        <v>-694717.67999999993</v>
      </c>
      <c r="M93" s="44">
        <f t="shared" si="30"/>
        <v>-694717.67999999993</v>
      </c>
      <c r="R93" s="9" t="b">
        <f t="shared" si="41"/>
        <v>1</v>
      </c>
      <c r="S93" s="228">
        <f t="shared" si="31"/>
        <v>0</v>
      </c>
      <c r="T93" s="228">
        <f t="shared" si="32"/>
        <v>-694717.67999999993</v>
      </c>
      <c r="U93" s="228">
        <f t="shared" si="33"/>
        <v>0</v>
      </c>
      <c r="V93" s="228">
        <f t="shared" si="34"/>
        <v>-694717.67999999993</v>
      </c>
      <c r="W93" s="228">
        <f t="shared" si="35"/>
        <v>0</v>
      </c>
      <c r="X93" s="228">
        <f t="shared" si="36"/>
        <v>-694717.67999999993</v>
      </c>
      <c r="Y93" s="228">
        <f t="shared" si="37"/>
        <v>0</v>
      </c>
      <c r="Z93" s="228">
        <f t="shared" si="38"/>
        <v>-694717.67999999993</v>
      </c>
      <c r="AA93" s="228">
        <f t="shared" si="39"/>
        <v>0</v>
      </c>
      <c r="AB93" s="228">
        <f t="shared" si="40"/>
        <v>-694717.67999999993</v>
      </c>
      <c r="AC93" s="247">
        <f t="shared" si="42"/>
        <v>-694717.67999999993</v>
      </c>
      <c r="AD93" s="227">
        <f t="shared" si="43"/>
        <v>0</v>
      </c>
    </row>
    <row r="94" spans="1:30" x14ac:dyDescent="0.2">
      <c r="A94" t="s">
        <v>262</v>
      </c>
      <c r="B94" t="s">
        <v>22</v>
      </c>
      <c r="D94" s="9">
        <v>-118621.49</v>
      </c>
      <c r="F94" s="9"/>
      <c r="G94" s="254">
        <f t="array" ref="G94">SUM(('Отчет по покупателям УТ'!$J$6:$J$5000='Adj Ageing by Brand'!$B94)*('Отчет по покупателям УТ'!$H$6:$H$5000='Adj Ageing by Brand'!G$8)*('Отчет по покупателям УТ'!$M$6:$M$5000='Adj Ageing by Brand'!$A94)*('Отчет по покупателям УТ'!$K$6:$K$5000))</f>
        <v>0</v>
      </c>
      <c r="H94" s="254">
        <f t="array" ref="H94">SUM(('Отчет по покупателям УТ'!$J$6:$J$5000='Adj Ageing by Brand'!$B94)*('Отчет по покупателям УТ'!$H$6:$H$5000='Adj Ageing by Brand'!H$8)*('Отчет по покупателям УТ'!$M$6:$M$5000='Adj Ageing by Brand'!$A94)*('Отчет по покупателям УТ'!$K$6:$K$5000))</f>
        <v>0</v>
      </c>
      <c r="I94" s="254">
        <f t="array" ref="I94">SUM(('Отчет по покупателям УТ'!$J$6:$J$5000='Adj Ageing by Brand'!$B94)*('Отчет по покупателям УТ'!$H$6:$H$5000='Adj Ageing by Brand'!I$8)*('Отчет по покупателям УТ'!$M$6:$M$5000='Adj Ageing by Brand'!$A94)*('Отчет по покупателям УТ'!$K$6:$K$5000))</f>
        <v>0</v>
      </c>
      <c r="J94" s="254">
        <f t="array" ref="J94">SUM(('Отчет по покупателям УТ'!$J$6:$J$5000='Adj Ageing by Brand'!$B94)*('Отчет по покупателям УТ'!$H$6:$H$5000='Adj Ageing by Brand'!J$8)*('Отчет по покупателям УТ'!$M$6:$M$5000='Adj Ageing by Brand'!$A94)*('Отчет по покупателям УТ'!$K$6:$K$5000))</f>
        <v>0</v>
      </c>
      <c r="K94" s="254">
        <f t="array" ref="K94">SUM(('Отчет по покупателям УТ'!$J$6:$J$5000='Adj Ageing by Brand'!$B94)*('Отчет по покупателям УТ'!$H$6:$H$5000='Adj Ageing by Brand'!K$8)*('Отчет по покупателям УТ'!$M$6:$M$5000='Adj Ageing by Brand'!$A94)*('Отчет по покупателям УТ'!$K$6:$K$5000))</f>
        <v>0</v>
      </c>
      <c r="L94" s="254">
        <f t="array" ref="L94">SUM(('Отчет по покупателям УТ'!$J$6:$J$5000='Adj Ageing by Brand'!$B94)*('Отчет по покупателям УТ'!$H$6:$H$5000='Adj Ageing by Brand'!L$8)*('Отчет по покупателям УТ'!$M$6:$M$5000='Adj Ageing by Brand'!$A94)*('Отчет по покупателям УТ'!$K$6:$K$5000))</f>
        <v>-118621.49</v>
      </c>
      <c r="M94" s="44">
        <f t="shared" si="30"/>
        <v>-118621.49</v>
      </c>
      <c r="R94" s="9" t="b">
        <f t="shared" si="41"/>
        <v>1</v>
      </c>
      <c r="S94" s="228">
        <f t="shared" si="31"/>
        <v>0</v>
      </c>
      <c r="T94" s="228">
        <f t="shared" si="32"/>
        <v>-118621.49</v>
      </c>
      <c r="U94" s="228">
        <f t="shared" si="33"/>
        <v>0</v>
      </c>
      <c r="V94" s="228">
        <f t="shared" si="34"/>
        <v>-118621.49</v>
      </c>
      <c r="W94" s="228">
        <f t="shared" si="35"/>
        <v>0</v>
      </c>
      <c r="X94" s="228">
        <f t="shared" si="36"/>
        <v>-118621.49</v>
      </c>
      <c r="Y94" s="228">
        <f t="shared" si="37"/>
        <v>0</v>
      </c>
      <c r="Z94" s="228">
        <f t="shared" si="38"/>
        <v>-118621.49</v>
      </c>
      <c r="AA94" s="228">
        <f t="shared" si="39"/>
        <v>0</v>
      </c>
      <c r="AB94" s="228">
        <f t="shared" si="40"/>
        <v>-118621.49</v>
      </c>
      <c r="AC94" s="247">
        <f t="shared" si="42"/>
        <v>-118621.49</v>
      </c>
      <c r="AD94" s="227">
        <f t="shared" si="43"/>
        <v>0</v>
      </c>
    </row>
    <row r="95" spans="1:30" x14ac:dyDescent="0.2">
      <c r="A95" t="s">
        <v>265</v>
      </c>
      <c r="B95" t="s">
        <v>22</v>
      </c>
      <c r="D95" s="9">
        <v>-293941</v>
      </c>
      <c r="F95" s="9"/>
      <c r="G95" s="254">
        <f t="array" ref="G95">SUM(('Отчет по покупателям УТ'!$J$6:$J$5000='Adj Ageing by Brand'!$B95)*('Отчет по покупателям УТ'!$H$6:$H$5000='Adj Ageing by Brand'!G$8)*('Отчет по покупателям УТ'!$M$6:$M$5000='Adj Ageing by Brand'!$A95)*('Отчет по покупателям УТ'!$K$6:$K$5000))</f>
        <v>0</v>
      </c>
      <c r="H95" s="254">
        <f t="array" ref="H95">SUM(('Отчет по покупателям УТ'!$J$6:$J$5000='Adj Ageing by Brand'!$B95)*('Отчет по покупателям УТ'!$H$6:$H$5000='Adj Ageing by Brand'!H$8)*('Отчет по покупателям УТ'!$M$6:$M$5000='Adj Ageing by Brand'!$A95)*('Отчет по покупателям УТ'!$K$6:$K$5000))</f>
        <v>0</v>
      </c>
      <c r="I95" s="254">
        <f t="array" ref="I95">SUM(('Отчет по покупателям УТ'!$J$6:$J$5000='Adj Ageing by Brand'!$B95)*('Отчет по покупателям УТ'!$H$6:$H$5000='Adj Ageing by Brand'!I$8)*('Отчет по покупателям УТ'!$M$6:$M$5000='Adj Ageing by Brand'!$A95)*('Отчет по покупателям УТ'!$K$6:$K$5000))</f>
        <v>0</v>
      </c>
      <c r="J95" s="254">
        <f t="array" ref="J95">SUM(('Отчет по покупателям УТ'!$J$6:$J$5000='Adj Ageing by Brand'!$B95)*('Отчет по покупателям УТ'!$H$6:$H$5000='Adj Ageing by Brand'!J$8)*('Отчет по покупателям УТ'!$M$6:$M$5000='Adj Ageing by Brand'!$A95)*('Отчет по покупателям УТ'!$K$6:$K$5000))</f>
        <v>0</v>
      </c>
      <c r="K95" s="254">
        <f t="array" ref="K95">SUM(('Отчет по покупателям УТ'!$J$6:$J$5000='Adj Ageing by Brand'!$B95)*('Отчет по покупателям УТ'!$H$6:$H$5000='Adj Ageing by Brand'!K$8)*('Отчет по покупателям УТ'!$M$6:$M$5000='Adj Ageing by Brand'!$A95)*('Отчет по покупателям УТ'!$K$6:$K$5000))</f>
        <v>0</v>
      </c>
      <c r="L95" s="254">
        <f t="array" ref="L95">SUM(('Отчет по покупателям УТ'!$J$6:$J$5000='Adj Ageing by Brand'!$B95)*('Отчет по покупателям УТ'!$H$6:$H$5000='Adj Ageing by Brand'!L$8)*('Отчет по покупателям УТ'!$M$6:$M$5000='Adj Ageing by Brand'!$A95)*('Отчет по покупателям УТ'!$K$6:$K$5000))</f>
        <v>-293941</v>
      </c>
      <c r="M95" s="44">
        <f t="shared" si="30"/>
        <v>-293941</v>
      </c>
      <c r="R95" s="9" t="b">
        <f t="shared" si="41"/>
        <v>1</v>
      </c>
      <c r="S95" s="228">
        <f t="shared" si="31"/>
        <v>0</v>
      </c>
      <c r="T95" s="228">
        <f t="shared" si="32"/>
        <v>-293941</v>
      </c>
      <c r="U95" s="228">
        <f t="shared" si="33"/>
        <v>0</v>
      </c>
      <c r="V95" s="228">
        <f t="shared" si="34"/>
        <v>-293941</v>
      </c>
      <c r="W95" s="228">
        <f t="shared" si="35"/>
        <v>0</v>
      </c>
      <c r="X95" s="228">
        <f t="shared" si="36"/>
        <v>-293941</v>
      </c>
      <c r="Y95" s="228">
        <f t="shared" si="37"/>
        <v>0</v>
      </c>
      <c r="Z95" s="228">
        <f t="shared" si="38"/>
        <v>-293941</v>
      </c>
      <c r="AA95" s="228">
        <f t="shared" si="39"/>
        <v>0</v>
      </c>
      <c r="AB95" s="228">
        <f t="shared" si="40"/>
        <v>-293941</v>
      </c>
      <c r="AC95" s="247">
        <f t="shared" si="42"/>
        <v>-293941</v>
      </c>
      <c r="AD95" s="227">
        <f t="shared" si="43"/>
        <v>0</v>
      </c>
    </row>
    <row r="96" spans="1:30" x14ac:dyDescent="0.2">
      <c r="A96" t="s">
        <v>265</v>
      </c>
      <c r="B96" t="s">
        <v>16</v>
      </c>
      <c r="D96" s="9">
        <v>-299098.3</v>
      </c>
      <c r="F96" s="9"/>
      <c r="G96" s="254">
        <f t="array" ref="G96">SUM(('Отчет по покупателям УТ'!$J$6:$J$5000='Adj Ageing by Brand'!$B96)*('Отчет по покупателям УТ'!$H$6:$H$5000='Adj Ageing by Brand'!G$8)*('Отчет по покупателям УТ'!$M$6:$M$5000='Adj Ageing by Brand'!$A96)*('Отчет по покупателям УТ'!$K$6:$K$5000))</f>
        <v>0</v>
      </c>
      <c r="H96" s="254">
        <f t="array" ref="H96">SUM(('Отчет по покупателям УТ'!$J$6:$J$5000='Adj Ageing by Brand'!$B96)*('Отчет по покупателям УТ'!$H$6:$H$5000='Adj Ageing by Brand'!H$8)*('Отчет по покупателям УТ'!$M$6:$M$5000='Adj Ageing by Brand'!$A96)*('Отчет по покупателям УТ'!$K$6:$K$5000))</f>
        <v>0</v>
      </c>
      <c r="I96" s="254">
        <f t="array" ref="I96">SUM(('Отчет по покупателям УТ'!$J$6:$J$5000='Adj Ageing by Brand'!$B96)*('Отчет по покупателям УТ'!$H$6:$H$5000='Adj Ageing by Brand'!I$8)*('Отчет по покупателям УТ'!$M$6:$M$5000='Adj Ageing by Brand'!$A96)*('Отчет по покупателям УТ'!$K$6:$K$5000))</f>
        <v>0</v>
      </c>
      <c r="J96" s="254">
        <f t="array" ref="J96">SUM(('Отчет по покупателям УТ'!$J$6:$J$5000='Adj Ageing by Brand'!$B96)*('Отчет по покупателям УТ'!$H$6:$H$5000='Adj Ageing by Brand'!J$8)*('Отчет по покупателям УТ'!$M$6:$M$5000='Adj Ageing by Brand'!$A96)*('Отчет по покупателям УТ'!$K$6:$K$5000))</f>
        <v>0</v>
      </c>
      <c r="K96" s="254">
        <f t="array" ref="K96">SUM(('Отчет по покупателям УТ'!$J$6:$J$5000='Adj Ageing by Brand'!$B96)*('Отчет по покупателям УТ'!$H$6:$H$5000='Adj Ageing by Brand'!K$8)*('Отчет по покупателям УТ'!$M$6:$M$5000='Adj Ageing by Brand'!$A96)*('Отчет по покупателям УТ'!$K$6:$K$5000))</f>
        <v>0</v>
      </c>
      <c r="L96" s="254">
        <f t="array" ref="L96">SUM(('Отчет по покупателям УТ'!$J$6:$J$5000='Adj Ageing by Brand'!$B96)*('Отчет по покупателям УТ'!$H$6:$H$5000='Adj Ageing by Brand'!L$8)*('Отчет по покупателям УТ'!$M$6:$M$5000='Adj Ageing by Brand'!$A96)*('Отчет по покупателям УТ'!$K$6:$K$5000))</f>
        <v>-299098.3</v>
      </c>
      <c r="M96" s="44">
        <f t="shared" si="30"/>
        <v>-299098.3</v>
      </c>
      <c r="R96" s="9" t="b">
        <f t="shared" si="41"/>
        <v>1</v>
      </c>
      <c r="S96" s="228">
        <f t="shared" si="31"/>
        <v>0</v>
      </c>
      <c r="T96" s="228">
        <f t="shared" si="32"/>
        <v>-299098.3</v>
      </c>
      <c r="U96" s="228">
        <f t="shared" si="33"/>
        <v>0</v>
      </c>
      <c r="V96" s="228">
        <f t="shared" si="34"/>
        <v>-299098.3</v>
      </c>
      <c r="W96" s="228">
        <f t="shared" si="35"/>
        <v>0</v>
      </c>
      <c r="X96" s="228">
        <f t="shared" si="36"/>
        <v>-299098.3</v>
      </c>
      <c r="Y96" s="228">
        <f t="shared" si="37"/>
        <v>0</v>
      </c>
      <c r="Z96" s="228">
        <f t="shared" si="38"/>
        <v>-299098.3</v>
      </c>
      <c r="AA96" s="228">
        <f t="shared" si="39"/>
        <v>0</v>
      </c>
      <c r="AB96" s="228">
        <f t="shared" si="40"/>
        <v>-299098.3</v>
      </c>
      <c r="AC96" s="247">
        <f t="shared" si="42"/>
        <v>-299098.3</v>
      </c>
      <c r="AD96" s="227">
        <f t="shared" si="43"/>
        <v>0</v>
      </c>
    </row>
    <row r="97" spans="1:30" x14ac:dyDescent="0.2">
      <c r="A97" t="s">
        <v>265</v>
      </c>
      <c r="B97" t="s">
        <v>31</v>
      </c>
      <c r="D97" s="9">
        <v>-66120</v>
      </c>
      <c r="F97" s="9"/>
      <c r="G97" s="254">
        <f t="array" ref="G97">SUM(('Отчет по покупателям УТ'!$J$6:$J$5000='Adj Ageing by Brand'!$B97)*('Отчет по покупателям УТ'!$H$6:$H$5000='Adj Ageing by Brand'!G$8)*('Отчет по покупателям УТ'!$M$6:$M$5000='Adj Ageing by Brand'!$A97)*('Отчет по покупателям УТ'!$K$6:$K$5000))</f>
        <v>0</v>
      </c>
      <c r="H97" s="254">
        <f t="array" ref="H97">SUM(('Отчет по покупателям УТ'!$J$6:$J$5000='Adj Ageing by Brand'!$B97)*('Отчет по покупателям УТ'!$H$6:$H$5000='Adj Ageing by Brand'!H$8)*('Отчет по покупателям УТ'!$M$6:$M$5000='Adj Ageing by Brand'!$A97)*('Отчет по покупателям УТ'!$K$6:$K$5000))</f>
        <v>0</v>
      </c>
      <c r="I97" s="254">
        <f t="array" ref="I97">SUM(('Отчет по покупателям УТ'!$J$6:$J$5000='Adj Ageing by Brand'!$B97)*('Отчет по покупателям УТ'!$H$6:$H$5000='Adj Ageing by Brand'!I$8)*('Отчет по покупателям УТ'!$M$6:$M$5000='Adj Ageing by Brand'!$A97)*('Отчет по покупателям УТ'!$K$6:$K$5000))</f>
        <v>0</v>
      </c>
      <c r="J97" s="254">
        <f t="array" ref="J97">SUM(('Отчет по покупателям УТ'!$J$6:$J$5000='Adj Ageing by Brand'!$B97)*('Отчет по покупателям УТ'!$H$6:$H$5000='Adj Ageing by Brand'!J$8)*('Отчет по покупателям УТ'!$M$6:$M$5000='Adj Ageing by Brand'!$A97)*('Отчет по покупателям УТ'!$K$6:$K$5000))</f>
        <v>0</v>
      </c>
      <c r="K97" s="254">
        <f t="array" ref="K97">SUM(('Отчет по покупателям УТ'!$J$6:$J$5000='Adj Ageing by Brand'!$B97)*('Отчет по покупателям УТ'!$H$6:$H$5000='Adj Ageing by Brand'!K$8)*('Отчет по покупателям УТ'!$M$6:$M$5000='Adj Ageing by Brand'!$A97)*('Отчет по покупателям УТ'!$K$6:$K$5000))</f>
        <v>0</v>
      </c>
      <c r="L97" s="254">
        <f t="array" ref="L97">SUM(('Отчет по покупателям УТ'!$J$6:$J$5000='Adj Ageing by Brand'!$B97)*('Отчет по покупателям УТ'!$H$6:$H$5000='Adj Ageing by Brand'!L$8)*('Отчет по покупателям УТ'!$M$6:$M$5000='Adj Ageing by Brand'!$A97)*('Отчет по покупателям УТ'!$K$6:$K$5000))</f>
        <v>-66120</v>
      </c>
      <c r="M97" s="44">
        <f t="shared" si="30"/>
        <v>-66120</v>
      </c>
      <c r="R97" s="9" t="b">
        <f t="shared" si="41"/>
        <v>1</v>
      </c>
      <c r="S97" s="228">
        <f t="shared" si="31"/>
        <v>0</v>
      </c>
      <c r="T97" s="228">
        <f t="shared" si="32"/>
        <v>-66120</v>
      </c>
      <c r="U97" s="228">
        <f t="shared" si="33"/>
        <v>0</v>
      </c>
      <c r="V97" s="228">
        <f t="shared" si="34"/>
        <v>-66120</v>
      </c>
      <c r="W97" s="228">
        <f t="shared" si="35"/>
        <v>0</v>
      </c>
      <c r="X97" s="228">
        <f t="shared" si="36"/>
        <v>-66120</v>
      </c>
      <c r="Y97" s="228">
        <f t="shared" si="37"/>
        <v>0</v>
      </c>
      <c r="Z97" s="228">
        <f t="shared" si="38"/>
        <v>-66120</v>
      </c>
      <c r="AA97" s="228">
        <f t="shared" si="39"/>
        <v>0</v>
      </c>
      <c r="AB97" s="228">
        <f t="shared" si="40"/>
        <v>-66120</v>
      </c>
      <c r="AC97" s="247">
        <f t="shared" si="42"/>
        <v>-66120</v>
      </c>
      <c r="AD97" s="227">
        <f t="shared" si="43"/>
        <v>0</v>
      </c>
    </row>
    <row r="98" spans="1:30" x14ac:dyDescent="0.2">
      <c r="A98" t="s">
        <v>265</v>
      </c>
      <c r="B98" t="s">
        <v>23</v>
      </c>
      <c r="D98" s="9">
        <v>-228478.75</v>
      </c>
      <c r="F98" s="9"/>
      <c r="G98" s="254">
        <f t="array" ref="G98">SUM(('Отчет по покупателям УТ'!$J$6:$J$5000='Adj Ageing by Brand'!$B98)*('Отчет по покупателям УТ'!$H$6:$H$5000='Adj Ageing by Brand'!G$8)*('Отчет по покупателям УТ'!$M$6:$M$5000='Adj Ageing by Brand'!$A98)*('Отчет по покупателям УТ'!$K$6:$K$5000))</f>
        <v>0</v>
      </c>
      <c r="H98" s="254">
        <f t="array" ref="H98">SUM(('Отчет по покупателям УТ'!$J$6:$J$5000='Adj Ageing by Brand'!$B98)*('Отчет по покупателям УТ'!$H$6:$H$5000='Adj Ageing by Brand'!H$8)*('Отчет по покупателям УТ'!$M$6:$M$5000='Adj Ageing by Brand'!$A98)*('Отчет по покупателям УТ'!$K$6:$K$5000))</f>
        <v>0</v>
      </c>
      <c r="I98" s="254">
        <f t="array" ref="I98">SUM(('Отчет по покупателям УТ'!$J$6:$J$5000='Adj Ageing by Brand'!$B98)*('Отчет по покупателям УТ'!$H$6:$H$5000='Adj Ageing by Brand'!I$8)*('Отчет по покупателям УТ'!$M$6:$M$5000='Adj Ageing by Brand'!$A98)*('Отчет по покупателям УТ'!$K$6:$K$5000))</f>
        <v>0</v>
      </c>
      <c r="J98" s="254">
        <f t="array" ref="J98">SUM(('Отчет по покупателям УТ'!$J$6:$J$5000='Adj Ageing by Brand'!$B98)*('Отчет по покупателям УТ'!$H$6:$H$5000='Adj Ageing by Brand'!J$8)*('Отчет по покупателям УТ'!$M$6:$M$5000='Adj Ageing by Brand'!$A98)*('Отчет по покупателям УТ'!$K$6:$K$5000))</f>
        <v>0</v>
      </c>
      <c r="K98" s="254">
        <f t="array" ref="K98">SUM(('Отчет по покупателям УТ'!$J$6:$J$5000='Adj Ageing by Brand'!$B98)*('Отчет по покупателям УТ'!$H$6:$H$5000='Adj Ageing by Brand'!K$8)*('Отчет по покупателям УТ'!$M$6:$M$5000='Adj Ageing by Brand'!$A98)*('Отчет по покупателям УТ'!$K$6:$K$5000))</f>
        <v>0</v>
      </c>
      <c r="L98" s="254">
        <f t="array" ref="L98">SUM(('Отчет по покупателям УТ'!$J$6:$J$5000='Adj Ageing by Brand'!$B98)*('Отчет по покупателям УТ'!$H$6:$H$5000='Adj Ageing by Brand'!L$8)*('Отчет по покупателям УТ'!$M$6:$M$5000='Adj Ageing by Brand'!$A98)*('Отчет по покупателям УТ'!$K$6:$K$5000))</f>
        <v>-228478.75</v>
      </c>
      <c r="M98" s="44">
        <f t="shared" si="30"/>
        <v>-228478.75</v>
      </c>
      <c r="R98" s="9" t="b">
        <f t="shared" si="41"/>
        <v>1</v>
      </c>
      <c r="S98" s="228">
        <f t="shared" si="31"/>
        <v>0</v>
      </c>
      <c r="T98" s="228">
        <f t="shared" si="32"/>
        <v>-228478.75</v>
      </c>
      <c r="U98" s="228">
        <f t="shared" si="33"/>
        <v>0</v>
      </c>
      <c r="V98" s="228">
        <f t="shared" si="34"/>
        <v>-228478.75</v>
      </c>
      <c r="W98" s="228">
        <f t="shared" si="35"/>
        <v>0</v>
      </c>
      <c r="X98" s="228">
        <f t="shared" si="36"/>
        <v>-228478.75</v>
      </c>
      <c r="Y98" s="228">
        <f t="shared" si="37"/>
        <v>0</v>
      </c>
      <c r="Z98" s="228">
        <f t="shared" si="38"/>
        <v>-228478.75</v>
      </c>
      <c r="AA98" s="228">
        <f t="shared" si="39"/>
        <v>0</v>
      </c>
      <c r="AB98" s="228">
        <f t="shared" si="40"/>
        <v>-228478.75</v>
      </c>
      <c r="AC98" s="247">
        <f t="shared" si="42"/>
        <v>-228478.75</v>
      </c>
      <c r="AD98" s="227">
        <f t="shared" si="43"/>
        <v>0</v>
      </c>
    </row>
    <row r="99" spans="1:30" x14ac:dyDescent="0.2">
      <c r="A99" t="s">
        <v>266</v>
      </c>
      <c r="B99" t="s">
        <v>16</v>
      </c>
      <c r="D99" s="9">
        <v>-47278.38</v>
      </c>
      <c r="F99" s="9"/>
      <c r="G99" s="254">
        <f t="array" ref="G99">SUM(('Отчет по покупателям УТ'!$J$6:$J$5000='Adj Ageing by Brand'!$B99)*('Отчет по покупателям УТ'!$H$6:$H$5000='Adj Ageing by Brand'!G$8)*('Отчет по покупателям УТ'!$M$6:$M$5000='Adj Ageing by Brand'!$A99)*('Отчет по покупателям УТ'!$K$6:$K$5000))</f>
        <v>0</v>
      </c>
      <c r="H99" s="254">
        <f t="array" ref="H99">SUM(('Отчет по покупателям УТ'!$J$6:$J$5000='Adj Ageing by Brand'!$B99)*('Отчет по покупателям УТ'!$H$6:$H$5000='Adj Ageing by Brand'!H$8)*('Отчет по покупателям УТ'!$M$6:$M$5000='Adj Ageing by Brand'!$A99)*('Отчет по покупателям УТ'!$K$6:$K$5000))</f>
        <v>0</v>
      </c>
      <c r="I99" s="254">
        <f t="array" ref="I99">SUM(('Отчет по покупателям УТ'!$J$6:$J$5000='Adj Ageing by Brand'!$B99)*('Отчет по покупателям УТ'!$H$6:$H$5000='Adj Ageing by Brand'!I$8)*('Отчет по покупателям УТ'!$M$6:$M$5000='Adj Ageing by Brand'!$A99)*('Отчет по покупателям УТ'!$K$6:$K$5000))</f>
        <v>0</v>
      </c>
      <c r="J99" s="254">
        <f t="array" ref="J99">SUM(('Отчет по покупателям УТ'!$J$6:$J$5000='Adj Ageing by Brand'!$B99)*('Отчет по покупателям УТ'!$H$6:$H$5000='Adj Ageing by Brand'!J$8)*('Отчет по покупателям УТ'!$M$6:$M$5000='Adj Ageing by Brand'!$A99)*('Отчет по покупателям УТ'!$K$6:$K$5000))</f>
        <v>0</v>
      </c>
      <c r="K99" s="254">
        <f t="array" ref="K99">SUM(('Отчет по покупателям УТ'!$J$6:$J$5000='Adj Ageing by Brand'!$B99)*('Отчет по покупателям УТ'!$H$6:$H$5000='Adj Ageing by Brand'!K$8)*('Отчет по покупателям УТ'!$M$6:$M$5000='Adj Ageing by Brand'!$A99)*('Отчет по покупателям УТ'!$K$6:$K$5000))</f>
        <v>0</v>
      </c>
      <c r="L99" s="254">
        <f t="array" ref="L99">SUM(('Отчет по покупателям УТ'!$J$6:$J$5000='Adj Ageing by Brand'!$B99)*('Отчет по покупателям УТ'!$H$6:$H$5000='Adj Ageing by Brand'!L$8)*('Отчет по покупателям УТ'!$M$6:$M$5000='Adj Ageing by Brand'!$A99)*('Отчет по покупателям УТ'!$K$6:$K$5000))</f>
        <v>-47278.38</v>
      </c>
      <c r="M99" s="44">
        <f t="shared" si="30"/>
        <v>-47278.38</v>
      </c>
      <c r="R99" s="9" t="b">
        <f t="shared" si="41"/>
        <v>1</v>
      </c>
      <c r="S99" s="228">
        <f t="shared" si="31"/>
        <v>0</v>
      </c>
      <c r="T99" s="228">
        <f t="shared" si="32"/>
        <v>-47278.38</v>
      </c>
      <c r="U99" s="228">
        <f t="shared" si="33"/>
        <v>0</v>
      </c>
      <c r="V99" s="228">
        <f t="shared" si="34"/>
        <v>-47278.38</v>
      </c>
      <c r="W99" s="228">
        <f t="shared" si="35"/>
        <v>0</v>
      </c>
      <c r="X99" s="228">
        <f t="shared" si="36"/>
        <v>-47278.38</v>
      </c>
      <c r="Y99" s="228">
        <f t="shared" si="37"/>
        <v>0</v>
      </c>
      <c r="Z99" s="228">
        <f t="shared" si="38"/>
        <v>-47278.38</v>
      </c>
      <c r="AA99" s="228">
        <f t="shared" si="39"/>
        <v>0</v>
      </c>
      <c r="AB99" s="228">
        <f t="shared" si="40"/>
        <v>-47278.38</v>
      </c>
      <c r="AC99" s="247">
        <f t="shared" si="42"/>
        <v>-47278.38</v>
      </c>
      <c r="AD99" s="227">
        <f t="shared" si="43"/>
        <v>0</v>
      </c>
    </row>
    <row r="100" spans="1:30" x14ac:dyDescent="0.2">
      <c r="A100" t="s">
        <v>267</v>
      </c>
      <c r="B100" t="s">
        <v>16</v>
      </c>
      <c r="D100" s="9">
        <v>-52335.03</v>
      </c>
      <c r="F100" s="9"/>
      <c r="G100" s="254">
        <f t="array" ref="G100">SUM(('Отчет по покупателям УТ'!$J$6:$J$5000='Adj Ageing by Brand'!$B100)*('Отчет по покупателям УТ'!$H$6:$H$5000='Adj Ageing by Brand'!G$8)*('Отчет по покупателям УТ'!$M$6:$M$5000='Adj Ageing by Brand'!$A100)*('Отчет по покупателям УТ'!$K$6:$K$5000))</f>
        <v>0</v>
      </c>
      <c r="H100" s="254">
        <f t="array" ref="H100">SUM(('Отчет по покупателям УТ'!$J$6:$J$5000='Adj Ageing by Brand'!$B100)*('Отчет по покупателям УТ'!$H$6:$H$5000='Adj Ageing by Brand'!H$8)*('Отчет по покупателям УТ'!$M$6:$M$5000='Adj Ageing by Brand'!$A100)*('Отчет по покупателям УТ'!$K$6:$K$5000))</f>
        <v>0</v>
      </c>
      <c r="I100" s="254">
        <f t="array" ref="I100">SUM(('Отчет по покупателям УТ'!$J$6:$J$5000='Adj Ageing by Brand'!$B100)*('Отчет по покупателям УТ'!$H$6:$H$5000='Adj Ageing by Brand'!I$8)*('Отчет по покупателям УТ'!$M$6:$M$5000='Adj Ageing by Brand'!$A100)*('Отчет по покупателям УТ'!$K$6:$K$5000))</f>
        <v>0</v>
      </c>
      <c r="J100" s="254">
        <f t="array" ref="J100">SUM(('Отчет по покупателям УТ'!$J$6:$J$5000='Adj Ageing by Brand'!$B100)*('Отчет по покупателям УТ'!$H$6:$H$5000='Adj Ageing by Brand'!J$8)*('Отчет по покупателям УТ'!$M$6:$M$5000='Adj Ageing by Brand'!$A100)*('Отчет по покупателям УТ'!$K$6:$K$5000))</f>
        <v>0</v>
      </c>
      <c r="K100" s="254">
        <f t="array" ref="K100">SUM(('Отчет по покупателям УТ'!$J$6:$J$5000='Adj Ageing by Brand'!$B100)*('Отчет по покупателям УТ'!$H$6:$H$5000='Adj Ageing by Brand'!K$8)*('Отчет по покупателям УТ'!$M$6:$M$5000='Adj Ageing by Brand'!$A100)*('Отчет по покупателям УТ'!$K$6:$K$5000))</f>
        <v>0</v>
      </c>
      <c r="L100" s="254">
        <f t="array" ref="L100">SUM(('Отчет по покупателям УТ'!$J$6:$J$5000='Adj Ageing by Brand'!$B100)*('Отчет по покупателям УТ'!$H$6:$H$5000='Adj Ageing by Brand'!L$8)*('Отчет по покупателям УТ'!$M$6:$M$5000='Adj Ageing by Brand'!$A100)*('Отчет по покупателям УТ'!$K$6:$K$5000))</f>
        <v>-52335.03</v>
      </c>
      <c r="M100" s="44">
        <f t="shared" si="30"/>
        <v>-52335.03</v>
      </c>
      <c r="R100" s="9" t="b">
        <f t="shared" si="41"/>
        <v>1</v>
      </c>
      <c r="S100" s="228">
        <f t="shared" si="31"/>
        <v>0</v>
      </c>
      <c r="T100" s="228">
        <f t="shared" si="32"/>
        <v>-52335.03</v>
      </c>
      <c r="U100" s="228">
        <f t="shared" si="33"/>
        <v>0</v>
      </c>
      <c r="V100" s="228">
        <f t="shared" si="34"/>
        <v>-52335.03</v>
      </c>
      <c r="W100" s="228">
        <f t="shared" si="35"/>
        <v>0</v>
      </c>
      <c r="X100" s="228">
        <f t="shared" si="36"/>
        <v>-52335.03</v>
      </c>
      <c r="Y100" s="228">
        <f t="shared" si="37"/>
        <v>0</v>
      </c>
      <c r="Z100" s="228">
        <f t="shared" si="38"/>
        <v>-52335.03</v>
      </c>
      <c r="AA100" s="228">
        <f t="shared" si="39"/>
        <v>0</v>
      </c>
      <c r="AB100" s="228">
        <f t="shared" si="40"/>
        <v>-52335.03</v>
      </c>
      <c r="AC100" s="247">
        <f t="shared" si="42"/>
        <v>-52335.03</v>
      </c>
      <c r="AD100" s="227">
        <f t="shared" si="43"/>
        <v>0</v>
      </c>
    </row>
    <row r="101" spans="1:30" x14ac:dyDescent="0.2">
      <c r="A101" t="s">
        <v>267</v>
      </c>
      <c r="B101" t="s">
        <v>31</v>
      </c>
      <c r="D101" s="9">
        <v>-96770.72</v>
      </c>
      <c r="F101" s="9"/>
      <c r="G101" s="254">
        <f t="array" ref="G101">SUM(('Отчет по покупателям УТ'!$J$6:$J$5000='Adj Ageing by Brand'!$B101)*('Отчет по покупателям УТ'!$H$6:$H$5000='Adj Ageing by Brand'!G$8)*('Отчет по покупателям УТ'!$M$6:$M$5000='Adj Ageing by Brand'!$A101)*('Отчет по покупателям УТ'!$K$6:$K$5000))</f>
        <v>0</v>
      </c>
      <c r="H101" s="254">
        <f t="array" ref="H101">SUM(('Отчет по покупателям УТ'!$J$6:$J$5000='Adj Ageing by Brand'!$B101)*('Отчет по покупателям УТ'!$H$6:$H$5000='Adj Ageing by Brand'!H$8)*('Отчет по покупателям УТ'!$M$6:$M$5000='Adj Ageing by Brand'!$A101)*('Отчет по покупателям УТ'!$K$6:$K$5000))</f>
        <v>0</v>
      </c>
      <c r="I101" s="254">
        <f t="array" ref="I101">SUM(('Отчет по покупателям УТ'!$J$6:$J$5000='Adj Ageing by Brand'!$B101)*('Отчет по покупателям УТ'!$H$6:$H$5000='Adj Ageing by Brand'!I$8)*('Отчет по покупателям УТ'!$M$6:$M$5000='Adj Ageing by Brand'!$A101)*('Отчет по покупателям УТ'!$K$6:$K$5000))</f>
        <v>0</v>
      </c>
      <c r="J101" s="254">
        <f t="array" ref="J101">SUM(('Отчет по покупателям УТ'!$J$6:$J$5000='Adj Ageing by Brand'!$B101)*('Отчет по покупателям УТ'!$H$6:$H$5000='Adj Ageing by Brand'!J$8)*('Отчет по покупателям УТ'!$M$6:$M$5000='Adj Ageing by Brand'!$A101)*('Отчет по покупателям УТ'!$K$6:$K$5000))</f>
        <v>0</v>
      </c>
      <c r="K101" s="254">
        <f t="array" ref="K101">SUM(('Отчет по покупателям УТ'!$J$6:$J$5000='Adj Ageing by Brand'!$B101)*('Отчет по покупателям УТ'!$H$6:$H$5000='Adj Ageing by Brand'!K$8)*('Отчет по покупателям УТ'!$M$6:$M$5000='Adj Ageing by Brand'!$A101)*('Отчет по покупателям УТ'!$K$6:$K$5000))</f>
        <v>0</v>
      </c>
      <c r="L101" s="254">
        <f t="array" ref="L101">SUM(('Отчет по покупателям УТ'!$J$6:$J$5000='Adj Ageing by Brand'!$B101)*('Отчет по покупателям УТ'!$H$6:$H$5000='Adj Ageing by Brand'!L$8)*('Отчет по покупателям УТ'!$M$6:$M$5000='Adj Ageing by Brand'!$A101)*('Отчет по покупателям УТ'!$K$6:$K$5000))</f>
        <v>-96770.72</v>
      </c>
      <c r="M101" s="44">
        <f t="shared" si="30"/>
        <v>-96770.72</v>
      </c>
      <c r="R101" s="9" t="b">
        <f t="shared" si="41"/>
        <v>1</v>
      </c>
      <c r="S101" s="228">
        <f t="shared" si="31"/>
        <v>0</v>
      </c>
      <c r="T101" s="228">
        <f t="shared" si="32"/>
        <v>-96770.72</v>
      </c>
      <c r="U101" s="228">
        <f t="shared" si="33"/>
        <v>0</v>
      </c>
      <c r="V101" s="228">
        <f t="shared" si="34"/>
        <v>-96770.72</v>
      </c>
      <c r="W101" s="228">
        <f t="shared" si="35"/>
        <v>0</v>
      </c>
      <c r="X101" s="228">
        <f t="shared" si="36"/>
        <v>-96770.72</v>
      </c>
      <c r="Y101" s="228">
        <f t="shared" si="37"/>
        <v>0</v>
      </c>
      <c r="Z101" s="228">
        <f t="shared" si="38"/>
        <v>-96770.72</v>
      </c>
      <c r="AA101" s="228">
        <f t="shared" si="39"/>
        <v>0</v>
      </c>
      <c r="AB101" s="228">
        <f t="shared" si="40"/>
        <v>-96770.72</v>
      </c>
      <c r="AC101" s="247">
        <f t="shared" si="42"/>
        <v>-96770.72</v>
      </c>
      <c r="AD101" s="227">
        <f t="shared" si="43"/>
        <v>0</v>
      </c>
    </row>
    <row r="102" spans="1:30" x14ac:dyDescent="0.2">
      <c r="A102" t="s">
        <v>271</v>
      </c>
      <c r="B102" t="s">
        <v>23</v>
      </c>
      <c r="D102" s="9">
        <v>0.01</v>
      </c>
      <c r="F102" s="9"/>
      <c r="G102" s="254">
        <f t="array" ref="G102">SUM(('Отчет по покупателям УТ'!$J$6:$J$5000='Adj Ageing by Brand'!$B102)*('Отчет по покупателям УТ'!$H$6:$H$5000='Adj Ageing by Brand'!G$8)*('Отчет по покупателям УТ'!$M$6:$M$5000='Adj Ageing by Brand'!$A102)*('Отчет по покупателям УТ'!$K$6:$K$5000))</f>
        <v>0</v>
      </c>
      <c r="H102" s="254">
        <f t="array" ref="H102">SUM(('Отчет по покупателям УТ'!$J$6:$J$5000='Adj Ageing by Brand'!$B102)*('Отчет по покупателям УТ'!$H$6:$H$5000='Adj Ageing by Brand'!H$8)*('Отчет по покупателям УТ'!$M$6:$M$5000='Adj Ageing by Brand'!$A102)*('Отчет по покупателям УТ'!$K$6:$K$5000))</f>
        <v>0</v>
      </c>
      <c r="I102" s="254">
        <f t="array" ref="I102">SUM(('Отчет по покупателям УТ'!$J$6:$J$5000='Adj Ageing by Brand'!$B102)*('Отчет по покупателям УТ'!$H$6:$H$5000='Adj Ageing by Brand'!I$8)*('Отчет по покупателям УТ'!$M$6:$M$5000='Adj Ageing by Brand'!$A102)*('Отчет по покупателям УТ'!$K$6:$K$5000))</f>
        <v>0.01</v>
      </c>
      <c r="J102" s="254">
        <f t="array" ref="J102">SUM(('Отчет по покупателям УТ'!$J$6:$J$5000='Adj Ageing by Brand'!$B102)*('Отчет по покупателям УТ'!$H$6:$H$5000='Adj Ageing by Brand'!J$8)*('Отчет по покупателям УТ'!$M$6:$M$5000='Adj Ageing by Brand'!$A102)*('Отчет по покупателям УТ'!$K$6:$K$5000))</f>
        <v>0</v>
      </c>
      <c r="K102" s="254">
        <f t="array" ref="K102">SUM(('Отчет по покупателям УТ'!$J$6:$J$5000='Adj Ageing by Brand'!$B102)*('Отчет по покупателям УТ'!$H$6:$H$5000='Adj Ageing by Brand'!K$8)*('Отчет по покупателям УТ'!$M$6:$M$5000='Adj Ageing by Brand'!$A102)*('Отчет по покупателям УТ'!$K$6:$K$5000))</f>
        <v>0</v>
      </c>
      <c r="L102" s="254">
        <f t="array" ref="L102">SUM(('Отчет по покупателям УТ'!$J$6:$J$5000='Adj Ageing by Brand'!$B102)*('Отчет по покупателям УТ'!$H$6:$H$5000='Adj Ageing by Brand'!L$8)*('Отчет по покупателям УТ'!$M$6:$M$5000='Adj Ageing by Brand'!$A102)*('Отчет по покупателям УТ'!$K$6:$K$5000))</f>
        <v>0</v>
      </c>
      <c r="M102" s="44">
        <f t="shared" si="30"/>
        <v>0.01</v>
      </c>
      <c r="R102" s="9" t="b">
        <f t="shared" si="41"/>
        <v>1</v>
      </c>
      <c r="S102" s="228">
        <f t="shared" si="31"/>
        <v>0</v>
      </c>
      <c r="T102" s="228">
        <f t="shared" si="32"/>
        <v>0</v>
      </c>
      <c r="U102" s="228">
        <f t="shared" si="33"/>
        <v>0</v>
      </c>
      <c r="V102" s="228">
        <f t="shared" si="34"/>
        <v>0</v>
      </c>
      <c r="W102" s="228">
        <f t="shared" si="35"/>
        <v>0.01</v>
      </c>
      <c r="X102" s="228">
        <f t="shared" si="36"/>
        <v>0</v>
      </c>
      <c r="Y102" s="228">
        <f t="shared" si="37"/>
        <v>0</v>
      </c>
      <c r="Z102" s="228">
        <f t="shared" si="38"/>
        <v>0</v>
      </c>
      <c r="AA102" s="228">
        <f t="shared" si="39"/>
        <v>0</v>
      </c>
      <c r="AB102" s="228">
        <f t="shared" si="40"/>
        <v>0</v>
      </c>
      <c r="AC102" s="247">
        <f t="shared" si="42"/>
        <v>0.01</v>
      </c>
      <c r="AD102" s="227">
        <f t="shared" si="43"/>
        <v>0.01</v>
      </c>
    </row>
    <row r="103" spans="1:30" x14ac:dyDescent="0.2">
      <c r="A103" t="s">
        <v>275</v>
      </c>
      <c r="B103" t="s">
        <v>22</v>
      </c>
      <c r="D103" s="9">
        <v>-387610</v>
      </c>
      <c r="F103" s="9"/>
      <c r="G103" s="254">
        <f t="array" ref="G103">SUM(('Отчет по покупателям УТ'!$J$6:$J$5000='Adj Ageing by Brand'!$B103)*('Отчет по покупателям УТ'!$H$6:$H$5000='Adj Ageing by Brand'!G$8)*('Отчет по покупателям УТ'!$M$6:$M$5000='Adj Ageing by Brand'!$A103)*('Отчет по покупателям УТ'!$K$6:$K$5000))</f>
        <v>0</v>
      </c>
      <c r="H103" s="254">
        <f t="array" ref="H103">SUM(('Отчет по покупателям УТ'!$J$6:$J$5000='Adj Ageing by Brand'!$B103)*('Отчет по покупателям УТ'!$H$6:$H$5000='Adj Ageing by Brand'!H$8)*('Отчет по покупателям УТ'!$M$6:$M$5000='Adj Ageing by Brand'!$A103)*('Отчет по покупателям УТ'!$K$6:$K$5000))</f>
        <v>0</v>
      </c>
      <c r="I103" s="254">
        <f t="array" ref="I103">SUM(('Отчет по покупателям УТ'!$J$6:$J$5000='Adj Ageing by Brand'!$B103)*('Отчет по покупателям УТ'!$H$6:$H$5000='Adj Ageing by Brand'!I$8)*('Отчет по покупателям УТ'!$M$6:$M$5000='Adj Ageing by Brand'!$A103)*('Отчет по покупателям УТ'!$K$6:$K$5000))</f>
        <v>0</v>
      </c>
      <c r="J103" s="254">
        <f t="array" ref="J103">SUM(('Отчет по покупателям УТ'!$J$6:$J$5000='Adj Ageing by Brand'!$B103)*('Отчет по покупателям УТ'!$H$6:$H$5000='Adj Ageing by Brand'!J$8)*('Отчет по покупателям УТ'!$M$6:$M$5000='Adj Ageing by Brand'!$A103)*('Отчет по покупателям УТ'!$K$6:$K$5000))</f>
        <v>0</v>
      </c>
      <c r="K103" s="254">
        <f t="array" ref="K103">SUM(('Отчет по покупателям УТ'!$J$6:$J$5000='Adj Ageing by Brand'!$B103)*('Отчет по покупателям УТ'!$H$6:$H$5000='Adj Ageing by Brand'!K$8)*('Отчет по покупателям УТ'!$M$6:$M$5000='Adj Ageing by Brand'!$A103)*('Отчет по покупателям УТ'!$K$6:$K$5000))</f>
        <v>0</v>
      </c>
      <c r="L103" s="254">
        <f t="array" ref="L103">SUM(('Отчет по покупателям УТ'!$J$6:$J$5000='Adj Ageing by Brand'!$B103)*('Отчет по покупателям УТ'!$H$6:$H$5000='Adj Ageing by Brand'!L$8)*('Отчет по покупателям УТ'!$M$6:$M$5000='Adj Ageing by Brand'!$A103)*('Отчет по покупателям УТ'!$K$6:$K$5000))</f>
        <v>-387610</v>
      </c>
      <c r="M103" s="44">
        <f t="shared" si="30"/>
        <v>-387610</v>
      </c>
      <c r="R103" s="9" t="b">
        <f t="shared" si="41"/>
        <v>1</v>
      </c>
      <c r="S103" s="228">
        <f t="shared" si="31"/>
        <v>0</v>
      </c>
      <c r="T103" s="228">
        <f t="shared" si="32"/>
        <v>-387610</v>
      </c>
      <c r="U103" s="228">
        <f t="shared" si="33"/>
        <v>0</v>
      </c>
      <c r="V103" s="228">
        <f t="shared" si="34"/>
        <v>-387610</v>
      </c>
      <c r="W103" s="228">
        <f t="shared" si="35"/>
        <v>0</v>
      </c>
      <c r="X103" s="228">
        <f t="shared" si="36"/>
        <v>-387610</v>
      </c>
      <c r="Y103" s="228">
        <f t="shared" si="37"/>
        <v>0</v>
      </c>
      <c r="Z103" s="228">
        <f t="shared" si="38"/>
        <v>-387610</v>
      </c>
      <c r="AA103" s="228">
        <f t="shared" si="39"/>
        <v>0</v>
      </c>
      <c r="AB103" s="228">
        <f t="shared" si="40"/>
        <v>-387610</v>
      </c>
      <c r="AC103" s="247">
        <f t="shared" si="42"/>
        <v>-387610</v>
      </c>
      <c r="AD103" s="227">
        <f t="shared" si="43"/>
        <v>0</v>
      </c>
    </row>
    <row r="104" spans="1:30" x14ac:dyDescent="0.2">
      <c r="A104" t="s">
        <v>275</v>
      </c>
      <c r="B104" t="s">
        <v>16</v>
      </c>
      <c r="D104" s="9">
        <v>-366645.59</v>
      </c>
      <c r="F104" s="9"/>
      <c r="G104" s="254">
        <f t="array" ref="G104">SUM(('Отчет по покупателям УТ'!$J$6:$J$5000='Adj Ageing by Brand'!$B104)*('Отчет по покупателям УТ'!$H$6:$H$5000='Adj Ageing by Brand'!G$8)*('Отчет по покупателям УТ'!$M$6:$M$5000='Adj Ageing by Brand'!$A104)*('Отчет по покупателям УТ'!$K$6:$K$5000))</f>
        <v>0</v>
      </c>
      <c r="H104" s="254">
        <f t="array" ref="H104">SUM(('Отчет по покупателям УТ'!$J$6:$J$5000='Adj Ageing by Brand'!$B104)*('Отчет по покупателям УТ'!$H$6:$H$5000='Adj Ageing by Brand'!H$8)*('Отчет по покупателям УТ'!$M$6:$M$5000='Adj Ageing by Brand'!$A104)*('Отчет по покупателям УТ'!$K$6:$K$5000))</f>
        <v>0</v>
      </c>
      <c r="I104" s="254">
        <f t="array" ref="I104">SUM(('Отчет по покупателям УТ'!$J$6:$J$5000='Adj Ageing by Brand'!$B104)*('Отчет по покупателям УТ'!$H$6:$H$5000='Adj Ageing by Brand'!I$8)*('Отчет по покупателям УТ'!$M$6:$M$5000='Adj Ageing by Brand'!$A104)*('Отчет по покупателям УТ'!$K$6:$K$5000))</f>
        <v>0</v>
      </c>
      <c r="J104" s="254">
        <f t="array" ref="J104">SUM(('Отчет по покупателям УТ'!$J$6:$J$5000='Adj Ageing by Brand'!$B104)*('Отчет по покупателям УТ'!$H$6:$H$5000='Adj Ageing by Brand'!J$8)*('Отчет по покупателям УТ'!$M$6:$M$5000='Adj Ageing by Brand'!$A104)*('Отчет по покупателям УТ'!$K$6:$K$5000))</f>
        <v>0</v>
      </c>
      <c r="K104" s="254">
        <f t="array" ref="K104">SUM(('Отчет по покупателям УТ'!$J$6:$J$5000='Adj Ageing by Brand'!$B104)*('Отчет по покупателям УТ'!$H$6:$H$5000='Adj Ageing by Brand'!K$8)*('Отчет по покупателям УТ'!$M$6:$M$5000='Adj Ageing by Brand'!$A104)*('Отчет по покупателям УТ'!$K$6:$K$5000))</f>
        <v>0</v>
      </c>
      <c r="L104" s="254">
        <f t="array" ref="L104">SUM(('Отчет по покупателям УТ'!$J$6:$J$5000='Adj Ageing by Brand'!$B104)*('Отчет по покупателям УТ'!$H$6:$H$5000='Adj Ageing by Brand'!L$8)*('Отчет по покупателям УТ'!$M$6:$M$5000='Adj Ageing by Brand'!$A104)*('Отчет по покупателям УТ'!$K$6:$K$5000))</f>
        <v>-366645.59</v>
      </c>
      <c r="M104" s="44">
        <f t="shared" si="30"/>
        <v>-366645.59</v>
      </c>
      <c r="R104" s="9" t="b">
        <f t="shared" si="41"/>
        <v>1</v>
      </c>
      <c r="S104" s="228">
        <f t="shared" si="31"/>
        <v>0</v>
      </c>
      <c r="T104" s="228">
        <f t="shared" si="32"/>
        <v>-366645.59</v>
      </c>
      <c r="U104" s="228">
        <f t="shared" si="33"/>
        <v>0</v>
      </c>
      <c r="V104" s="228">
        <f t="shared" si="34"/>
        <v>-366645.59</v>
      </c>
      <c r="W104" s="228">
        <f t="shared" si="35"/>
        <v>0</v>
      </c>
      <c r="X104" s="228">
        <f t="shared" si="36"/>
        <v>-366645.59</v>
      </c>
      <c r="Y104" s="228">
        <f t="shared" si="37"/>
        <v>0</v>
      </c>
      <c r="Z104" s="228">
        <f t="shared" si="38"/>
        <v>-366645.59</v>
      </c>
      <c r="AA104" s="228">
        <f t="shared" si="39"/>
        <v>0</v>
      </c>
      <c r="AB104" s="228">
        <f t="shared" si="40"/>
        <v>-366645.59</v>
      </c>
      <c r="AC104" s="247">
        <f t="shared" si="42"/>
        <v>-366645.59</v>
      </c>
      <c r="AD104" s="227">
        <f t="shared" si="43"/>
        <v>0</v>
      </c>
    </row>
    <row r="105" spans="1:30" x14ac:dyDescent="0.2">
      <c r="A105" t="s">
        <v>275</v>
      </c>
      <c r="B105" t="s">
        <v>23</v>
      </c>
      <c r="D105" s="9">
        <v>-190406.81</v>
      </c>
      <c r="F105" s="9"/>
      <c r="G105" s="254">
        <f t="array" ref="G105">SUM(('Отчет по покупателям УТ'!$J$6:$J$5000='Adj Ageing by Brand'!$B105)*('Отчет по покупателям УТ'!$H$6:$H$5000='Adj Ageing by Brand'!G$8)*('Отчет по покупателям УТ'!$M$6:$M$5000='Adj Ageing by Brand'!$A105)*('Отчет по покупателям УТ'!$K$6:$K$5000))</f>
        <v>0</v>
      </c>
      <c r="H105" s="254">
        <f t="array" ref="H105">SUM(('Отчет по покупателям УТ'!$J$6:$J$5000='Adj Ageing by Brand'!$B105)*('Отчет по покупателям УТ'!$H$6:$H$5000='Adj Ageing by Brand'!H$8)*('Отчет по покупателям УТ'!$M$6:$M$5000='Adj Ageing by Brand'!$A105)*('Отчет по покупателям УТ'!$K$6:$K$5000))</f>
        <v>0</v>
      </c>
      <c r="I105" s="254">
        <f t="array" ref="I105">SUM(('Отчет по покупателям УТ'!$J$6:$J$5000='Adj Ageing by Brand'!$B105)*('Отчет по покупателям УТ'!$H$6:$H$5000='Adj Ageing by Brand'!I$8)*('Отчет по покупателям УТ'!$M$6:$M$5000='Adj Ageing by Brand'!$A105)*('Отчет по покупателям УТ'!$K$6:$K$5000))</f>
        <v>0</v>
      </c>
      <c r="J105" s="254">
        <f t="array" ref="J105">SUM(('Отчет по покупателям УТ'!$J$6:$J$5000='Adj Ageing by Brand'!$B105)*('Отчет по покупателям УТ'!$H$6:$H$5000='Adj Ageing by Brand'!J$8)*('Отчет по покупателям УТ'!$M$6:$M$5000='Adj Ageing by Brand'!$A105)*('Отчет по покупателям УТ'!$K$6:$K$5000))</f>
        <v>0</v>
      </c>
      <c r="K105" s="254">
        <f t="array" ref="K105">SUM(('Отчет по покупателям УТ'!$J$6:$J$5000='Adj Ageing by Brand'!$B105)*('Отчет по покупателям УТ'!$H$6:$H$5000='Adj Ageing by Brand'!K$8)*('Отчет по покупателям УТ'!$M$6:$M$5000='Adj Ageing by Brand'!$A105)*('Отчет по покупателям УТ'!$K$6:$K$5000))</f>
        <v>0</v>
      </c>
      <c r="L105" s="254">
        <f t="array" ref="L105">SUM(('Отчет по покупателям УТ'!$J$6:$J$5000='Adj Ageing by Brand'!$B105)*('Отчет по покупателям УТ'!$H$6:$H$5000='Adj Ageing by Brand'!L$8)*('Отчет по покупателям УТ'!$M$6:$M$5000='Adj Ageing by Brand'!$A105)*('Отчет по покупателям УТ'!$K$6:$K$5000))</f>
        <v>-190406.81</v>
      </c>
      <c r="M105" s="44">
        <f t="shared" ref="M105:M127" si="44">SUM(G105:L105)</f>
        <v>-190406.81</v>
      </c>
      <c r="R105" s="9" t="b">
        <f t="shared" si="41"/>
        <v>1</v>
      </c>
      <c r="S105" s="228">
        <f t="shared" ref="S105:S127" si="45">IF(G105+T105&lt;0,0,G105+T105)</f>
        <v>0</v>
      </c>
      <c r="T105" s="228">
        <f t="shared" ref="T105:T127" si="46">IF(L105+K105+J105+I105+H105&lt;0,L105+K105+J105+I105+H105,0)</f>
        <v>-190406.81</v>
      </c>
      <c r="U105" s="228">
        <f t="shared" ref="U105:U127" si="47">IF(H105+V105&lt;0,0,H105+V105)</f>
        <v>0</v>
      </c>
      <c r="V105" s="228">
        <f t="shared" ref="V105:V127" si="48">IF(L105+K105+J105+I105&lt;0,L105+K105+J105+I105,0)</f>
        <v>-190406.81</v>
      </c>
      <c r="W105" s="228">
        <f t="shared" ref="W105:W127" si="49">IF(I105+X105&lt;0,0,I105+X105)</f>
        <v>0</v>
      </c>
      <c r="X105" s="228">
        <f t="shared" ref="X105:X127" si="50">IF(L105+K105+J105&lt;0,L105+K105+J105,0)</f>
        <v>-190406.81</v>
      </c>
      <c r="Y105" s="228">
        <f t="shared" ref="Y105:Y127" si="51">IF(J105+Z105&lt;0,0,J105+Z105)</f>
        <v>0</v>
      </c>
      <c r="Z105" s="228">
        <f t="shared" ref="Z105:Z127" si="52">IF(L105+K105&lt;0,L105+K105,0)</f>
        <v>-190406.81</v>
      </c>
      <c r="AA105" s="228">
        <f t="shared" ref="AA105:AA127" si="53">IF(K105+L105&lt;0,0,K105+L105)</f>
        <v>0</v>
      </c>
      <c r="AB105" s="228">
        <f t="shared" ref="AB105:AB127" si="54">IF(SUM(G105:L105)&lt;0,M105,0)</f>
        <v>-190406.81</v>
      </c>
      <c r="AC105" s="247">
        <f t="shared" si="42"/>
        <v>-190406.81</v>
      </c>
      <c r="AD105" s="227">
        <f t="shared" si="43"/>
        <v>0</v>
      </c>
    </row>
    <row r="106" spans="1:30" x14ac:dyDescent="0.2">
      <c r="A106" t="s">
        <v>276</v>
      </c>
      <c r="B106" t="s">
        <v>22</v>
      </c>
      <c r="D106" s="9">
        <v>-46500</v>
      </c>
      <c r="F106" s="9"/>
      <c r="G106" s="254">
        <f t="array" ref="G106">SUM(('Отчет по покупателям УТ'!$J$6:$J$5000='Adj Ageing by Brand'!$B106)*('Отчет по покупателям УТ'!$H$6:$H$5000='Adj Ageing by Brand'!G$8)*('Отчет по покупателям УТ'!$M$6:$M$5000='Adj Ageing by Brand'!$A106)*('Отчет по покупателям УТ'!$K$6:$K$5000))</f>
        <v>0</v>
      </c>
      <c r="H106" s="254">
        <f t="array" ref="H106">SUM(('Отчет по покупателям УТ'!$J$6:$J$5000='Adj Ageing by Brand'!$B106)*('Отчет по покупателям УТ'!$H$6:$H$5000='Adj Ageing by Brand'!H$8)*('Отчет по покупателям УТ'!$M$6:$M$5000='Adj Ageing by Brand'!$A106)*('Отчет по покупателям УТ'!$K$6:$K$5000))</f>
        <v>0</v>
      </c>
      <c r="I106" s="254">
        <f t="array" ref="I106">SUM(('Отчет по покупателям УТ'!$J$6:$J$5000='Adj Ageing by Brand'!$B106)*('Отчет по покупателям УТ'!$H$6:$H$5000='Adj Ageing by Brand'!I$8)*('Отчет по покупателям УТ'!$M$6:$M$5000='Adj Ageing by Brand'!$A106)*('Отчет по покупателям УТ'!$K$6:$K$5000))</f>
        <v>0</v>
      </c>
      <c r="J106" s="254">
        <f t="array" ref="J106">SUM(('Отчет по покупателям УТ'!$J$6:$J$5000='Adj Ageing by Brand'!$B106)*('Отчет по покупателям УТ'!$H$6:$H$5000='Adj Ageing by Brand'!J$8)*('Отчет по покупателям УТ'!$M$6:$M$5000='Adj Ageing by Brand'!$A106)*('Отчет по покупателям УТ'!$K$6:$K$5000))</f>
        <v>0</v>
      </c>
      <c r="K106" s="254">
        <f t="array" ref="K106">SUM(('Отчет по покупателям УТ'!$J$6:$J$5000='Adj Ageing by Brand'!$B106)*('Отчет по покупателям УТ'!$H$6:$H$5000='Adj Ageing by Brand'!K$8)*('Отчет по покупателям УТ'!$M$6:$M$5000='Adj Ageing by Brand'!$A106)*('Отчет по покупателям УТ'!$K$6:$K$5000))</f>
        <v>0</v>
      </c>
      <c r="L106" s="254">
        <f t="array" ref="L106">SUM(('Отчет по покупателям УТ'!$J$6:$J$5000='Adj Ageing by Brand'!$B106)*('Отчет по покупателям УТ'!$H$6:$H$5000='Adj Ageing by Brand'!L$8)*('Отчет по покупателям УТ'!$M$6:$M$5000='Adj Ageing by Brand'!$A106)*('Отчет по покупателям УТ'!$K$6:$K$5000))</f>
        <v>-46500</v>
      </c>
      <c r="M106" s="44">
        <f t="shared" si="44"/>
        <v>-46500</v>
      </c>
      <c r="R106" s="9" t="b">
        <f t="shared" si="41"/>
        <v>1</v>
      </c>
      <c r="S106" s="228">
        <f t="shared" si="45"/>
        <v>0</v>
      </c>
      <c r="T106" s="228">
        <f t="shared" si="46"/>
        <v>-46500</v>
      </c>
      <c r="U106" s="228">
        <f t="shared" si="47"/>
        <v>0</v>
      </c>
      <c r="V106" s="228">
        <f t="shared" si="48"/>
        <v>-46500</v>
      </c>
      <c r="W106" s="228">
        <f t="shared" si="49"/>
        <v>0</v>
      </c>
      <c r="X106" s="228">
        <f t="shared" si="50"/>
        <v>-46500</v>
      </c>
      <c r="Y106" s="228">
        <f t="shared" si="51"/>
        <v>0</v>
      </c>
      <c r="Z106" s="228">
        <f t="shared" si="52"/>
        <v>-46500</v>
      </c>
      <c r="AA106" s="228">
        <f t="shared" si="53"/>
        <v>0</v>
      </c>
      <c r="AB106" s="228">
        <f t="shared" si="54"/>
        <v>-46500</v>
      </c>
      <c r="AC106" s="247">
        <f t="shared" si="42"/>
        <v>-46500</v>
      </c>
      <c r="AD106" s="227">
        <f t="shared" si="43"/>
        <v>0</v>
      </c>
    </row>
    <row r="107" spans="1:30" x14ac:dyDescent="0.2">
      <c r="A107" t="s">
        <v>277</v>
      </c>
      <c r="B107" t="s">
        <v>22</v>
      </c>
      <c r="D107" s="9">
        <v>232520.85</v>
      </c>
      <c r="F107" s="9"/>
      <c r="G107" s="254">
        <f t="array" ref="G107">SUM(('Отчет по покупателям УТ'!$J$6:$J$5000='Adj Ageing by Brand'!$B107)*('Отчет по покупателям УТ'!$H$6:$H$5000='Adj Ageing by Brand'!G$8)*('Отчет по покупателям УТ'!$M$6:$M$5000='Adj Ageing by Brand'!$A107)*('Отчет по покупателям УТ'!$K$6:$K$5000))</f>
        <v>232520.85</v>
      </c>
      <c r="H107" s="254">
        <f t="array" ref="H107">SUM(('Отчет по покупателям УТ'!$J$6:$J$5000='Adj Ageing by Brand'!$B107)*('Отчет по покупателям УТ'!$H$6:$H$5000='Adj Ageing by Brand'!H$8)*('Отчет по покупателям УТ'!$M$6:$M$5000='Adj Ageing by Brand'!$A107)*('Отчет по покупателям УТ'!$K$6:$K$5000))</f>
        <v>0</v>
      </c>
      <c r="I107" s="254">
        <f t="array" ref="I107">SUM(('Отчет по покупателям УТ'!$J$6:$J$5000='Adj Ageing by Brand'!$B107)*('Отчет по покупателям УТ'!$H$6:$H$5000='Adj Ageing by Brand'!I$8)*('Отчет по покупателям УТ'!$M$6:$M$5000='Adj Ageing by Brand'!$A107)*('Отчет по покупателям УТ'!$K$6:$K$5000))</f>
        <v>0</v>
      </c>
      <c r="J107" s="254">
        <f t="array" ref="J107">SUM(('Отчет по покупателям УТ'!$J$6:$J$5000='Adj Ageing by Brand'!$B107)*('Отчет по покупателям УТ'!$H$6:$H$5000='Adj Ageing by Brand'!J$8)*('Отчет по покупателям УТ'!$M$6:$M$5000='Adj Ageing by Brand'!$A107)*('Отчет по покупателям УТ'!$K$6:$K$5000))</f>
        <v>0</v>
      </c>
      <c r="K107" s="254">
        <f t="array" ref="K107">SUM(('Отчет по покупателям УТ'!$J$6:$J$5000='Adj Ageing by Brand'!$B107)*('Отчет по покупателям УТ'!$H$6:$H$5000='Adj Ageing by Brand'!K$8)*('Отчет по покупателям УТ'!$M$6:$M$5000='Adj Ageing by Brand'!$A107)*('Отчет по покупателям УТ'!$K$6:$K$5000))</f>
        <v>0</v>
      </c>
      <c r="L107" s="254">
        <f t="array" ref="L107">SUM(('Отчет по покупателям УТ'!$J$6:$J$5000='Adj Ageing by Brand'!$B107)*('Отчет по покупателям УТ'!$H$6:$H$5000='Adj Ageing by Brand'!L$8)*('Отчет по покупателям УТ'!$M$6:$M$5000='Adj Ageing by Brand'!$A107)*('Отчет по покупателям УТ'!$K$6:$K$5000))</f>
        <v>0</v>
      </c>
      <c r="M107" s="44">
        <f t="shared" si="44"/>
        <v>232520.85</v>
      </c>
      <c r="R107" s="9" t="b">
        <f t="shared" si="41"/>
        <v>1</v>
      </c>
      <c r="S107" s="228">
        <f t="shared" si="45"/>
        <v>232520.85</v>
      </c>
      <c r="T107" s="228">
        <f t="shared" si="46"/>
        <v>0</v>
      </c>
      <c r="U107" s="228">
        <f t="shared" si="47"/>
        <v>0</v>
      </c>
      <c r="V107" s="228">
        <f t="shared" si="48"/>
        <v>0</v>
      </c>
      <c r="W107" s="228">
        <f t="shared" si="49"/>
        <v>0</v>
      </c>
      <c r="X107" s="228">
        <f t="shared" si="50"/>
        <v>0</v>
      </c>
      <c r="Y107" s="228">
        <f t="shared" si="51"/>
        <v>0</v>
      </c>
      <c r="Z107" s="228">
        <f t="shared" si="52"/>
        <v>0</v>
      </c>
      <c r="AA107" s="228">
        <f t="shared" si="53"/>
        <v>0</v>
      </c>
      <c r="AB107" s="228">
        <f t="shared" si="54"/>
        <v>0</v>
      </c>
      <c r="AC107" s="247">
        <f t="shared" si="42"/>
        <v>232520.85</v>
      </c>
      <c r="AD107" s="227">
        <f t="shared" si="43"/>
        <v>232520.85</v>
      </c>
    </row>
    <row r="108" spans="1:30" x14ac:dyDescent="0.2">
      <c r="A108" t="s">
        <v>277</v>
      </c>
      <c r="B108" t="s">
        <v>16</v>
      </c>
      <c r="D108" s="9">
        <v>64094.91</v>
      </c>
      <c r="F108" s="9"/>
      <c r="G108" s="254">
        <f t="array" ref="G108">SUM(('Отчет по покупателям УТ'!$J$6:$J$5000='Adj Ageing by Brand'!$B108)*('Отчет по покупателям УТ'!$H$6:$H$5000='Adj Ageing by Brand'!G$8)*('Отчет по покупателям УТ'!$M$6:$M$5000='Adj Ageing by Brand'!$A108)*('Отчет по покупателям УТ'!$K$6:$K$5000))</f>
        <v>61275</v>
      </c>
      <c r="H108" s="254">
        <f t="array" ref="H108">SUM(('Отчет по покупателям УТ'!$J$6:$J$5000='Adj Ageing by Brand'!$B108)*('Отчет по покупателям УТ'!$H$6:$H$5000='Adj Ageing by Brand'!H$8)*('Отчет по покупателям УТ'!$M$6:$M$5000='Adj Ageing by Brand'!$A108)*('Отчет по покупателям УТ'!$K$6:$K$5000))</f>
        <v>2819.91</v>
      </c>
      <c r="I108" s="254">
        <f t="array" ref="I108">SUM(('Отчет по покупателям УТ'!$J$6:$J$5000='Adj Ageing by Brand'!$B108)*('Отчет по покупателям УТ'!$H$6:$H$5000='Adj Ageing by Brand'!I$8)*('Отчет по покупателям УТ'!$M$6:$M$5000='Adj Ageing by Brand'!$A108)*('Отчет по покупателям УТ'!$K$6:$K$5000))</f>
        <v>0</v>
      </c>
      <c r="J108" s="254">
        <f t="array" ref="J108">SUM(('Отчет по покупателям УТ'!$J$6:$J$5000='Adj Ageing by Brand'!$B108)*('Отчет по покупателям УТ'!$H$6:$H$5000='Adj Ageing by Brand'!J$8)*('Отчет по покупателям УТ'!$M$6:$M$5000='Adj Ageing by Brand'!$A108)*('Отчет по покупателям УТ'!$K$6:$K$5000))</f>
        <v>0</v>
      </c>
      <c r="K108" s="254">
        <f t="array" ref="K108">SUM(('Отчет по покупателям УТ'!$J$6:$J$5000='Adj Ageing by Brand'!$B108)*('Отчет по покупателям УТ'!$H$6:$H$5000='Adj Ageing by Brand'!K$8)*('Отчет по покупателям УТ'!$M$6:$M$5000='Adj Ageing by Brand'!$A108)*('Отчет по покупателям УТ'!$K$6:$K$5000))</f>
        <v>0</v>
      </c>
      <c r="L108" s="254">
        <f t="array" ref="L108">SUM(('Отчет по покупателям УТ'!$J$6:$J$5000='Adj Ageing by Brand'!$B108)*('Отчет по покупателям УТ'!$H$6:$H$5000='Adj Ageing by Brand'!L$8)*('Отчет по покупателям УТ'!$M$6:$M$5000='Adj Ageing by Brand'!$A108)*('Отчет по покупателям УТ'!$K$6:$K$5000))</f>
        <v>0</v>
      </c>
      <c r="M108" s="44">
        <f t="shared" si="44"/>
        <v>64094.91</v>
      </c>
      <c r="R108" s="9" t="b">
        <f t="shared" si="41"/>
        <v>1</v>
      </c>
      <c r="S108" s="228">
        <f t="shared" si="45"/>
        <v>61275</v>
      </c>
      <c r="T108" s="228">
        <f t="shared" si="46"/>
        <v>0</v>
      </c>
      <c r="U108" s="228">
        <f t="shared" si="47"/>
        <v>2819.91</v>
      </c>
      <c r="V108" s="228">
        <f t="shared" si="48"/>
        <v>0</v>
      </c>
      <c r="W108" s="228">
        <f t="shared" si="49"/>
        <v>0</v>
      </c>
      <c r="X108" s="228">
        <f t="shared" si="50"/>
        <v>0</v>
      </c>
      <c r="Y108" s="228">
        <f t="shared" si="51"/>
        <v>0</v>
      </c>
      <c r="Z108" s="228">
        <f t="shared" si="52"/>
        <v>0</v>
      </c>
      <c r="AA108" s="228">
        <f t="shared" si="53"/>
        <v>0</v>
      </c>
      <c r="AB108" s="228">
        <f t="shared" si="54"/>
        <v>0</v>
      </c>
      <c r="AC108" s="247">
        <f t="shared" si="42"/>
        <v>64094.91</v>
      </c>
      <c r="AD108" s="227">
        <f t="shared" si="43"/>
        <v>64094.91</v>
      </c>
    </row>
    <row r="109" spans="1:30" x14ac:dyDescent="0.2">
      <c r="A109" t="s">
        <v>277</v>
      </c>
      <c r="B109" t="s">
        <v>31</v>
      </c>
      <c r="D109" s="9">
        <v>1011532.75</v>
      </c>
      <c r="F109" s="9"/>
      <c r="G109" s="254">
        <f t="array" ref="G109">SUM(('Отчет по покупателям УТ'!$J$6:$J$5000='Adj Ageing by Brand'!$B109)*('Отчет по покупателям УТ'!$H$6:$H$5000='Adj Ageing by Brand'!G$8)*('Отчет по покупателям УТ'!$M$6:$M$5000='Adj Ageing by Brand'!$A109)*('Отчет по покупателям УТ'!$K$6:$K$5000))</f>
        <v>1011532.75</v>
      </c>
      <c r="H109" s="254">
        <f t="array" ref="H109">SUM(('Отчет по покупателям УТ'!$J$6:$J$5000='Adj Ageing by Brand'!$B109)*('Отчет по покупателям УТ'!$H$6:$H$5000='Adj Ageing by Brand'!H$8)*('Отчет по покупателям УТ'!$M$6:$M$5000='Adj Ageing by Brand'!$A109)*('Отчет по покупателям УТ'!$K$6:$K$5000))</f>
        <v>0</v>
      </c>
      <c r="I109" s="254">
        <f t="array" ref="I109">SUM(('Отчет по покупателям УТ'!$J$6:$J$5000='Adj Ageing by Brand'!$B109)*('Отчет по покупателям УТ'!$H$6:$H$5000='Adj Ageing by Brand'!I$8)*('Отчет по покупателям УТ'!$M$6:$M$5000='Adj Ageing by Brand'!$A109)*('Отчет по покупателям УТ'!$K$6:$K$5000))</f>
        <v>0</v>
      </c>
      <c r="J109" s="254">
        <f t="array" ref="J109">SUM(('Отчет по покупателям УТ'!$J$6:$J$5000='Adj Ageing by Brand'!$B109)*('Отчет по покупателям УТ'!$H$6:$H$5000='Adj Ageing by Brand'!J$8)*('Отчет по покупателям УТ'!$M$6:$M$5000='Adj Ageing by Brand'!$A109)*('Отчет по покупателям УТ'!$K$6:$K$5000))</f>
        <v>0</v>
      </c>
      <c r="K109" s="254">
        <f t="array" ref="K109">SUM(('Отчет по покупателям УТ'!$J$6:$J$5000='Adj Ageing by Brand'!$B109)*('Отчет по покупателям УТ'!$H$6:$H$5000='Adj Ageing by Brand'!K$8)*('Отчет по покупателям УТ'!$M$6:$M$5000='Adj Ageing by Brand'!$A109)*('Отчет по покупателям УТ'!$K$6:$K$5000))</f>
        <v>0</v>
      </c>
      <c r="L109" s="254">
        <f t="array" ref="L109">SUM(('Отчет по покупателям УТ'!$J$6:$J$5000='Adj Ageing by Brand'!$B109)*('Отчет по покупателям УТ'!$H$6:$H$5000='Adj Ageing by Brand'!L$8)*('Отчет по покупателям УТ'!$M$6:$M$5000='Adj Ageing by Brand'!$A109)*('Отчет по покупателям УТ'!$K$6:$K$5000))</f>
        <v>0</v>
      </c>
      <c r="M109" s="44">
        <f t="shared" si="44"/>
        <v>1011532.75</v>
      </c>
      <c r="R109" s="9" t="b">
        <f t="shared" si="41"/>
        <v>1</v>
      </c>
      <c r="S109" s="228">
        <f t="shared" si="45"/>
        <v>1011532.75</v>
      </c>
      <c r="T109" s="228">
        <f t="shared" si="46"/>
        <v>0</v>
      </c>
      <c r="U109" s="228">
        <f t="shared" si="47"/>
        <v>0</v>
      </c>
      <c r="V109" s="228">
        <f t="shared" si="48"/>
        <v>0</v>
      </c>
      <c r="W109" s="228">
        <f t="shared" si="49"/>
        <v>0</v>
      </c>
      <c r="X109" s="228">
        <f t="shared" si="50"/>
        <v>0</v>
      </c>
      <c r="Y109" s="228">
        <f t="shared" si="51"/>
        <v>0</v>
      </c>
      <c r="Z109" s="228">
        <f t="shared" si="52"/>
        <v>0</v>
      </c>
      <c r="AA109" s="228">
        <f t="shared" si="53"/>
        <v>0</v>
      </c>
      <c r="AB109" s="228">
        <f t="shared" si="54"/>
        <v>0</v>
      </c>
      <c r="AC109" s="247">
        <f t="shared" si="42"/>
        <v>1011532.75</v>
      </c>
      <c r="AD109" s="227">
        <f t="shared" si="43"/>
        <v>1011532.75</v>
      </c>
    </row>
    <row r="110" spans="1:30" x14ac:dyDescent="0.2">
      <c r="A110" t="s">
        <v>277</v>
      </c>
      <c r="B110" t="s">
        <v>23</v>
      </c>
      <c r="D110" s="9">
        <v>662442.87000000011</v>
      </c>
      <c r="F110" s="9"/>
      <c r="G110" s="254">
        <f t="array" ref="G110">SUM(('Отчет по покупателям УТ'!$J$6:$J$5000='Adj Ageing by Brand'!$B110)*('Отчет по покупателям УТ'!$H$6:$H$5000='Adj Ageing by Brand'!G$8)*('Отчет по покупателям УТ'!$M$6:$M$5000='Adj Ageing by Brand'!$A110)*('Отчет по покупателям УТ'!$K$6:$K$5000))</f>
        <v>662442.87000000011</v>
      </c>
      <c r="H110" s="254">
        <f t="array" ref="H110">SUM(('Отчет по покупателям УТ'!$J$6:$J$5000='Adj Ageing by Brand'!$B110)*('Отчет по покупателям УТ'!$H$6:$H$5000='Adj Ageing by Brand'!H$8)*('Отчет по покупателям УТ'!$M$6:$M$5000='Adj Ageing by Brand'!$A110)*('Отчет по покупателям УТ'!$K$6:$K$5000))</f>
        <v>0</v>
      </c>
      <c r="I110" s="254">
        <f t="array" ref="I110">SUM(('Отчет по покупателям УТ'!$J$6:$J$5000='Adj Ageing by Brand'!$B110)*('Отчет по покупателям УТ'!$H$6:$H$5000='Adj Ageing by Brand'!I$8)*('Отчет по покупателям УТ'!$M$6:$M$5000='Adj Ageing by Brand'!$A110)*('Отчет по покупателям УТ'!$K$6:$K$5000))</f>
        <v>0</v>
      </c>
      <c r="J110" s="254">
        <f t="array" ref="J110">SUM(('Отчет по покупателям УТ'!$J$6:$J$5000='Adj Ageing by Brand'!$B110)*('Отчет по покупателям УТ'!$H$6:$H$5000='Adj Ageing by Brand'!J$8)*('Отчет по покупателям УТ'!$M$6:$M$5000='Adj Ageing by Brand'!$A110)*('Отчет по покупателям УТ'!$K$6:$K$5000))</f>
        <v>0</v>
      </c>
      <c r="K110" s="254">
        <f t="array" ref="K110">SUM(('Отчет по покупателям УТ'!$J$6:$J$5000='Adj Ageing by Brand'!$B110)*('Отчет по покупателям УТ'!$H$6:$H$5000='Adj Ageing by Brand'!K$8)*('Отчет по покупателям УТ'!$M$6:$M$5000='Adj Ageing by Brand'!$A110)*('Отчет по покупателям УТ'!$K$6:$K$5000))</f>
        <v>0</v>
      </c>
      <c r="L110" s="254">
        <f t="array" ref="L110">SUM(('Отчет по покупателям УТ'!$J$6:$J$5000='Adj Ageing by Brand'!$B110)*('Отчет по покупателям УТ'!$H$6:$H$5000='Adj Ageing by Brand'!L$8)*('Отчет по покупателям УТ'!$M$6:$M$5000='Adj Ageing by Brand'!$A110)*('Отчет по покупателям УТ'!$K$6:$K$5000))</f>
        <v>0</v>
      </c>
      <c r="M110" s="44">
        <f t="shared" si="44"/>
        <v>662442.87000000011</v>
      </c>
      <c r="R110" s="9" t="b">
        <f t="shared" si="41"/>
        <v>1</v>
      </c>
      <c r="S110" s="228">
        <f t="shared" si="45"/>
        <v>662442.87000000011</v>
      </c>
      <c r="T110" s="228">
        <f t="shared" si="46"/>
        <v>0</v>
      </c>
      <c r="U110" s="228">
        <f t="shared" si="47"/>
        <v>0</v>
      </c>
      <c r="V110" s="228">
        <f t="shared" si="48"/>
        <v>0</v>
      </c>
      <c r="W110" s="228">
        <f t="shared" si="49"/>
        <v>0</v>
      </c>
      <c r="X110" s="228">
        <f t="shared" si="50"/>
        <v>0</v>
      </c>
      <c r="Y110" s="228">
        <f t="shared" si="51"/>
        <v>0</v>
      </c>
      <c r="Z110" s="228">
        <f t="shared" si="52"/>
        <v>0</v>
      </c>
      <c r="AA110" s="228">
        <f t="shared" si="53"/>
        <v>0</v>
      </c>
      <c r="AB110" s="228">
        <f t="shared" si="54"/>
        <v>0</v>
      </c>
      <c r="AC110" s="247">
        <f t="shared" si="42"/>
        <v>662442.87000000011</v>
      </c>
      <c r="AD110" s="227">
        <f t="shared" si="43"/>
        <v>662442.87000000011</v>
      </c>
    </row>
    <row r="111" spans="1:30" x14ac:dyDescent="0.2">
      <c r="A111" t="s">
        <v>279</v>
      </c>
      <c r="B111" t="s">
        <v>16</v>
      </c>
      <c r="D111" s="9">
        <v>-328901.18</v>
      </c>
      <c r="F111" s="9"/>
      <c r="G111" s="254">
        <f t="array" ref="G111">SUM(('Отчет по покупателям УТ'!$J$6:$J$5000='Adj Ageing by Brand'!$B111)*('Отчет по покупателям УТ'!$H$6:$H$5000='Adj Ageing by Brand'!G$8)*('Отчет по покупателям УТ'!$M$6:$M$5000='Adj Ageing by Brand'!$A111)*('Отчет по покупателям УТ'!$K$6:$K$5000))</f>
        <v>0</v>
      </c>
      <c r="H111" s="254">
        <f t="array" ref="H111">SUM(('Отчет по покупателям УТ'!$J$6:$J$5000='Adj Ageing by Brand'!$B111)*('Отчет по покупателям УТ'!$H$6:$H$5000='Adj Ageing by Brand'!H$8)*('Отчет по покупателям УТ'!$M$6:$M$5000='Adj Ageing by Brand'!$A111)*('Отчет по покупателям УТ'!$K$6:$K$5000))</f>
        <v>0</v>
      </c>
      <c r="I111" s="254">
        <f t="array" ref="I111">SUM(('Отчет по покупателям УТ'!$J$6:$J$5000='Adj Ageing by Brand'!$B111)*('Отчет по покупателям УТ'!$H$6:$H$5000='Adj Ageing by Brand'!I$8)*('Отчет по покупателям УТ'!$M$6:$M$5000='Adj Ageing by Brand'!$A111)*('Отчет по покупателям УТ'!$K$6:$K$5000))</f>
        <v>0</v>
      </c>
      <c r="J111" s="254">
        <f t="array" ref="J111">SUM(('Отчет по покупателям УТ'!$J$6:$J$5000='Adj Ageing by Brand'!$B111)*('Отчет по покупателям УТ'!$H$6:$H$5000='Adj Ageing by Brand'!J$8)*('Отчет по покупателям УТ'!$M$6:$M$5000='Adj Ageing by Brand'!$A111)*('Отчет по покупателям УТ'!$K$6:$K$5000))</f>
        <v>0</v>
      </c>
      <c r="K111" s="254">
        <f t="array" ref="K111">SUM(('Отчет по покупателям УТ'!$J$6:$J$5000='Adj Ageing by Brand'!$B111)*('Отчет по покупателям УТ'!$H$6:$H$5000='Adj Ageing by Brand'!K$8)*('Отчет по покупателям УТ'!$M$6:$M$5000='Adj Ageing by Brand'!$A111)*('Отчет по покупателям УТ'!$K$6:$K$5000))</f>
        <v>0</v>
      </c>
      <c r="L111" s="254">
        <f t="array" ref="L111">SUM(('Отчет по покупателям УТ'!$J$6:$J$5000='Adj Ageing by Brand'!$B111)*('Отчет по покупателям УТ'!$H$6:$H$5000='Adj Ageing by Brand'!L$8)*('Отчет по покупателям УТ'!$M$6:$M$5000='Adj Ageing by Brand'!$A111)*('Отчет по покупателям УТ'!$K$6:$K$5000))</f>
        <v>-328901.18</v>
      </c>
      <c r="M111" s="44">
        <f t="shared" si="44"/>
        <v>-328901.18</v>
      </c>
      <c r="R111" s="9" t="b">
        <f t="shared" si="41"/>
        <v>1</v>
      </c>
      <c r="S111" s="228">
        <f t="shared" si="45"/>
        <v>0</v>
      </c>
      <c r="T111" s="228">
        <f t="shared" si="46"/>
        <v>-328901.18</v>
      </c>
      <c r="U111" s="228">
        <f t="shared" si="47"/>
        <v>0</v>
      </c>
      <c r="V111" s="228">
        <f t="shared" si="48"/>
        <v>-328901.18</v>
      </c>
      <c r="W111" s="228">
        <f t="shared" si="49"/>
        <v>0</v>
      </c>
      <c r="X111" s="228">
        <f t="shared" si="50"/>
        <v>-328901.18</v>
      </c>
      <c r="Y111" s="228">
        <f t="shared" si="51"/>
        <v>0</v>
      </c>
      <c r="Z111" s="228">
        <f t="shared" si="52"/>
        <v>-328901.18</v>
      </c>
      <c r="AA111" s="228">
        <f t="shared" si="53"/>
        <v>0</v>
      </c>
      <c r="AB111" s="228">
        <f t="shared" si="54"/>
        <v>-328901.18</v>
      </c>
      <c r="AC111" s="247">
        <f t="shared" si="42"/>
        <v>-328901.18</v>
      </c>
      <c r="AD111" s="227">
        <f t="shared" si="43"/>
        <v>0</v>
      </c>
    </row>
    <row r="112" spans="1:30" x14ac:dyDescent="0.2">
      <c r="A112" t="s">
        <v>279</v>
      </c>
      <c r="B112" t="s">
        <v>23</v>
      </c>
      <c r="D112" s="9">
        <v>-71128.600000000006</v>
      </c>
      <c r="F112" s="9"/>
      <c r="G112" s="254">
        <f t="array" ref="G112">SUM(('Отчет по покупателям УТ'!$J$6:$J$5000='Adj Ageing by Brand'!$B112)*('Отчет по покупателям УТ'!$H$6:$H$5000='Adj Ageing by Brand'!G$8)*('Отчет по покупателям УТ'!$M$6:$M$5000='Adj Ageing by Brand'!$A112)*('Отчет по покупателям УТ'!$K$6:$K$5000))</f>
        <v>0</v>
      </c>
      <c r="H112" s="254">
        <f t="array" ref="H112">SUM(('Отчет по покупателям УТ'!$J$6:$J$5000='Adj Ageing by Brand'!$B112)*('Отчет по покупателям УТ'!$H$6:$H$5000='Adj Ageing by Brand'!H$8)*('Отчет по покупателям УТ'!$M$6:$M$5000='Adj Ageing by Brand'!$A112)*('Отчет по покупателям УТ'!$K$6:$K$5000))</f>
        <v>0</v>
      </c>
      <c r="I112" s="254">
        <f t="array" ref="I112">SUM(('Отчет по покупателям УТ'!$J$6:$J$5000='Adj Ageing by Brand'!$B112)*('Отчет по покупателям УТ'!$H$6:$H$5000='Adj Ageing by Brand'!I$8)*('Отчет по покупателям УТ'!$M$6:$M$5000='Adj Ageing by Brand'!$A112)*('Отчет по покупателям УТ'!$K$6:$K$5000))</f>
        <v>0</v>
      </c>
      <c r="J112" s="254">
        <f t="array" ref="J112">SUM(('Отчет по покупателям УТ'!$J$6:$J$5000='Adj Ageing by Brand'!$B112)*('Отчет по покупателям УТ'!$H$6:$H$5000='Adj Ageing by Brand'!J$8)*('Отчет по покупателям УТ'!$M$6:$M$5000='Adj Ageing by Brand'!$A112)*('Отчет по покупателям УТ'!$K$6:$K$5000))</f>
        <v>0</v>
      </c>
      <c r="K112" s="254">
        <f t="array" ref="K112">SUM(('Отчет по покупателям УТ'!$J$6:$J$5000='Adj Ageing by Brand'!$B112)*('Отчет по покупателям УТ'!$H$6:$H$5000='Adj Ageing by Brand'!K$8)*('Отчет по покупателям УТ'!$M$6:$M$5000='Adj Ageing by Brand'!$A112)*('Отчет по покупателям УТ'!$K$6:$K$5000))</f>
        <v>0</v>
      </c>
      <c r="L112" s="254">
        <f t="array" ref="L112">SUM(('Отчет по покупателям УТ'!$J$6:$J$5000='Adj Ageing by Brand'!$B112)*('Отчет по покупателям УТ'!$H$6:$H$5000='Adj Ageing by Brand'!L$8)*('Отчет по покупателям УТ'!$M$6:$M$5000='Adj Ageing by Brand'!$A112)*('Отчет по покупателям УТ'!$K$6:$K$5000))</f>
        <v>-71128.600000000006</v>
      </c>
      <c r="M112" s="44">
        <f t="shared" si="44"/>
        <v>-71128.600000000006</v>
      </c>
      <c r="R112" s="9" t="b">
        <f t="shared" si="41"/>
        <v>1</v>
      </c>
      <c r="S112" s="228">
        <f t="shared" si="45"/>
        <v>0</v>
      </c>
      <c r="T112" s="228">
        <f t="shared" si="46"/>
        <v>-71128.600000000006</v>
      </c>
      <c r="U112" s="228">
        <f t="shared" si="47"/>
        <v>0</v>
      </c>
      <c r="V112" s="228">
        <f t="shared" si="48"/>
        <v>-71128.600000000006</v>
      </c>
      <c r="W112" s="228">
        <f t="shared" si="49"/>
        <v>0</v>
      </c>
      <c r="X112" s="228">
        <f t="shared" si="50"/>
        <v>-71128.600000000006</v>
      </c>
      <c r="Y112" s="228">
        <f t="shared" si="51"/>
        <v>0</v>
      </c>
      <c r="Z112" s="228">
        <f t="shared" si="52"/>
        <v>-71128.600000000006</v>
      </c>
      <c r="AA112" s="228">
        <f t="shared" si="53"/>
        <v>0</v>
      </c>
      <c r="AB112" s="228">
        <f t="shared" si="54"/>
        <v>-71128.600000000006</v>
      </c>
      <c r="AC112" s="247">
        <f t="shared" si="42"/>
        <v>-71128.600000000006</v>
      </c>
      <c r="AD112" s="227">
        <f t="shared" si="43"/>
        <v>0</v>
      </c>
    </row>
    <row r="113" spans="1:30" x14ac:dyDescent="0.2">
      <c r="A113" t="s">
        <v>280</v>
      </c>
      <c r="B113" t="s">
        <v>22</v>
      </c>
      <c r="D113" s="9">
        <v>-4737757.0500000007</v>
      </c>
      <c r="F113" s="9"/>
      <c r="G113" s="254">
        <f t="array" ref="G113">SUM(('Отчет по покупателям УТ'!$J$6:$J$5000='Adj Ageing by Brand'!$B113)*('Отчет по покупателям УТ'!$H$6:$H$5000='Adj Ageing by Brand'!G$8)*('Отчет по покупателям УТ'!$M$6:$M$5000='Adj Ageing by Brand'!$A113)*('Отчет по покупателям УТ'!$K$6:$K$5000))</f>
        <v>4091256</v>
      </c>
      <c r="H113" s="254">
        <f t="array" ref="H113">SUM(('Отчет по покупателям УТ'!$J$6:$J$5000='Adj Ageing by Brand'!$B113)*('Отчет по покупателям УТ'!$H$6:$H$5000='Adj Ageing by Brand'!H$8)*('Отчет по покупателям УТ'!$M$6:$M$5000='Adj Ageing by Brand'!$A113)*('Отчет по покупателям УТ'!$K$6:$K$5000))</f>
        <v>0</v>
      </c>
      <c r="I113" s="254">
        <f t="array" ref="I113">SUM(('Отчет по покупателям УТ'!$J$6:$J$5000='Adj Ageing by Brand'!$B113)*('Отчет по покупателям УТ'!$H$6:$H$5000='Adj Ageing by Brand'!I$8)*('Отчет по покупателям УТ'!$M$6:$M$5000='Adj Ageing by Brand'!$A113)*('Отчет по покупателям УТ'!$K$6:$K$5000))</f>
        <v>0</v>
      </c>
      <c r="J113" s="254">
        <f t="array" ref="J113">SUM(('Отчет по покупателям УТ'!$J$6:$J$5000='Adj Ageing by Brand'!$B113)*('Отчет по покупателям УТ'!$H$6:$H$5000='Adj Ageing by Brand'!J$8)*('Отчет по покупателям УТ'!$M$6:$M$5000='Adj Ageing by Brand'!$A113)*('Отчет по покупателям УТ'!$K$6:$K$5000))</f>
        <v>0</v>
      </c>
      <c r="K113" s="254">
        <f t="array" ref="K113">SUM(('Отчет по покупателям УТ'!$J$6:$J$5000='Adj Ageing by Brand'!$B113)*('Отчет по покупателям УТ'!$H$6:$H$5000='Adj Ageing by Brand'!K$8)*('Отчет по покупателям УТ'!$M$6:$M$5000='Adj Ageing by Brand'!$A113)*('Отчет по покупателям УТ'!$K$6:$K$5000))</f>
        <v>0</v>
      </c>
      <c r="L113" s="254">
        <f t="array" ref="L113">SUM(('Отчет по покупателям УТ'!$J$6:$J$5000='Adj Ageing by Brand'!$B113)*('Отчет по покупателям УТ'!$H$6:$H$5000='Adj Ageing by Brand'!L$8)*('Отчет по покупателям УТ'!$M$6:$M$5000='Adj Ageing by Brand'!$A113)*('Отчет по покупателям УТ'!$K$6:$K$5000))</f>
        <v>-8829013.0500000007</v>
      </c>
      <c r="M113" s="44">
        <f t="shared" si="44"/>
        <v>-4737757.0500000007</v>
      </c>
      <c r="R113" s="9" t="b">
        <f t="shared" si="41"/>
        <v>1</v>
      </c>
      <c r="S113" s="228">
        <f t="shared" si="45"/>
        <v>0</v>
      </c>
      <c r="T113" s="228">
        <f t="shared" si="46"/>
        <v>-8829013.0500000007</v>
      </c>
      <c r="U113" s="228">
        <f t="shared" si="47"/>
        <v>0</v>
      </c>
      <c r="V113" s="228">
        <f t="shared" si="48"/>
        <v>-8829013.0500000007</v>
      </c>
      <c r="W113" s="228">
        <f t="shared" si="49"/>
        <v>0</v>
      </c>
      <c r="X113" s="228">
        <f t="shared" si="50"/>
        <v>-8829013.0500000007</v>
      </c>
      <c r="Y113" s="228">
        <f t="shared" si="51"/>
        <v>0</v>
      </c>
      <c r="Z113" s="228">
        <f t="shared" si="52"/>
        <v>-8829013.0500000007</v>
      </c>
      <c r="AA113" s="228">
        <f t="shared" si="53"/>
        <v>0</v>
      </c>
      <c r="AB113" s="228">
        <f t="shared" si="54"/>
        <v>-4737757.0500000007</v>
      </c>
      <c r="AC113" s="247">
        <f t="shared" si="42"/>
        <v>-4737757.0500000007</v>
      </c>
      <c r="AD113" s="227">
        <f t="shared" si="43"/>
        <v>0</v>
      </c>
    </row>
    <row r="114" spans="1:30" x14ac:dyDescent="0.2">
      <c r="A114" t="s">
        <v>280</v>
      </c>
      <c r="B114" t="s">
        <v>16</v>
      </c>
      <c r="D114" s="9">
        <v>1633364.8200000003</v>
      </c>
      <c r="F114" s="9"/>
      <c r="G114" s="254">
        <f t="array" ref="G114">SUM(('Отчет по покупателям УТ'!$J$6:$J$5000='Adj Ageing by Brand'!$B114)*('Отчет по покупателям УТ'!$H$6:$H$5000='Adj Ageing by Brand'!G$8)*('Отчет по покупателям УТ'!$M$6:$M$5000='Adj Ageing by Brand'!$A114)*('Отчет по покупателям УТ'!$K$6:$K$5000))</f>
        <v>22399767</v>
      </c>
      <c r="H114" s="254">
        <f t="array" ref="H114">SUM(('Отчет по покупателям УТ'!$J$6:$J$5000='Adj Ageing by Brand'!$B114)*('Отчет по покупателям УТ'!$H$6:$H$5000='Adj Ageing by Brand'!H$8)*('Отчет по покупателям УТ'!$M$6:$M$5000='Adj Ageing by Brand'!$A114)*('Отчет по покупателям УТ'!$K$6:$K$5000))</f>
        <v>0</v>
      </c>
      <c r="I114" s="254">
        <f t="array" ref="I114">SUM(('Отчет по покупателям УТ'!$J$6:$J$5000='Adj Ageing by Brand'!$B114)*('Отчет по покупателям УТ'!$H$6:$H$5000='Adj Ageing by Brand'!I$8)*('Отчет по покупателям УТ'!$M$6:$M$5000='Adj Ageing by Brand'!$A114)*('Отчет по покупателям УТ'!$K$6:$K$5000))</f>
        <v>0</v>
      </c>
      <c r="J114" s="254">
        <f t="array" ref="J114">SUM(('Отчет по покупателям УТ'!$J$6:$J$5000='Adj Ageing by Brand'!$B114)*('Отчет по покупателям УТ'!$H$6:$H$5000='Adj Ageing by Brand'!J$8)*('Отчет по покупателям УТ'!$M$6:$M$5000='Adj Ageing by Brand'!$A114)*('Отчет по покупателям УТ'!$K$6:$K$5000))</f>
        <v>0</v>
      </c>
      <c r="K114" s="254">
        <f t="array" ref="K114">SUM(('Отчет по покупателям УТ'!$J$6:$J$5000='Adj Ageing by Brand'!$B114)*('Отчет по покупателям УТ'!$H$6:$H$5000='Adj Ageing by Brand'!K$8)*('Отчет по покупателям УТ'!$M$6:$M$5000='Adj Ageing by Brand'!$A114)*('Отчет по покупателям УТ'!$K$6:$K$5000))</f>
        <v>0</v>
      </c>
      <c r="L114" s="254">
        <f t="array" ref="L114">SUM(('Отчет по покупателям УТ'!$J$6:$J$5000='Adj Ageing by Brand'!$B114)*('Отчет по покупателям УТ'!$H$6:$H$5000='Adj Ageing by Brand'!L$8)*('Отчет по покупателям УТ'!$M$6:$M$5000='Adj Ageing by Brand'!$A114)*('Отчет по покупателям УТ'!$K$6:$K$5000))</f>
        <v>-20766402.18</v>
      </c>
      <c r="M114" s="44">
        <f t="shared" si="44"/>
        <v>1633364.8200000003</v>
      </c>
      <c r="R114" s="9" t="b">
        <f t="shared" si="41"/>
        <v>1</v>
      </c>
      <c r="S114" s="228">
        <f t="shared" si="45"/>
        <v>1633364.8200000003</v>
      </c>
      <c r="T114" s="228">
        <f t="shared" si="46"/>
        <v>-20766402.18</v>
      </c>
      <c r="U114" s="228">
        <f t="shared" si="47"/>
        <v>0</v>
      </c>
      <c r="V114" s="228">
        <f t="shared" si="48"/>
        <v>-20766402.18</v>
      </c>
      <c r="W114" s="228">
        <f t="shared" si="49"/>
        <v>0</v>
      </c>
      <c r="X114" s="228">
        <f t="shared" si="50"/>
        <v>-20766402.18</v>
      </c>
      <c r="Y114" s="228">
        <f t="shared" si="51"/>
        <v>0</v>
      </c>
      <c r="Z114" s="228">
        <f t="shared" si="52"/>
        <v>-20766402.18</v>
      </c>
      <c r="AA114" s="228">
        <f t="shared" si="53"/>
        <v>0</v>
      </c>
      <c r="AB114" s="228">
        <f t="shared" si="54"/>
        <v>0</v>
      </c>
      <c r="AC114" s="247">
        <f t="shared" si="42"/>
        <v>1633364.8200000003</v>
      </c>
      <c r="AD114" s="227">
        <f t="shared" si="43"/>
        <v>1633364.8200000003</v>
      </c>
    </row>
    <row r="115" spans="1:30" x14ac:dyDescent="0.2">
      <c r="A115" t="s">
        <v>280</v>
      </c>
      <c r="B115" t="s">
        <v>31</v>
      </c>
      <c r="D115" s="9">
        <v>-2696980.86</v>
      </c>
      <c r="F115" s="9"/>
      <c r="G115" s="254">
        <f t="array" ref="G115">SUM(('Отчет по покупателям УТ'!$J$6:$J$5000='Adj Ageing by Brand'!$B115)*('Отчет по покупателям УТ'!$H$6:$H$5000='Adj Ageing by Brand'!G$8)*('Отчет по покупателям УТ'!$M$6:$M$5000='Adj Ageing by Brand'!$A115)*('Отчет по покупателям УТ'!$K$6:$K$5000))</f>
        <v>0</v>
      </c>
      <c r="H115" s="254">
        <f t="array" ref="H115">SUM(('Отчет по покупателям УТ'!$J$6:$J$5000='Adj Ageing by Brand'!$B115)*('Отчет по покупателям УТ'!$H$6:$H$5000='Adj Ageing by Brand'!H$8)*('Отчет по покупателям УТ'!$M$6:$M$5000='Adj Ageing by Brand'!$A115)*('Отчет по покупателям УТ'!$K$6:$K$5000))</f>
        <v>0</v>
      </c>
      <c r="I115" s="254">
        <f t="array" ref="I115">SUM(('Отчет по покупателям УТ'!$J$6:$J$5000='Adj Ageing by Brand'!$B115)*('Отчет по покупателям УТ'!$H$6:$H$5000='Adj Ageing by Brand'!I$8)*('Отчет по покупателям УТ'!$M$6:$M$5000='Adj Ageing by Brand'!$A115)*('Отчет по покупателям УТ'!$K$6:$K$5000))</f>
        <v>0</v>
      </c>
      <c r="J115" s="254">
        <f t="array" ref="J115">SUM(('Отчет по покупателям УТ'!$J$6:$J$5000='Adj Ageing by Brand'!$B115)*('Отчет по покупателям УТ'!$H$6:$H$5000='Adj Ageing by Brand'!J$8)*('Отчет по покупателям УТ'!$M$6:$M$5000='Adj Ageing by Brand'!$A115)*('Отчет по покупателям УТ'!$K$6:$K$5000))</f>
        <v>0</v>
      </c>
      <c r="K115" s="254">
        <f t="array" ref="K115">SUM(('Отчет по покупателям УТ'!$J$6:$J$5000='Adj Ageing by Brand'!$B115)*('Отчет по покупателям УТ'!$H$6:$H$5000='Adj Ageing by Brand'!K$8)*('Отчет по покупателям УТ'!$M$6:$M$5000='Adj Ageing by Brand'!$A115)*('Отчет по покупателям УТ'!$K$6:$K$5000))</f>
        <v>0</v>
      </c>
      <c r="L115" s="254">
        <f t="array" ref="L115">SUM(('Отчет по покупателям УТ'!$J$6:$J$5000='Adj Ageing by Brand'!$B115)*('Отчет по покупателям УТ'!$H$6:$H$5000='Adj Ageing by Brand'!L$8)*('Отчет по покупателям УТ'!$M$6:$M$5000='Adj Ageing by Brand'!$A115)*('Отчет по покупателям УТ'!$K$6:$K$5000))</f>
        <v>-2696980.86</v>
      </c>
      <c r="M115" s="44">
        <f t="shared" si="44"/>
        <v>-2696980.86</v>
      </c>
      <c r="R115" s="9" t="b">
        <f t="shared" si="41"/>
        <v>1</v>
      </c>
      <c r="S115" s="228">
        <f t="shared" si="45"/>
        <v>0</v>
      </c>
      <c r="T115" s="228">
        <f t="shared" si="46"/>
        <v>-2696980.86</v>
      </c>
      <c r="U115" s="228">
        <f t="shared" si="47"/>
        <v>0</v>
      </c>
      <c r="V115" s="228">
        <f t="shared" si="48"/>
        <v>-2696980.86</v>
      </c>
      <c r="W115" s="228">
        <f t="shared" si="49"/>
        <v>0</v>
      </c>
      <c r="X115" s="228">
        <f t="shared" si="50"/>
        <v>-2696980.86</v>
      </c>
      <c r="Y115" s="228">
        <f t="shared" si="51"/>
        <v>0</v>
      </c>
      <c r="Z115" s="228">
        <f t="shared" si="52"/>
        <v>-2696980.86</v>
      </c>
      <c r="AA115" s="228">
        <f t="shared" si="53"/>
        <v>0</v>
      </c>
      <c r="AB115" s="228">
        <f t="shared" si="54"/>
        <v>-2696980.86</v>
      </c>
      <c r="AC115" s="247">
        <f t="shared" si="42"/>
        <v>-2696980.86</v>
      </c>
      <c r="AD115" s="227">
        <f t="shared" si="43"/>
        <v>0</v>
      </c>
    </row>
    <row r="116" spans="1:30" x14ac:dyDescent="0.2">
      <c r="A116" t="s">
        <v>280</v>
      </c>
      <c r="B116" t="s">
        <v>23</v>
      </c>
      <c r="D116" s="9">
        <v>4352297.3599999994</v>
      </c>
      <c r="F116" s="9"/>
      <c r="G116" s="254">
        <f t="array" ref="G116">SUM(('Отчет по покупателям УТ'!$J$6:$J$5000='Adj Ageing by Brand'!$B116)*('Отчет по покупателям УТ'!$H$6:$H$5000='Adj Ageing by Brand'!G$8)*('Отчет по покупателям УТ'!$M$6:$M$5000='Adj Ageing by Brand'!$A116)*('Отчет по покупателям УТ'!$K$6:$K$5000))</f>
        <v>16299240</v>
      </c>
      <c r="H116" s="254">
        <f t="array" ref="H116">SUM(('Отчет по покупателям УТ'!$J$6:$J$5000='Adj Ageing by Brand'!$B116)*('Отчет по покупателям УТ'!$H$6:$H$5000='Adj Ageing by Brand'!H$8)*('Отчет по покупателям УТ'!$M$6:$M$5000='Adj Ageing by Brand'!$A116)*('Отчет по покупателям УТ'!$K$6:$K$5000))</f>
        <v>0</v>
      </c>
      <c r="I116" s="254">
        <f t="array" ref="I116">SUM(('Отчет по покупателям УТ'!$J$6:$J$5000='Adj Ageing by Brand'!$B116)*('Отчет по покупателям УТ'!$H$6:$H$5000='Adj Ageing by Brand'!I$8)*('Отчет по покупателям УТ'!$M$6:$M$5000='Adj Ageing by Brand'!$A116)*('Отчет по покупателям УТ'!$K$6:$K$5000))</f>
        <v>0</v>
      </c>
      <c r="J116" s="254">
        <f t="array" ref="J116">SUM(('Отчет по покупателям УТ'!$J$6:$J$5000='Adj Ageing by Brand'!$B116)*('Отчет по покупателям УТ'!$H$6:$H$5000='Adj Ageing by Brand'!J$8)*('Отчет по покупателям УТ'!$M$6:$M$5000='Adj Ageing by Brand'!$A116)*('Отчет по покупателям УТ'!$K$6:$K$5000))</f>
        <v>0</v>
      </c>
      <c r="K116" s="254">
        <f t="array" ref="K116">SUM(('Отчет по покупателям УТ'!$J$6:$J$5000='Adj Ageing by Brand'!$B116)*('Отчет по покупателям УТ'!$H$6:$H$5000='Adj Ageing by Brand'!K$8)*('Отчет по покупателям УТ'!$M$6:$M$5000='Adj Ageing by Brand'!$A116)*('Отчет по покупателям УТ'!$K$6:$K$5000))</f>
        <v>0</v>
      </c>
      <c r="L116" s="254">
        <f t="array" ref="L116">SUM(('Отчет по покупателям УТ'!$J$6:$J$5000='Adj Ageing by Brand'!$B116)*('Отчет по покупателям УТ'!$H$6:$H$5000='Adj Ageing by Brand'!L$8)*('Отчет по покупателям УТ'!$M$6:$M$5000='Adj Ageing by Brand'!$A116)*('Отчет по покупателям УТ'!$K$6:$K$5000))</f>
        <v>-11946942.640000001</v>
      </c>
      <c r="M116" s="44">
        <f t="shared" si="44"/>
        <v>4352297.3599999994</v>
      </c>
      <c r="R116" s="9" t="b">
        <f t="shared" si="41"/>
        <v>1</v>
      </c>
      <c r="S116" s="228">
        <f t="shared" si="45"/>
        <v>4352297.3599999994</v>
      </c>
      <c r="T116" s="228">
        <f t="shared" si="46"/>
        <v>-11946942.640000001</v>
      </c>
      <c r="U116" s="228">
        <f t="shared" si="47"/>
        <v>0</v>
      </c>
      <c r="V116" s="228">
        <f t="shared" si="48"/>
        <v>-11946942.640000001</v>
      </c>
      <c r="W116" s="228">
        <f t="shared" si="49"/>
        <v>0</v>
      </c>
      <c r="X116" s="228">
        <f t="shared" si="50"/>
        <v>-11946942.640000001</v>
      </c>
      <c r="Y116" s="228">
        <f t="shared" si="51"/>
        <v>0</v>
      </c>
      <c r="Z116" s="228">
        <f t="shared" si="52"/>
        <v>-11946942.640000001</v>
      </c>
      <c r="AA116" s="228">
        <f t="shared" si="53"/>
        <v>0</v>
      </c>
      <c r="AB116" s="228">
        <f t="shared" si="54"/>
        <v>0</v>
      </c>
      <c r="AC116" s="247">
        <f t="shared" si="42"/>
        <v>4352297.3599999994</v>
      </c>
      <c r="AD116" s="227">
        <f t="shared" si="43"/>
        <v>4352297.3599999994</v>
      </c>
    </row>
    <row r="117" spans="1:30" x14ac:dyDescent="0.2">
      <c r="A117" t="s">
        <v>285</v>
      </c>
      <c r="B117" t="s">
        <v>22</v>
      </c>
      <c r="D117" s="9">
        <v>16833027.800000001</v>
      </c>
      <c r="F117" s="9"/>
      <c r="G117" s="254">
        <f t="array" ref="G117">SUM(('Отчет по покупателям УТ'!$J$6:$J$5000='Adj Ageing by Brand'!$B117)*('Отчет по покупателям УТ'!$H$6:$H$5000='Adj Ageing by Brand'!G$8)*('Отчет по покупателям УТ'!$M$6:$M$5000='Adj Ageing by Brand'!$A117)*('Отчет по покупателям УТ'!$K$6:$K$5000))</f>
        <v>40651381</v>
      </c>
      <c r="H117" s="254">
        <f t="array" ref="H117">SUM(('Отчет по покупателям УТ'!$J$6:$J$5000='Adj Ageing by Brand'!$B117)*('Отчет по покупателям УТ'!$H$6:$H$5000='Adj Ageing by Brand'!H$8)*('Отчет по покупателям УТ'!$M$6:$M$5000='Adj Ageing by Brand'!$A117)*('Отчет по покупателям УТ'!$K$6:$K$5000))</f>
        <v>0</v>
      </c>
      <c r="I117" s="254">
        <f t="array" ref="I117">SUM(('Отчет по покупателям УТ'!$J$6:$J$5000='Adj Ageing by Brand'!$B117)*('Отчет по покупателям УТ'!$H$6:$H$5000='Adj Ageing by Brand'!I$8)*('Отчет по покупателям УТ'!$M$6:$M$5000='Adj Ageing by Brand'!$A117)*('Отчет по покупателям УТ'!$K$6:$K$5000))</f>
        <v>0</v>
      </c>
      <c r="J117" s="254">
        <f t="array" ref="J117">SUM(('Отчет по покупателям УТ'!$J$6:$J$5000='Adj Ageing by Brand'!$B117)*('Отчет по покупателям УТ'!$H$6:$H$5000='Adj Ageing by Brand'!J$8)*('Отчет по покупателям УТ'!$M$6:$M$5000='Adj Ageing by Brand'!$A117)*('Отчет по покупателям УТ'!$K$6:$K$5000))</f>
        <v>0</v>
      </c>
      <c r="K117" s="254">
        <f t="array" ref="K117">SUM(('Отчет по покупателям УТ'!$J$6:$J$5000='Adj Ageing by Brand'!$B117)*('Отчет по покупателям УТ'!$H$6:$H$5000='Adj Ageing by Brand'!K$8)*('Отчет по покупателям УТ'!$M$6:$M$5000='Adj Ageing by Brand'!$A117)*('Отчет по покупателям УТ'!$K$6:$K$5000))</f>
        <v>0</v>
      </c>
      <c r="L117" s="254">
        <f t="array" ref="L117">SUM(('Отчет по покупателям УТ'!$J$6:$J$5000='Adj Ageing by Brand'!$B117)*('Отчет по покупателям УТ'!$H$6:$H$5000='Adj Ageing by Brand'!L$8)*('Отчет по покупателям УТ'!$M$6:$M$5000='Adj Ageing by Brand'!$A117)*('Отчет по покупателям УТ'!$K$6:$K$5000))</f>
        <v>-23818353.199999999</v>
      </c>
      <c r="M117" s="44">
        <f t="shared" si="44"/>
        <v>16833027.800000001</v>
      </c>
      <c r="R117" s="9" t="b">
        <f t="shared" si="41"/>
        <v>1</v>
      </c>
      <c r="S117" s="228">
        <f t="shared" si="45"/>
        <v>16833027.800000001</v>
      </c>
      <c r="T117" s="228">
        <f t="shared" si="46"/>
        <v>-23818353.199999999</v>
      </c>
      <c r="U117" s="228">
        <f t="shared" si="47"/>
        <v>0</v>
      </c>
      <c r="V117" s="228">
        <f t="shared" si="48"/>
        <v>-23818353.199999999</v>
      </c>
      <c r="W117" s="228">
        <f t="shared" si="49"/>
        <v>0</v>
      </c>
      <c r="X117" s="228">
        <f t="shared" si="50"/>
        <v>-23818353.199999999</v>
      </c>
      <c r="Y117" s="228">
        <f t="shared" si="51"/>
        <v>0</v>
      </c>
      <c r="Z117" s="228">
        <f t="shared" si="52"/>
        <v>-23818353.199999999</v>
      </c>
      <c r="AA117" s="228">
        <f t="shared" si="53"/>
        <v>0</v>
      </c>
      <c r="AB117" s="228">
        <f t="shared" si="54"/>
        <v>0</v>
      </c>
      <c r="AC117" s="247">
        <f t="shared" si="42"/>
        <v>16833027.800000001</v>
      </c>
      <c r="AD117" s="227">
        <f t="shared" si="43"/>
        <v>16833027.800000001</v>
      </c>
    </row>
    <row r="118" spans="1:30" x14ac:dyDescent="0.2">
      <c r="A118" t="s">
        <v>285</v>
      </c>
      <c r="B118" t="s">
        <v>16</v>
      </c>
      <c r="D118" s="9">
        <v>3653008.19</v>
      </c>
      <c r="F118" s="9"/>
      <c r="G118" s="254">
        <f t="array" ref="G118">SUM(('Отчет по покупателям УТ'!$J$6:$J$5000='Adj Ageing by Brand'!$B118)*('Отчет по покупателям УТ'!$H$6:$H$5000='Adj Ageing by Brand'!G$8)*('Отчет по покупателям УТ'!$M$6:$M$5000='Adj Ageing by Brand'!$A118)*('Отчет по покупателям УТ'!$K$6:$K$5000))</f>
        <v>7308630</v>
      </c>
      <c r="H118" s="254">
        <f t="array" ref="H118">SUM(('Отчет по покупателям УТ'!$J$6:$J$5000='Adj Ageing by Brand'!$B118)*('Отчет по покупателям УТ'!$H$6:$H$5000='Adj Ageing by Brand'!H$8)*('Отчет по покупателям УТ'!$M$6:$M$5000='Adj Ageing by Brand'!$A118)*('Отчет по покупателям УТ'!$K$6:$K$5000))</f>
        <v>0</v>
      </c>
      <c r="I118" s="254">
        <f t="array" ref="I118">SUM(('Отчет по покупателям УТ'!$J$6:$J$5000='Adj Ageing by Brand'!$B118)*('Отчет по покупателям УТ'!$H$6:$H$5000='Adj Ageing by Brand'!I$8)*('Отчет по покупателям УТ'!$M$6:$M$5000='Adj Ageing by Brand'!$A118)*('Отчет по покупателям УТ'!$K$6:$K$5000))</f>
        <v>0</v>
      </c>
      <c r="J118" s="254">
        <f t="array" ref="J118">SUM(('Отчет по покупателям УТ'!$J$6:$J$5000='Adj Ageing by Brand'!$B118)*('Отчет по покупателям УТ'!$H$6:$H$5000='Adj Ageing by Brand'!J$8)*('Отчет по покупателям УТ'!$M$6:$M$5000='Adj Ageing by Brand'!$A118)*('Отчет по покупателям УТ'!$K$6:$K$5000))</f>
        <v>0</v>
      </c>
      <c r="K118" s="254">
        <f t="array" ref="K118">SUM(('Отчет по покупателям УТ'!$J$6:$J$5000='Adj Ageing by Brand'!$B118)*('Отчет по покупателям УТ'!$H$6:$H$5000='Adj Ageing by Brand'!K$8)*('Отчет по покупателям УТ'!$M$6:$M$5000='Adj Ageing by Brand'!$A118)*('Отчет по покупателям УТ'!$K$6:$K$5000))</f>
        <v>0</v>
      </c>
      <c r="L118" s="254">
        <f t="array" ref="L118">SUM(('Отчет по покупателям УТ'!$J$6:$J$5000='Adj Ageing by Brand'!$B118)*('Отчет по покупателям УТ'!$H$6:$H$5000='Adj Ageing by Brand'!L$8)*('Отчет по покупателям УТ'!$M$6:$M$5000='Adj Ageing by Brand'!$A118)*('Отчет по покупателям УТ'!$K$6:$K$5000))</f>
        <v>-3655621.81</v>
      </c>
      <c r="M118" s="44">
        <f t="shared" si="44"/>
        <v>3653008.19</v>
      </c>
      <c r="R118" s="9" t="b">
        <f t="shared" si="41"/>
        <v>1</v>
      </c>
      <c r="S118" s="228">
        <f t="shared" si="45"/>
        <v>3653008.19</v>
      </c>
      <c r="T118" s="228">
        <f t="shared" si="46"/>
        <v>-3655621.81</v>
      </c>
      <c r="U118" s="228">
        <f t="shared" si="47"/>
        <v>0</v>
      </c>
      <c r="V118" s="228">
        <f t="shared" si="48"/>
        <v>-3655621.81</v>
      </c>
      <c r="W118" s="228">
        <f t="shared" si="49"/>
        <v>0</v>
      </c>
      <c r="X118" s="228">
        <f t="shared" si="50"/>
        <v>-3655621.81</v>
      </c>
      <c r="Y118" s="228">
        <f t="shared" si="51"/>
        <v>0</v>
      </c>
      <c r="Z118" s="228">
        <f t="shared" si="52"/>
        <v>-3655621.81</v>
      </c>
      <c r="AA118" s="228">
        <f t="shared" si="53"/>
        <v>0</v>
      </c>
      <c r="AB118" s="228">
        <f t="shared" si="54"/>
        <v>0</v>
      </c>
      <c r="AC118" s="247">
        <f t="shared" si="42"/>
        <v>3653008.19</v>
      </c>
      <c r="AD118" s="227">
        <f t="shared" si="43"/>
        <v>3653008.19</v>
      </c>
    </row>
    <row r="119" spans="1:30" x14ac:dyDescent="0.2">
      <c r="A119" t="s">
        <v>285</v>
      </c>
      <c r="B119" t="s">
        <v>31</v>
      </c>
      <c r="D119" s="9">
        <v>2832880</v>
      </c>
      <c r="F119" s="9"/>
      <c r="G119" s="254">
        <f t="array" ref="G119">SUM(('Отчет по покупателям УТ'!$J$6:$J$5000='Adj Ageing by Brand'!$B119)*('Отчет по покупателям УТ'!$H$6:$H$5000='Adj Ageing by Brand'!G$8)*('Отчет по покупателям УТ'!$M$6:$M$5000='Adj Ageing by Brand'!$A119)*('Отчет по покупателям УТ'!$K$6:$K$5000))</f>
        <v>2832880</v>
      </c>
      <c r="H119" s="254">
        <f t="array" ref="H119">SUM(('Отчет по покупателям УТ'!$J$6:$J$5000='Adj Ageing by Brand'!$B119)*('Отчет по покупателям УТ'!$H$6:$H$5000='Adj Ageing by Brand'!H$8)*('Отчет по покупателям УТ'!$M$6:$M$5000='Adj Ageing by Brand'!$A119)*('Отчет по покупателям УТ'!$K$6:$K$5000))</f>
        <v>0</v>
      </c>
      <c r="I119" s="254">
        <f t="array" ref="I119">SUM(('Отчет по покупателям УТ'!$J$6:$J$5000='Adj Ageing by Brand'!$B119)*('Отчет по покупателям УТ'!$H$6:$H$5000='Adj Ageing by Brand'!I$8)*('Отчет по покупателям УТ'!$M$6:$M$5000='Adj Ageing by Brand'!$A119)*('Отчет по покупателям УТ'!$K$6:$K$5000))</f>
        <v>0</v>
      </c>
      <c r="J119" s="254">
        <f t="array" ref="J119">SUM(('Отчет по покупателям УТ'!$J$6:$J$5000='Adj Ageing by Brand'!$B119)*('Отчет по покупателям УТ'!$H$6:$H$5000='Adj Ageing by Brand'!J$8)*('Отчет по покупателям УТ'!$M$6:$M$5000='Adj Ageing by Brand'!$A119)*('Отчет по покупателям УТ'!$K$6:$K$5000))</f>
        <v>0</v>
      </c>
      <c r="K119" s="254">
        <f t="array" ref="K119">SUM(('Отчет по покупателям УТ'!$J$6:$J$5000='Adj Ageing by Brand'!$B119)*('Отчет по покупателям УТ'!$H$6:$H$5000='Adj Ageing by Brand'!K$8)*('Отчет по покупателям УТ'!$M$6:$M$5000='Adj Ageing by Brand'!$A119)*('Отчет по покупателям УТ'!$K$6:$K$5000))</f>
        <v>0</v>
      </c>
      <c r="L119" s="254">
        <f t="array" ref="L119">SUM(('Отчет по покупателям УТ'!$J$6:$J$5000='Adj Ageing by Brand'!$B119)*('Отчет по покупателям УТ'!$H$6:$H$5000='Adj Ageing by Brand'!L$8)*('Отчет по покупателям УТ'!$M$6:$M$5000='Adj Ageing by Brand'!$A119)*('Отчет по покупателям УТ'!$K$6:$K$5000))</f>
        <v>0</v>
      </c>
      <c r="M119" s="44">
        <f t="shared" si="44"/>
        <v>2832880</v>
      </c>
      <c r="R119" s="9" t="b">
        <f t="shared" si="41"/>
        <v>1</v>
      </c>
      <c r="S119" s="228">
        <f t="shared" si="45"/>
        <v>2832880</v>
      </c>
      <c r="T119" s="228">
        <f t="shared" si="46"/>
        <v>0</v>
      </c>
      <c r="U119" s="228">
        <f t="shared" si="47"/>
        <v>0</v>
      </c>
      <c r="V119" s="228">
        <f t="shared" si="48"/>
        <v>0</v>
      </c>
      <c r="W119" s="228">
        <f t="shared" si="49"/>
        <v>0</v>
      </c>
      <c r="X119" s="228">
        <f t="shared" si="50"/>
        <v>0</v>
      </c>
      <c r="Y119" s="228">
        <f t="shared" si="51"/>
        <v>0</v>
      </c>
      <c r="Z119" s="228">
        <f t="shared" si="52"/>
        <v>0</v>
      </c>
      <c r="AA119" s="228">
        <f t="shared" si="53"/>
        <v>0</v>
      </c>
      <c r="AB119" s="228">
        <f t="shared" si="54"/>
        <v>0</v>
      </c>
      <c r="AC119" s="247">
        <f t="shared" si="42"/>
        <v>2832880</v>
      </c>
      <c r="AD119" s="227">
        <f t="shared" si="43"/>
        <v>2832880</v>
      </c>
    </row>
    <row r="120" spans="1:30" x14ac:dyDescent="0.2">
      <c r="A120" t="s">
        <v>285</v>
      </c>
      <c r="B120" t="s">
        <v>23</v>
      </c>
      <c r="D120" s="9">
        <v>-828931.38</v>
      </c>
      <c r="F120" s="9"/>
      <c r="G120" s="254">
        <f t="array" ref="G120">SUM(('Отчет по покупателям УТ'!$J$6:$J$5000='Adj Ageing by Brand'!$B120)*('Отчет по покупателям УТ'!$H$6:$H$5000='Adj Ageing by Brand'!G$8)*('Отчет по покупателям УТ'!$M$6:$M$5000='Adj Ageing by Brand'!$A120)*('Отчет по покупателям УТ'!$K$6:$K$5000))</f>
        <v>0</v>
      </c>
      <c r="H120" s="254">
        <f t="array" ref="H120">SUM(('Отчет по покупателям УТ'!$J$6:$J$5000='Adj Ageing by Brand'!$B120)*('Отчет по покупателям УТ'!$H$6:$H$5000='Adj Ageing by Brand'!H$8)*('Отчет по покупателям УТ'!$M$6:$M$5000='Adj Ageing by Brand'!$A120)*('Отчет по покупателям УТ'!$K$6:$K$5000))</f>
        <v>0</v>
      </c>
      <c r="I120" s="254">
        <f t="array" ref="I120">SUM(('Отчет по покупателям УТ'!$J$6:$J$5000='Adj Ageing by Brand'!$B120)*('Отчет по покупателям УТ'!$H$6:$H$5000='Adj Ageing by Brand'!I$8)*('Отчет по покупателям УТ'!$M$6:$M$5000='Adj Ageing by Brand'!$A120)*('Отчет по покупателям УТ'!$K$6:$K$5000))</f>
        <v>0</v>
      </c>
      <c r="J120" s="254">
        <f t="array" ref="J120">SUM(('Отчет по покупателям УТ'!$J$6:$J$5000='Adj Ageing by Brand'!$B120)*('Отчет по покупателям УТ'!$H$6:$H$5000='Adj Ageing by Brand'!J$8)*('Отчет по покупателям УТ'!$M$6:$M$5000='Adj Ageing by Brand'!$A120)*('Отчет по покупателям УТ'!$K$6:$K$5000))</f>
        <v>0</v>
      </c>
      <c r="K120" s="254">
        <f t="array" ref="K120">SUM(('Отчет по покупателям УТ'!$J$6:$J$5000='Adj Ageing by Brand'!$B120)*('Отчет по покупателям УТ'!$H$6:$H$5000='Adj Ageing by Brand'!K$8)*('Отчет по покупателям УТ'!$M$6:$M$5000='Adj Ageing by Brand'!$A120)*('Отчет по покупателям УТ'!$K$6:$K$5000))</f>
        <v>0</v>
      </c>
      <c r="L120" s="254">
        <f t="array" ref="L120">SUM(('Отчет по покупателям УТ'!$J$6:$J$5000='Adj Ageing by Brand'!$B120)*('Отчет по покупателям УТ'!$H$6:$H$5000='Adj Ageing by Brand'!L$8)*('Отчет по покупателям УТ'!$M$6:$M$5000='Adj Ageing by Brand'!$A120)*('Отчет по покупателям УТ'!$K$6:$K$5000))</f>
        <v>-828931.38</v>
      </c>
      <c r="M120" s="44">
        <f t="shared" si="44"/>
        <v>-828931.38</v>
      </c>
      <c r="R120" s="9" t="b">
        <f t="shared" si="41"/>
        <v>1</v>
      </c>
      <c r="S120" s="228">
        <f t="shared" si="45"/>
        <v>0</v>
      </c>
      <c r="T120" s="228">
        <f t="shared" si="46"/>
        <v>-828931.38</v>
      </c>
      <c r="U120" s="228">
        <f t="shared" si="47"/>
        <v>0</v>
      </c>
      <c r="V120" s="228">
        <f t="shared" si="48"/>
        <v>-828931.38</v>
      </c>
      <c r="W120" s="228">
        <f t="shared" si="49"/>
        <v>0</v>
      </c>
      <c r="X120" s="228">
        <f t="shared" si="50"/>
        <v>-828931.38</v>
      </c>
      <c r="Y120" s="228">
        <f t="shared" si="51"/>
        <v>0</v>
      </c>
      <c r="Z120" s="228">
        <f t="shared" si="52"/>
        <v>-828931.38</v>
      </c>
      <c r="AA120" s="228">
        <f t="shared" si="53"/>
        <v>0</v>
      </c>
      <c r="AB120" s="228">
        <f t="shared" si="54"/>
        <v>-828931.38</v>
      </c>
      <c r="AC120" s="247">
        <f t="shared" si="42"/>
        <v>-828931.38</v>
      </c>
      <c r="AD120" s="227">
        <f t="shared" si="43"/>
        <v>0</v>
      </c>
    </row>
    <row r="121" spans="1:30" x14ac:dyDescent="0.2">
      <c r="A121" t="s">
        <v>292</v>
      </c>
      <c r="B121" t="s">
        <v>22</v>
      </c>
      <c r="D121" s="9">
        <v>-441780.77</v>
      </c>
      <c r="F121" s="9"/>
      <c r="G121" s="254">
        <f t="array" ref="G121">SUM(('Отчет по покупателям УТ'!$J$6:$J$5000='Adj Ageing by Brand'!$B121)*('Отчет по покупателям УТ'!$H$6:$H$5000='Adj Ageing by Brand'!G$8)*('Отчет по покупателям УТ'!$M$6:$M$5000='Adj Ageing by Brand'!$A121)*('Отчет по покупателям УТ'!$K$6:$K$5000))</f>
        <v>546872.06999999995</v>
      </c>
      <c r="H121" s="254">
        <f t="array" ref="H121">SUM(('Отчет по покупателям УТ'!$J$6:$J$5000='Adj Ageing by Brand'!$B121)*('Отчет по покупателям УТ'!$H$6:$H$5000='Adj Ageing by Brand'!H$8)*('Отчет по покупателям УТ'!$M$6:$M$5000='Adj Ageing by Brand'!$A121)*('Отчет по покупателям УТ'!$K$6:$K$5000))</f>
        <v>0</v>
      </c>
      <c r="I121" s="254">
        <f t="array" ref="I121">SUM(('Отчет по покупателям УТ'!$J$6:$J$5000='Adj Ageing by Brand'!$B121)*('Отчет по покупателям УТ'!$H$6:$H$5000='Adj Ageing by Brand'!I$8)*('Отчет по покупателям УТ'!$M$6:$M$5000='Adj Ageing by Brand'!$A121)*('Отчет по покупателям УТ'!$K$6:$K$5000))</f>
        <v>0</v>
      </c>
      <c r="J121" s="254">
        <f t="array" ref="J121">SUM(('Отчет по покупателям УТ'!$J$6:$J$5000='Adj Ageing by Brand'!$B121)*('Отчет по покупателям УТ'!$H$6:$H$5000='Adj Ageing by Brand'!J$8)*('Отчет по покупателям УТ'!$M$6:$M$5000='Adj Ageing by Brand'!$A121)*('Отчет по покупателям УТ'!$K$6:$K$5000))</f>
        <v>0</v>
      </c>
      <c r="K121" s="254">
        <f t="array" ref="K121">SUM(('Отчет по покупателям УТ'!$J$6:$J$5000='Adj Ageing by Brand'!$B121)*('Отчет по покупателям УТ'!$H$6:$H$5000='Adj Ageing by Brand'!K$8)*('Отчет по покупателям УТ'!$M$6:$M$5000='Adj Ageing by Brand'!$A121)*('Отчет по покупателям УТ'!$K$6:$K$5000))</f>
        <v>0</v>
      </c>
      <c r="L121" s="254">
        <f t="array" ref="L121">SUM(('Отчет по покупателям УТ'!$J$6:$J$5000='Adj Ageing by Brand'!$B121)*('Отчет по покупателям УТ'!$H$6:$H$5000='Adj Ageing by Brand'!L$8)*('Отчет по покупателям УТ'!$M$6:$M$5000='Adj Ageing by Brand'!$A121)*('Отчет по покупателям УТ'!$K$6:$K$5000))</f>
        <v>-988652.84</v>
      </c>
      <c r="M121" s="44">
        <f t="shared" si="44"/>
        <v>-441780.77</v>
      </c>
      <c r="R121" s="9" t="b">
        <f t="shared" si="41"/>
        <v>1</v>
      </c>
      <c r="S121" s="228">
        <f t="shared" si="45"/>
        <v>0</v>
      </c>
      <c r="T121" s="228">
        <f t="shared" si="46"/>
        <v>-988652.84</v>
      </c>
      <c r="U121" s="228">
        <f t="shared" si="47"/>
        <v>0</v>
      </c>
      <c r="V121" s="228">
        <f t="shared" si="48"/>
        <v>-988652.84</v>
      </c>
      <c r="W121" s="228">
        <f t="shared" si="49"/>
        <v>0</v>
      </c>
      <c r="X121" s="228">
        <f t="shared" si="50"/>
        <v>-988652.84</v>
      </c>
      <c r="Y121" s="228">
        <f t="shared" si="51"/>
        <v>0</v>
      </c>
      <c r="Z121" s="228">
        <f t="shared" si="52"/>
        <v>-988652.84</v>
      </c>
      <c r="AA121" s="228">
        <f t="shared" si="53"/>
        <v>0</v>
      </c>
      <c r="AB121" s="228">
        <f t="shared" si="54"/>
        <v>-441780.77</v>
      </c>
      <c r="AC121" s="247">
        <f t="shared" si="42"/>
        <v>-441780.77</v>
      </c>
      <c r="AD121" s="227">
        <f t="shared" si="43"/>
        <v>0</v>
      </c>
    </row>
    <row r="122" spans="1:30" x14ac:dyDescent="0.2">
      <c r="A122" t="s">
        <v>292</v>
      </c>
      <c r="B122" t="s">
        <v>16</v>
      </c>
      <c r="D122" s="9">
        <v>19122</v>
      </c>
      <c r="F122" s="9"/>
      <c r="G122" s="254">
        <f t="array" ref="G122">SUM(('Отчет по покупателям УТ'!$J$6:$J$5000='Adj Ageing by Brand'!$B122)*('Отчет по покупателям УТ'!$H$6:$H$5000='Adj Ageing by Brand'!G$8)*('Отчет по покупателям УТ'!$M$6:$M$5000='Adj Ageing by Brand'!$A122)*('Отчет по покупателям УТ'!$K$6:$K$5000))</f>
        <v>19122</v>
      </c>
      <c r="H122" s="254">
        <f t="array" ref="H122">SUM(('Отчет по покупателям УТ'!$J$6:$J$5000='Adj Ageing by Brand'!$B122)*('Отчет по покупателям УТ'!$H$6:$H$5000='Adj Ageing by Brand'!H$8)*('Отчет по покупателям УТ'!$M$6:$M$5000='Adj Ageing by Brand'!$A122)*('Отчет по покупателям УТ'!$K$6:$K$5000))</f>
        <v>0</v>
      </c>
      <c r="I122" s="254">
        <f t="array" ref="I122">SUM(('Отчет по покупателям УТ'!$J$6:$J$5000='Adj Ageing by Brand'!$B122)*('Отчет по покупателям УТ'!$H$6:$H$5000='Adj Ageing by Brand'!I$8)*('Отчет по покупателям УТ'!$M$6:$M$5000='Adj Ageing by Brand'!$A122)*('Отчет по покупателям УТ'!$K$6:$K$5000))</f>
        <v>0</v>
      </c>
      <c r="J122" s="254">
        <f t="array" ref="J122">SUM(('Отчет по покупателям УТ'!$J$6:$J$5000='Adj Ageing by Brand'!$B122)*('Отчет по покупателям УТ'!$H$6:$H$5000='Adj Ageing by Brand'!J$8)*('Отчет по покупателям УТ'!$M$6:$M$5000='Adj Ageing by Brand'!$A122)*('Отчет по покупателям УТ'!$K$6:$K$5000))</f>
        <v>0</v>
      </c>
      <c r="K122" s="254">
        <f t="array" ref="K122">SUM(('Отчет по покупателям УТ'!$J$6:$J$5000='Adj Ageing by Brand'!$B122)*('Отчет по покупателям УТ'!$H$6:$H$5000='Adj Ageing by Brand'!K$8)*('Отчет по покупателям УТ'!$M$6:$M$5000='Adj Ageing by Brand'!$A122)*('Отчет по покупателям УТ'!$K$6:$K$5000))</f>
        <v>0</v>
      </c>
      <c r="L122" s="254">
        <f t="array" ref="L122">SUM(('Отчет по покупателям УТ'!$J$6:$J$5000='Adj Ageing by Brand'!$B122)*('Отчет по покупателям УТ'!$H$6:$H$5000='Adj Ageing by Brand'!L$8)*('Отчет по покупателям УТ'!$M$6:$M$5000='Adj Ageing by Brand'!$A122)*('Отчет по покупателям УТ'!$K$6:$K$5000))</f>
        <v>0</v>
      </c>
      <c r="M122" s="44">
        <f t="shared" si="44"/>
        <v>19122</v>
      </c>
      <c r="R122" s="9" t="b">
        <f t="shared" si="41"/>
        <v>1</v>
      </c>
      <c r="S122" s="228">
        <f t="shared" si="45"/>
        <v>19122</v>
      </c>
      <c r="T122" s="228">
        <f t="shared" si="46"/>
        <v>0</v>
      </c>
      <c r="U122" s="228">
        <f t="shared" si="47"/>
        <v>0</v>
      </c>
      <c r="V122" s="228">
        <f t="shared" si="48"/>
        <v>0</v>
      </c>
      <c r="W122" s="228">
        <f t="shared" si="49"/>
        <v>0</v>
      </c>
      <c r="X122" s="228">
        <f t="shared" si="50"/>
        <v>0</v>
      </c>
      <c r="Y122" s="228">
        <f t="shared" si="51"/>
        <v>0</v>
      </c>
      <c r="Z122" s="228">
        <f t="shared" si="52"/>
        <v>0</v>
      </c>
      <c r="AA122" s="228">
        <f t="shared" si="53"/>
        <v>0</v>
      </c>
      <c r="AB122" s="228">
        <f t="shared" si="54"/>
        <v>0</v>
      </c>
      <c r="AC122" s="247">
        <f t="shared" si="42"/>
        <v>19122</v>
      </c>
      <c r="AD122" s="227">
        <f t="shared" si="43"/>
        <v>19122</v>
      </c>
    </row>
    <row r="123" spans="1:30" x14ac:dyDescent="0.2">
      <c r="A123" t="s">
        <v>296</v>
      </c>
      <c r="B123" t="s">
        <v>22</v>
      </c>
      <c r="D123" s="9">
        <v>-77133.959999999992</v>
      </c>
      <c r="F123" s="9"/>
      <c r="G123" s="254">
        <f t="array" ref="G123">SUM(('Отчет по покупателям УТ'!$J$6:$J$5000='Adj Ageing by Brand'!$B123)*('Отчет по покупателям УТ'!$H$6:$H$5000='Adj Ageing by Brand'!G$8)*('Отчет по покупателям УТ'!$M$6:$M$5000='Adj Ageing by Brand'!$A123)*('Отчет по покупателям УТ'!$K$6:$K$5000))</f>
        <v>0</v>
      </c>
      <c r="H123" s="254">
        <f t="array" ref="H123">SUM(('Отчет по покупателям УТ'!$J$6:$J$5000='Adj Ageing by Brand'!$B123)*('Отчет по покупателям УТ'!$H$6:$H$5000='Adj Ageing by Brand'!H$8)*('Отчет по покупателям УТ'!$M$6:$M$5000='Adj Ageing by Brand'!$A123)*('Отчет по покупателям УТ'!$K$6:$K$5000))</f>
        <v>0</v>
      </c>
      <c r="I123" s="254">
        <f t="array" ref="I123">SUM(('Отчет по покупателям УТ'!$J$6:$J$5000='Adj Ageing by Brand'!$B123)*('Отчет по покупателям УТ'!$H$6:$H$5000='Adj Ageing by Brand'!I$8)*('Отчет по покупателям УТ'!$M$6:$M$5000='Adj Ageing by Brand'!$A123)*('Отчет по покупателям УТ'!$K$6:$K$5000))</f>
        <v>0</v>
      </c>
      <c r="J123" s="254">
        <f t="array" ref="J123">SUM(('Отчет по покупателям УТ'!$J$6:$J$5000='Adj Ageing by Brand'!$B123)*('Отчет по покупателям УТ'!$H$6:$H$5000='Adj Ageing by Brand'!J$8)*('Отчет по покупателям УТ'!$M$6:$M$5000='Adj Ageing by Brand'!$A123)*('Отчет по покупателям УТ'!$K$6:$K$5000))</f>
        <v>0</v>
      </c>
      <c r="K123" s="254">
        <f t="array" ref="K123">SUM(('Отчет по покупателям УТ'!$J$6:$J$5000='Adj Ageing by Brand'!$B123)*('Отчет по покупателям УТ'!$H$6:$H$5000='Adj Ageing by Brand'!K$8)*('Отчет по покупателям УТ'!$M$6:$M$5000='Adj Ageing by Brand'!$A123)*('Отчет по покупателям УТ'!$K$6:$K$5000))</f>
        <v>0</v>
      </c>
      <c r="L123" s="254">
        <f t="array" ref="L123">SUM(('Отчет по покупателям УТ'!$J$6:$J$5000='Adj Ageing by Brand'!$B123)*('Отчет по покупателям УТ'!$H$6:$H$5000='Adj Ageing by Brand'!L$8)*('Отчет по покупателям УТ'!$M$6:$M$5000='Adj Ageing by Brand'!$A123)*('Отчет по покупателям УТ'!$K$6:$K$5000))</f>
        <v>-77133.959999999992</v>
      </c>
      <c r="M123" s="44">
        <f t="shared" si="44"/>
        <v>-77133.959999999992</v>
      </c>
      <c r="R123" s="9" t="b">
        <f t="shared" si="41"/>
        <v>1</v>
      </c>
      <c r="S123" s="228">
        <f t="shared" si="45"/>
        <v>0</v>
      </c>
      <c r="T123" s="228">
        <f t="shared" si="46"/>
        <v>-77133.959999999992</v>
      </c>
      <c r="U123" s="228">
        <f t="shared" si="47"/>
        <v>0</v>
      </c>
      <c r="V123" s="228">
        <f t="shared" si="48"/>
        <v>-77133.959999999992</v>
      </c>
      <c r="W123" s="228">
        <f t="shared" si="49"/>
        <v>0</v>
      </c>
      <c r="X123" s="228">
        <f t="shared" si="50"/>
        <v>-77133.959999999992</v>
      </c>
      <c r="Y123" s="228">
        <f t="shared" si="51"/>
        <v>0</v>
      </c>
      <c r="Z123" s="228">
        <f t="shared" si="52"/>
        <v>-77133.959999999992</v>
      </c>
      <c r="AA123" s="228">
        <f t="shared" si="53"/>
        <v>0</v>
      </c>
      <c r="AB123" s="228">
        <f t="shared" si="54"/>
        <v>-77133.959999999992</v>
      </c>
      <c r="AC123" s="247">
        <f t="shared" si="42"/>
        <v>-77133.959999999992</v>
      </c>
      <c r="AD123" s="227">
        <f t="shared" si="43"/>
        <v>0</v>
      </c>
    </row>
    <row r="124" spans="1:30" x14ac:dyDescent="0.2">
      <c r="A124" t="s">
        <v>296</v>
      </c>
      <c r="B124" t="s">
        <v>16</v>
      </c>
      <c r="D124" s="9">
        <v>-461677.65</v>
      </c>
      <c r="F124" s="9"/>
      <c r="G124" s="254">
        <f t="array" ref="G124">SUM(('Отчет по покупателям УТ'!$J$6:$J$5000='Adj Ageing by Brand'!$B124)*('Отчет по покупателям УТ'!$H$6:$H$5000='Adj Ageing by Brand'!G$8)*('Отчет по покупателям УТ'!$M$6:$M$5000='Adj Ageing by Brand'!$A124)*('Отчет по покупателям УТ'!$K$6:$K$5000))</f>
        <v>0</v>
      </c>
      <c r="H124" s="254">
        <f t="array" ref="H124">SUM(('Отчет по покупателям УТ'!$J$6:$J$5000='Adj Ageing by Brand'!$B124)*('Отчет по покупателям УТ'!$H$6:$H$5000='Adj Ageing by Brand'!H$8)*('Отчет по покупателям УТ'!$M$6:$M$5000='Adj Ageing by Brand'!$A124)*('Отчет по покупателям УТ'!$K$6:$K$5000))</f>
        <v>0</v>
      </c>
      <c r="I124" s="254">
        <f t="array" ref="I124">SUM(('Отчет по покупателям УТ'!$J$6:$J$5000='Adj Ageing by Brand'!$B124)*('Отчет по покупателям УТ'!$H$6:$H$5000='Adj Ageing by Brand'!I$8)*('Отчет по покупателям УТ'!$M$6:$M$5000='Adj Ageing by Brand'!$A124)*('Отчет по покупателям УТ'!$K$6:$K$5000))</f>
        <v>0</v>
      </c>
      <c r="J124" s="254">
        <f t="array" ref="J124">SUM(('Отчет по покупателям УТ'!$J$6:$J$5000='Adj Ageing by Brand'!$B124)*('Отчет по покупателям УТ'!$H$6:$H$5000='Adj Ageing by Brand'!J$8)*('Отчет по покупателям УТ'!$M$6:$M$5000='Adj Ageing by Brand'!$A124)*('Отчет по покупателям УТ'!$K$6:$K$5000))</f>
        <v>0</v>
      </c>
      <c r="K124" s="254">
        <f t="array" ref="K124">SUM(('Отчет по покупателям УТ'!$J$6:$J$5000='Adj Ageing by Brand'!$B124)*('Отчет по покупателям УТ'!$H$6:$H$5000='Adj Ageing by Brand'!K$8)*('Отчет по покупателям УТ'!$M$6:$M$5000='Adj Ageing by Brand'!$A124)*('Отчет по покупателям УТ'!$K$6:$K$5000))</f>
        <v>0</v>
      </c>
      <c r="L124" s="254">
        <f t="array" ref="L124">SUM(('Отчет по покупателям УТ'!$J$6:$J$5000='Adj Ageing by Brand'!$B124)*('Отчет по покупателям УТ'!$H$6:$H$5000='Adj Ageing by Brand'!L$8)*('Отчет по покупателям УТ'!$M$6:$M$5000='Adj Ageing by Brand'!$A124)*('Отчет по покупателям УТ'!$K$6:$K$5000))</f>
        <v>-461677.65</v>
      </c>
      <c r="M124" s="44">
        <f t="shared" si="44"/>
        <v>-461677.65</v>
      </c>
      <c r="R124" s="9" t="b">
        <f t="shared" si="41"/>
        <v>1</v>
      </c>
      <c r="S124" s="228">
        <f t="shared" si="45"/>
        <v>0</v>
      </c>
      <c r="T124" s="228">
        <f t="shared" si="46"/>
        <v>-461677.65</v>
      </c>
      <c r="U124" s="228">
        <f t="shared" si="47"/>
        <v>0</v>
      </c>
      <c r="V124" s="228">
        <f t="shared" si="48"/>
        <v>-461677.65</v>
      </c>
      <c r="W124" s="228">
        <f t="shared" si="49"/>
        <v>0</v>
      </c>
      <c r="X124" s="228">
        <f t="shared" si="50"/>
        <v>-461677.65</v>
      </c>
      <c r="Y124" s="228">
        <f t="shared" si="51"/>
        <v>0</v>
      </c>
      <c r="Z124" s="228">
        <f t="shared" si="52"/>
        <v>-461677.65</v>
      </c>
      <c r="AA124" s="228">
        <f t="shared" si="53"/>
        <v>0</v>
      </c>
      <c r="AB124" s="228">
        <f t="shared" si="54"/>
        <v>-461677.65</v>
      </c>
      <c r="AC124" s="247">
        <f t="shared" si="42"/>
        <v>-461677.65</v>
      </c>
      <c r="AD124" s="227">
        <f t="shared" si="43"/>
        <v>0</v>
      </c>
    </row>
    <row r="125" spans="1:30" x14ac:dyDescent="0.2">
      <c r="A125" t="s">
        <v>298</v>
      </c>
      <c r="B125" t="s">
        <v>16</v>
      </c>
      <c r="D125" s="9">
        <v>2695536</v>
      </c>
      <c r="F125" s="9"/>
      <c r="G125" s="254">
        <f t="array" ref="G125">SUM(('Отчет по покупателям УТ'!$J$6:$J$5000='Adj Ageing by Brand'!$B125)*('Отчет по покупателям УТ'!$H$6:$H$5000='Adj Ageing by Brand'!G$8)*('Отчет по покупателям УТ'!$M$6:$M$5000='Adj Ageing by Brand'!$A125)*('Отчет по покупателям УТ'!$K$6:$K$5000))</f>
        <v>2725632</v>
      </c>
      <c r="H125" s="254">
        <f t="array" ref="H125">SUM(('Отчет по покупателям УТ'!$J$6:$J$5000='Adj Ageing by Brand'!$B125)*('Отчет по покупателям УТ'!$H$6:$H$5000='Adj Ageing by Brand'!H$8)*('Отчет по покупателям УТ'!$M$6:$M$5000='Adj Ageing by Brand'!$A125)*('Отчет по покупателям УТ'!$K$6:$K$5000))</f>
        <v>0</v>
      </c>
      <c r="I125" s="254">
        <f t="array" ref="I125">SUM(('Отчет по покупателям УТ'!$J$6:$J$5000='Adj Ageing by Brand'!$B125)*('Отчет по покупателям УТ'!$H$6:$H$5000='Adj Ageing by Brand'!I$8)*('Отчет по покупателям УТ'!$M$6:$M$5000='Adj Ageing by Brand'!$A125)*('Отчет по покупателям УТ'!$K$6:$K$5000))</f>
        <v>0</v>
      </c>
      <c r="J125" s="254">
        <f t="array" ref="J125">SUM(('Отчет по покупателям УТ'!$J$6:$J$5000='Adj Ageing by Brand'!$B125)*('Отчет по покупателям УТ'!$H$6:$H$5000='Adj Ageing by Brand'!J$8)*('Отчет по покупателям УТ'!$M$6:$M$5000='Adj Ageing by Brand'!$A125)*('Отчет по покупателям УТ'!$K$6:$K$5000))</f>
        <v>0</v>
      </c>
      <c r="K125" s="254">
        <f t="array" ref="K125">SUM(('Отчет по покупателям УТ'!$J$6:$J$5000='Adj Ageing by Brand'!$B125)*('Отчет по покупателям УТ'!$H$6:$H$5000='Adj Ageing by Brand'!K$8)*('Отчет по покупателям УТ'!$M$6:$M$5000='Adj Ageing by Brand'!$A125)*('Отчет по покупателям УТ'!$K$6:$K$5000))</f>
        <v>0</v>
      </c>
      <c r="L125" s="254">
        <f t="array" ref="L125">SUM(('Отчет по покупателям УТ'!$J$6:$J$5000='Adj Ageing by Brand'!$B125)*('Отчет по покупателям УТ'!$H$6:$H$5000='Adj Ageing by Brand'!L$8)*('Отчет по покупателям УТ'!$M$6:$M$5000='Adj Ageing by Brand'!$A125)*('Отчет по покупателям УТ'!$K$6:$K$5000))</f>
        <v>-30096</v>
      </c>
      <c r="M125" s="44">
        <f t="shared" si="44"/>
        <v>2695536</v>
      </c>
      <c r="R125" s="9" t="b">
        <f t="shared" si="41"/>
        <v>1</v>
      </c>
      <c r="S125" s="228">
        <f t="shared" si="45"/>
        <v>2695536</v>
      </c>
      <c r="T125" s="228">
        <f t="shared" si="46"/>
        <v>-30096</v>
      </c>
      <c r="U125" s="228">
        <f t="shared" si="47"/>
        <v>0</v>
      </c>
      <c r="V125" s="228">
        <f t="shared" si="48"/>
        <v>-30096</v>
      </c>
      <c r="W125" s="228">
        <f t="shared" si="49"/>
        <v>0</v>
      </c>
      <c r="X125" s="228">
        <f t="shared" si="50"/>
        <v>-30096</v>
      </c>
      <c r="Y125" s="228">
        <f t="shared" si="51"/>
        <v>0</v>
      </c>
      <c r="Z125" s="228">
        <f t="shared" si="52"/>
        <v>-30096</v>
      </c>
      <c r="AA125" s="228">
        <f t="shared" si="53"/>
        <v>0</v>
      </c>
      <c r="AB125" s="228">
        <f t="shared" si="54"/>
        <v>0</v>
      </c>
      <c r="AC125" s="247">
        <f t="shared" si="42"/>
        <v>2695536</v>
      </c>
      <c r="AD125" s="227">
        <f t="shared" si="43"/>
        <v>2695536</v>
      </c>
    </row>
    <row r="126" spans="1:30" x14ac:dyDescent="0.2">
      <c r="A126" t="s">
        <v>298</v>
      </c>
      <c r="B126" t="s">
        <v>23</v>
      </c>
      <c r="D126" s="9">
        <v>657832</v>
      </c>
      <c r="F126" s="9"/>
      <c r="G126" s="254">
        <f t="array" ref="G126">SUM(('Отчет по покупателям УТ'!$J$6:$J$5000='Adj Ageing by Brand'!$B126)*('Отчет по покупателям УТ'!$H$6:$H$5000='Adj Ageing by Brand'!G$8)*('Отчет по покупателям УТ'!$M$6:$M$5000='Adj Ageing by Brand'!$A126)*('Отчет по покупателям УТ'!$K$6:$K$5000))</f>
        <v>657832</v>
      </c>
      <c r="H126" s="254">
        <f t="array" ref="H126">SUM(('Отчет по покупателям УТ'!$J$6:$J$5000='Adj Ageing by Brand'!$B126)*('Отчет по покупателям УТ'!$H$6:$H$5000='Adj Ageing by Brand'!H$8)*('Отчет по покупателям УТ'!$M$6:$M$5000='Adj Ageing by Brand'!$A126)*('Отчет по покупателям УТ'!$K$6:$K$5000))</f>
        <v>0</v>
      </c>
      <c r="I126" s="254">
        <f t="array" ref="I126">SUM(('Отчет по покупателям УТ'!$J$6:$J$5000='Adj Ageing by Brand'!$B126)*('Отчет по покупателям УТ'!$H$6:$H$5000='Adj Ageing by Brand'!I$8)*('Отчет по покупателям УТ'!$M$6:$M$5000='Adj Ageing by Brand'!$A126)*('Отчет по покупателям УТ'!$K$6:$K$5000))</f>
        <v>0</v>
      </c>
      <c r="J126" s="254">
        <f t="array" ref="J126">SUM(('Отчет по покупателям УТ'!$J$6:$J$5000='Adj Ageing by Brand'!$B126)*('Отчет по покупателям УТ'!$H$6:$H$5000='Adj Ageing by Brand'!J$8)*('Отчет по покупателям УТ'!$M$6:$M$5000='Adj Ageing by Brand'!$A126)*('Отчет по покупателям УТ'!$K$6:$K$5000))</f>
        <v>0</v>
      </c>
      <c r="K126" s="254">
        <f t="array" ref="K126">SUM(('Отчет по покупателям УТ'!$J$6:$J$5000='Adj Ageing by Brand'!$B126)*('Отчет по покупателям УТ'!$H$6:$H$5000='Adj Ageing by Brand'!K$8)*('Отчет по покупателям УТ'!$M$6:$M$5000='Adj Ageing by Brand'!$A126)*('Отчет по покупателям УТ'!$K$6:$K$5000))</f>
        <v>0</v>
      </c>
      <c r="L126" s="254">
        <f t="array" ref="L126">SUM(('Отчет по покупателям УТ'!$J$6:$J$5000='Adj Ageing by Brand'!$B126)*('Отчет по покупателям УТ'!$H$6:$H$5000='Adj Ageing by Brand'!L$8)*('Отчет по покупателям УТ'!$M$6:$M$5000='Adj Ageing by Brand'!$A126)*('Отчет по покупателям УТ'!$K$6:$K$5000))</f>
        <v>0</v>
      </c>
      <c r="M126" s="44">
        <f t="shared" si="44"/>
        <v>657832</v>
      </c>
      <c r="R126" s="9" t="b">
        <f t="shared" si="41"/>
        <v>1</v>
      </c>
      <c r="S126" s="228">
        <f t="shared" si="45"/>
        <v>657832</v>
      </c>
      <c r="T126" s="228">
        <f t="shared" si="46"/>
        <v>0</v>
      </c>
      <c r="U126" s="228">
        <f t="shared" si="47"/>
        <v>0</v>
      </c>
      <c r="V126" s="228">
        <f t="shared" si="48"/>
        <v>0</v>
      </c>
      <c r="W126" s="228">
        <f t="shared" si="49"/>
        <v>0</v>
      </c>
      <c r="X126" s="228">
        <f t="shared" si="50"/>
        <v>0</v>
      </c>
      <c r="Y126" s="228">
        <f t="shared" si="51"/>
        <v>0</v>
      </c>
      <c r="Z126" s="228">
        <f t="shared" si="52"/>
        <v>0</v>
      </c>
      <c r="AA126" s="228">
        <f t="shared" si="53"/>
        <v>0</v>
      </c>
      <c r="AB126" s="228">
        <f t="shared" si="54"/>
        <v>0</v>
      </c>
      <c r="AC126" s="247">
        <f t="shared" si="42"/>
        <v>657832</v>
      </c>
      <c r="AD126" s="227">
        <f t="shared" si="43"/>
        <v>657832</v>
      </c>
    </row>
    <row r="127" spans="1:30" x14ac:dyDescent="0.2">
      <c r="A127" t="s">
        <v>310</v>
      </c>
      <c r="B127" t="s">
        <v>23</v>
      </c>
      <c r="D127" s="9">
        <v>5024207.99</v>
      </c>
      <c r="F127" s="9"/>
      <c r="G127" s="254">
        <f t="array" ref="G127">SUM(('Отчет по покупателям УТ'!$J$6:$J$5000='Adj Ageing by Brand'!$B127)*('Отчет по покупателям УТ'!$H$6:$H$5000='Adj Ageing by Brand'!G$8)*('Отчет по покупателям УТ'!$M$6:$M$5000='Adj Ageing by Brand'!$A127)*('Отчет по покупателям УТ'!$K$6:$K$5000))</f>
        <v>5018850</v>
      </c>
      <c r="H127" s="254">
        <f t="array" ref="H127">SUM(('Отчет по покупателям УТ'!$J$6:$J$5000='Adj Ageing by Brand'!$B127)*('Отчет по покупателям УТ'!$H$6:$H$5000='Adj Ageing by Brand'!H$8)*('Отчет по покупателям УТ'!$M$6:$M$5000='Adj Ageing by Brand'!$A127)*('Отчет по покупателям УТ'!$K$6:$K$5000))</f>
        <v>0</v>
      </c>
      <c r="I127" s="254">
        <f t="array" ref="I127">SUM(('Отчет по покупателям УТ'!$J$6:$J$5000='Adj Ageing by Brand'!$B127)*('Отчет по покупателям УТ'!$H$6:$H$5000='Adj Ageing by Brand'!I$8)*('Отчет по покупателям УТ'!$M$6:$M$5000='Adj Ageing by Brand'!$A127)*('Отчет по покупателям УТ'!$K$6:$K$5000))</f>
        <v>5358</v>
      </c>
      <c r="J127" s="254">
        <f t="array" ref="J127">SUM(('Отчет по покупателям УТ'!$J$6:$J$5000='Adj Ageing by Brand'!$B127)*('Отчет по покупателям УТ'!$H$6:$H$5000='Adj Ageing by Brand'!J$8)*('Отчет по покупателям УТ'!$M$6:$M$5000='Adj Ageing by Brand'!$A127)*('Отчет по покупателям УТ'!$K$6:$K$5000))</f>
        <v>0</v>
      </c>
      <c r="K127" s="254">
        <f t="array" ref="K127">SUM(('Отчет по покупателям УТ'!$J$6:$J$5000='Adj Ageing by Brand'!$B127)*('Отчет по покупателям УТ'!$H$6:$H$5000='Adj Ageing by Brand'!K$8)*('Отчет по покупателям УТ'!$M$6:$M$5000='Adj Ageing by Brand'!$A127)*('Отчет по покупателям УТ'!$K$6:$K$5000))</f>
        <v>0</v>
      </c>
      <c r="L127" s="254">
        <f t="array" ref="L127">SUM(('Отчет по покупателям УТ'!$J$6:$J$5000='Adj Ageing by Brand'!$B127)*('Отчет по покупателям УТ'!$H$6:$H$5000='Adj Ageing by Brand'!L$8)*('Отчет по покупателям УТ'!$M$6:$M$5000='Adj Ageing by Brand'!$A127)*('Отчет по покупателям УТ'!$K$6:$K$5000))</f>
        <v>-0.01</v>
      </c>
      <c r="M127" s="44">
        <f t="shared" si="44"/>
        <v>5024207.99</v>
      </c>
      <c r="R127" s="9" t="b">
        <f t="shared" si="41"/>
        <v>1</v>
      </c>
      <c r="S127" s="228">
        <f t="shared" si="45"/>
        <v>5018850</v>
      </c>
      <c r="T127" s="228">
        <f t="shared" si="46"/>
        <v>0</v>
      </c>
      <c r="U127" s="228">
        <f t="shared" si="47"/>
        <v>0</v>
      </c>
      <c r="V127" s="228">
        <f t="shared" si="48"/>
        <v>0</v>
      </c>
      <c r="W127" s="228">
        <f t="shared" si="49"/>
        <v>5357.99</v>
      </c>
      <c r="X127" s="228">
        <f t="shared" si="50"/>
        <v>-0.01</v>
      </c>
      <c r="Y127" s="228">
        <f t="shared" si="51"/>
        <v>0</v>
      </c>
      <c r="Z127" s="228">
        <f t="shared" si="52"/>
        <v>-0.01</v>
      </c>
      <c r="AA127" s="228">
        <f t="shared" si="53"/>
        <v>0</v>
      </c>
      <c r="AB127" s="228">
        <f t="shared" si="54"/>
        <v>0</v>
      </c>
      <c r="AC127" s="247">
        <f t="shared" si="42"/>
        <v>5024207.99</v>
      </c>
      <c r="AD127" s="227">
        <f t="shared" si="43"/>
        <v>5024207.99</v>
      </c>
    </row>
    <row r="128" spans="1:30" x14ac:dyDescent="0.2">
      <c r="A128" t="s">
        <v>315</v>
      </c>
      <c r="B128" t="s">
        <v>22</v>
      </c>
      <c r="D128" s="9">
        <v>-536241.53</v>
      </c>
      <c r="F128" s="9"/>
      <c r="G128" s="254">
        <f t="array" ref="G128">SUM(('Отчет по покупателям УТ'!$J$6:$J$5000='Adj Ageing by Brand'!$B128)*('Отчет по покупателям УТ'!$H$6:$H$5000='Adj Ageing by Brand'!G$8)*('Отчет по покупателям УТ'!$M$6:$M$5000='Adj Ageing by Brand'!$A128)*('Отчет по покупателям УТ'!$K$6:$K$5000))</f>
        <v>0</v>
      </c>
      <c r="H128" s="254">
        <f t="array" ref="H128">SUM(('Отчет по покупателям УТ'!$J$6:$J$5000='Adj Ageing by Brand'!$B128)*('Отчет по покупателям УТ'!$H$6:$H$5000='Adj Ageing by Brand'!H$8)*('Отчет по покупателям УТ'!$M$6:$M$5000='Adj Ageing by Brand'!$A128)*('Отчет по покупателям УТ'!$K$6:$K$5000))</f>
        <v>0</v>
      </c>
      <c r="I128" s="254">
        <f t="array" ref="I128">SUM(('Отчет по покупателям УТ'!$J$6:$J$5000='Adj Ageing by Brand'!$B128)*('Отчет по покупателям УТ'!$H$6:$H$5000='Adj Ageing by Brand'!I$8)*('Отчет по покупателям УТ'!$M$6:$M$5000='Adj Ageing by Brand'!$A128)*('Отчет по покупателям УТ'!$K$6:$K$5000))</f>
        <v>0</v>
      </c>
      <c r="J128" s="254">
        <f t="array" ref="J128">SUM(('Отчет по покупателям УТ'!$J$6:$J$5000='Adj Ageing by Brand'!$B128)*('Отчет по покупателям УТ'!$H$6:$H$5000='Adj Ageing by Brand'!J$8)*('Отчет по покупателям УТ'!$M$6:$M$5000='Adj Ageing by Brand'!$A128)*('Отчет по покупателям УТ'!$K$6:$K$5000))</f>
        <v>0</v>
      </c>
      <c r="K128" s="254">
        <f t="array" ref="K128">SUM(('Отчет по покупателям УТ'!$J$6:$J$5000='Adj Ageing by Brand'!$B128)*('Отчет по покупателям УТ'!$H$6:$H$5000='Adj Ageing by Brand'!K$8)*('Отчет по покупателям УТ'!$M$6:$M$5000='Adj Ageing by Brand'!$A128)*('Отчет по покупателям УТ'!$K$6:$K$5000))</f>
        <v>0</v>
      </c>
      <c r="L128" s="254">
        <f t="array" ref="L128">SUM(('Отчет по покупателям УТ'!$J$6:$J$5000='Adj Ageing by Brand'!$B128)*('Отчет по покупателям УТ'!$H$6:$H$5000='Adj Ageing by Brand'!L$8)*('Отчет по покупателям УТ'!$M$6:$M$5000='Adj Ageing by Brand'!$A128)*('Отчет по покупателям УТ'!$K$6:$K$5000))</f>
        <v>-536241.53</v>
      </c>
      <c r="M128" s="44">
        <f t="shared" ref="M128:M141" si="55">SUM(G128:L128)</f>
        <v>-536241.53</v>
      </c>
      <c r="R128" s="9" t="b">
        <f t="shared" ref="R128:R141" si="56">M128=SUM(S128,U128,W128,Y128,AA128,AB128)</f>
        <v>1</v>
      </c>
      <c r="S128" s="228">
        <f t="shared" ref="S128:S141" si="57">IF(G128+T128&lt;0,0,G128+T128)</f>
        <v>0</v>
      </c>
      <c r="T128" s="228">
        <f t="shared" ref="T128:T141" si="58">IF(L128+K128+J128+I128+H128&lt;0,L128+K128+J128+I128+H128,0)</f>
        <v>-536241.53</v>
      </c>
      <c r="U128" s="228">
        <f t="shared" ref="U128:U141" si="59">IF(H128+V128&lt;0,0,H128+V128)</f>
        <v>0</v>
      </c>
      <c r="V128" s="228">
        <f t="shared" ref="V128:V141" si="60">IF(L128+K128+J128+I128&lt;0,L128+K128+J128+I128,0)</f>
        <v>-536241.53</v>
      </c>
      <c r="W128" s="228">
        <f t="shared" ref="W128:W141" si="61">IF(I128+X128&lt;0,0,I128+X128)</f>
        <v>0</v>
      </c>
      <c r="X128" s="228">
        <f t="shared" ref="X128:X141" si="62">IF(L128+K128+J128&lt;0,L128+K128+J128,0)</f>
        <v>-536241.53</v>
      </c>
      <c r="Y128" s="228">
        <f t="shared" ref="Y128:Y141" si="63">IF(J128+Z128&lt;0,0,J128+Z128)</f>
        <v>0</v>
      </c>
      <c r="Z128" s="228">
        <f t="shared" ref="Z128:Z141" si="64">IF(L128+K128&lt;0,L128+K128,0)</f>
        <v>-536241.53</v>
      </c>
      <c r="AA128" s="228">
        <f t="shared" ref="AA128:AA141" si="65">IF(K128+L128&lt;0,0,K128+L128)</f>
        <v>0</v>
      </c>
      <c r="AB128" s="228">
        <f t="shared" ref="AB128:AB141" si="66">IF(SUM(G128:L128)&lt;0,M128,0)</f>
        <v>-536241.53</v>
      </c>
      <c r="AC128" s="247">
        <f t="shared" ref="AC128:AC141" si="67">SUM(AB128,AA128,Y128,W128,U128,S128)</f>
        <v>-536241.53</v>
      </c>
      <c r="AD128" s="227">
        <f t="shared" si="43"/>
        <v>0</v>
      </c>
    </row>
    <row r="129" spans="1:30" x14ac:dyDescent="0.2">
      <c r="A129" t="s">
        <v>315</v>
      </c>
      <c r="B129" t="s">
        <v>16</v>
      </c>
      <c r="D129" s="9">
        <v>-736620.07000000007</v>
      </c>
      <c r="F129" s="9"/>
      <c r="G129" s="254">
        <f t="array" ref="G129">SUM(('Отчет по покупателям УТ'!$J$6:$J$5000='Adj Ageing by Brand'!$B129)*('Отчет по покупателям УТ'!$H$6:$H$5000='Adj Ageing by Brand'!G$8)*('Отчет по покупателям УТ'!$M$6:$M$5000='Adj Ageing by Brand'!$A129)*('Отчет по покупателям УТ'!$K$6:$K$5000))</f>
        <v>0</v>
      </c>
      <c r="H129" s="254">
        <f t="array" ref="H129">SUM(('Отчет по покупателям УТ'!$J$6:$J$5000='Adj Ageing by Brand'!$B129)*('Отчет по покупателям УТ'!$H$6:$H$5000='Adj Ageing by Brand'!H$8)*('Отчет по покупателям УТ'!$M$6:$M$5000='Adj Ageing by Brand'!$A129)*('Отчет по покупателям УТ'!$K$6:$K$5000))</f>
        <v>0</v>
      </c>
      <c r="I129" s="254">
        <f t="array" ref="I129">SUM(('Отчет по покупателям УТ'!$J$6:$J$5000='Adj Ageing by Brand'!$B129)*('Отчет по покупателям УТ'!$H$6:$H$5000='Adj Ageing by Brand'!I$8)*('Отчет по покупателям УТ'!$M$6:$M$5000='Adj Ageing by Brand'!$A129)*('Отчет по покупателям УТ'!$K$6:$K$5000))</f>
        <v>0</v>
      </c>
      <c r="J129" s="254">
        <f t="array" ref="J129">SUM(('Отчет по покупателям УТ'!$J$6:$J$5000='Adj Ageing by Brand'!$B129)*('Отчет по покупателям УТ'!$H$6:$H$5000='Adj Ageing by Brand'!J$8)*('Отчет по покупателям УТ'!$M$6:$M$5000='Adj Ageing by Brand'!$A129)*('Отчет по покупателям УТ'!$K$6:$K$5000))</f>
        <v>0</v>
      </c>
      <c r="K129" s="254">
        <f t="array" ref="K129">SUM(('Отчет по покупателям УТ'!$J$6:$J$5000='Adj Ageing by Brand'!$B129)*('Отчет по покупателям УТ'!$H$6:$H$5000='Adj Ageing by Brand'!K$8)*('Отчет по покупателям УТ'!$M$6:$M$5000='Adj Ageing by Brand'!$A129)*('Отчет по покупателям УТ'!$K$6:$K$5000))</f>
        <v>0</v>
      </c>
      <c r="L129" s="254">
        <f t="array" ref="L129">SUM(('Отчет по покупателям УТ'!$J$6:$J$5000='Adj Ageing by Brand'!$B129)*('Отчет по покупателям УТ'!$H$6:$H$5000='Adj Ageing by Brand'!L$8)*('Отчет по покупателям УТ'!$M$6:$M$5000='Adj Ageing by Brand'!$A129)*('Отчет по покупателям УТ'!$K$6:$K$5000))</f>
        <v>-736620.07000000007</v>
      </c>
      <c r="M129" s="44">
        <f t="shared" si="55"/>
        <v>-736620.07000000007</v>
      </c>
      <c r="R129" s="9" t="b">
        <f t="shared" si="56"/>
        <v>1</v>
      </c>
      <c r="S129" s="228">
        <f t="shared" si="57"/>
        <v>0</v>
      </c>
      <c r="T129" s="228">
        <f t="shared" si="58"/>
        <v>-736620.07000000007</v>
      </c>
      <c r="U129" s="228">
        <f t="shared" si="59"/>
        <v>0</v>
      </c>
      <c r="V129" s="228">
        <f t="shared" si="60"/>
        <v>-736620.07000000007</v>
      </c>
      <c r="W129" s="228">
        <f t="shared" si="61"/>
        <v>0</v>
      </c>
      <c r="X129" s="228">
        <f t="shared" si="62"/>
        <v>-736620.07000000007</v>
      </c>
      <c r="Y129" s="228">
        <f t="shared" si="63"/>
        <v>0</v>
      </c>
      <c r="Z129" s="228">
        <f t="shared" si="64"/>
        <v>-736620.07000000007</v>
      </c>
      <c r="AA129" s="228">
        <f t="shared" si="65"/>
        <v>0</v>
      </c>
      <c r="AB129" s="228">
        <f t="shared" si="66"/>
        <v>-736620.07000000007</v>
      </c>
      <c r="AC129" s="247">
        <f t="shared" si="67"/>
        <v>-736620.07000000007</v>
      </c>
      <c r="AD129" s="227">
        <f t="shared" si="43"/>
        <v>0</v>
      </c>
    </row>
    <row r="130" spans="1:30" x14ac:dyDescent="0.2">
      <c r="A130" t="s">
        <v>315</v>
      </c>
      <c r="B130" t="s">
        <v>31</v>
      </c>
      <c r="D130" s="9">
        <v>-72521.31</v>
      </c>
      <c r="F130" s="9"/>
      <c r="G130" s="254">
        <f t="array" ref="G130">SUM(('Отчет по покупателям УТ'!$J$6:$J$5000='Adj Ageing by Brand'!$B130)*('Отчет по покупателям УТ'!$H$6:$H$5000='Adj Ageing by Brand'!G$8)*('Отчет по покупателям УТ'!$M$6:$M$5000='Adj Ageing by Brand'!$A130)*('Отчет по покупателям УТ'!$K$6:$K$5000))</f>
        <v>0</v>
      </c>
      <c r="H130" s="254">
        <f t="array" ref="H130">SUM(('Отчет по покупателям УТ'!$J$6:$J$5000='Adj Ageing by Brand'!$B130)*('Отчет по покупателям УТ'!$H$6:$H$5000='Adj Ageing by Brand'!H$8)*('Отчет по покупателям УТ'!$M$6:$M$5000='Adj Ageing by Brand'!$A130)*('Отчет по покупателям УТ'!$K$6:$K$5000))</f>
        <v>0</v>
      </c>
      <c r="I130" s="254">
        <f t="array" ref="I130">SUM(('Отчет по покупателям УТ'!$J$6:$J$5000='Adj Ageing by Brand'!$B130)*('Отчет по покупателям УТ'!$H$6:$H$5000='Adj Ageing by Brand'!I$8)*('Отчет по покупателям УТ'!$M$6:$M$5000='Adj Ageing by Brand'!$A130)*('Отчет по покупателям УТ'!$K$6:$K$5000))</f>
        <v>0</v>
      </c>
      <c r="J130" s="254">
        <f t="array" ref="J130">SUM(('Отчет по покупателям УТ'!$J$6:$J$5000='Adj Ageing by Brand'!$B130)*('Отчет по покупателям УТ'!$H$6:$H$5000='Adj Ageing by Brand'!J$8)*('Отчет по покупателям УТ'!$M$6:$M$5000='Adj Ageing by Brand'!$A130)*('Отчет по покупателям УТ'!$K$6:$K$5000))</f>
        <v>0</v>
      </c>
      <c r="K130" s="254">
        <f t="array" ref="K130">SUM(('Отчет по покупателям УТ'!$J$6:$J$5000='Adj Ageing by Brand'!$B130)*('Отчет по покупателям УТ'!$H$6:$H$5000='Adj Ageing by Brand'!K$8)*('Отчет по покупателям УТ'!$M$6:$M$5000='Adj Ageing by Brand'!$A130)*('Отчет по покупателям УТ'!$K$6:$K$5000))</f>
        <v>0</v>
      </c>
      <c r="L130" s="254">
        <f t="array" ref="L130">SUM(('Отчет по покупателям УТ'!$J$6:$J$5000='Adj Ageing by Brand'!$B130)*('Отчет по покупателям УТ'!$H$6:$H$5000='Adj Ageing by Brand'!L$8)*('Отчет по покупателям УТ'!$M$6:$M$5000='Adj Ageing by Brand'!$A130)*('Отчет по покупателям УТ'!$K$6:$K$5000))</f>
        <v>-72521.31</v>
      </c>
      <c r="M130" s="44">
        <f t="shared" si="55"/>
        <v>-72521.31</v>
      </c>
      <c r="R130" s="9" t="b">
        <f t="shared" si="56"/>
        <v>1</v>
      </c>
      <c r="S130" s="228">
        <f t="shared" si="57"/>
        <v>0</v>
      </c>
      <c r="T130" s="228">
        <f t="shared" si="58"/>
        <v>-72521.31</v>
      </c>
      <c r="U130" s="228">
        <f t="shared" si="59"/>
        <v>0</v>
      </c>
      <c r="V130" s="228">
        <f t="shared" si="60"/>
        <v>-72521.31</v>
      </c>
      <c r="W130" s="228">
        <f t="shared" si="61"/>
        <v>0</v>
      </c>
      <c r="X130" s="228">
        <f t="shared" si="62"/>
        <v>-72521.31</v>
      </c>
      <c r="Y130" s="228">
        <f t="shared" si="63"/>
        <v>0</v>
      </c>
      <c r="Z130" s="228">
        <f t="shared" si="64"/>
        <v>-72521.31</v>
      </c>
      <c r="AA130" s="228">
        <f t="shared" si="65"/>
        <v>0</v>
      </c>
      <c r="AB130" s="228">
        <f t="shared" si="66"/>
        <v>-72521.31</v>
      </c>
      <c r="AC130" s="247">
        <f t="shared" si="67"/>
        <v>-72521.31</v>
      </c>
      <c r="AD130" s="227">
        <f t="shared" si="43"/>
        <v>0</v>
      </c>
    </row>
    <row r="131" spans="1:30" x14ac:dyDescent="0.2">
      <c r="A131" t="s">
        <v>324</v>
      </c>
      <c r="B131" t="s">
        <v>22</v>
      </c>
      <c r="D131" s="9">
        <v>582193.69999999995</v>
      </c>
      <c r="F131" s="9"/>
      <c r="G131" s="254">
        <f t="array" ref="G131">SUM(('Отчет по покупателям УТ'!$J$6:$J$5000='Adj Ageing by Brand'!$B131)*('Отчет по покупателям УТ'!$H$6:$H$5000='Adj Ageing by Brand'!G$8)*('Отчет по покупателям УТ'!$M$6:$M$5000='Adj Ageing by Brand'!$A131)*('Отчет по покупателям УТ'!$K$6:$K$5000))</f>
        <v>911986.4</v>
      </c>
      <c r="H131" s="254">
        <f t="array" ref="H131">SUM(('Отчет по покупателям УТ'!$J$6:$J$5000='Adj Ageing by Brand'!$B131)*('Отчет по покупателям УТ'!$H$6:$H$5000='Adj Ageing by Brand'!H$8)*('Отчет по покупателям УТ'!$M$6:$M$5000='Adj Ageing by Brand'!$A131)*('Отчет по покупателям УТ'!$K$6:$K$5000))</f>
        <v>0</v>
      </c>
      <c r="I131" s="254">
        <f t="array" ref="I131">SUM(('Отчет по покупателям УТ'!$J$6:$J$5000='Adj Ageing by Brand'!$B131)*('Отчет по покупателям УТ'!$H$6:$H$5000='Adj Ageing by Brand'!I$8)*('Отчет по покупателям УТ'!$M$6:$M$5000='Adj Ageing by Brand'!$A131)*('Отчет по покупателям УТ'!$K$6:$K$5000))</f>
        <v>0</v>
      </c>
      <c r="J131" s="254">
        <f t="array" ref="J131">SUM(('Отчет по покупателям УТ'!$J$6:$J$5000='Adj Ageing by Brand'!$B131)*('Отчет по покупателям УТ'!$H$6:$H$5000='Adj Ageing by Brand'!J$8)*('Отчет по покупателям УТ'!$M$6:$M$5000='Adj Ageing by Brand'!$A131)*('Отчет по покупателям УТ'!$K$6:$K$5000))</f>
        <v>0</v>
      </c>
      <c r="K131" s="254">
        <f t="array" ref="K131">SUM(('Отчет по покупателям УТ'!$J$6:$J$5000='Adj Ageing by Brand'!$B131)*('Отчет по покупателям УТ'!$H$6:$H$5000='Adj Ageing by Brand'!K$8)*('Отчет по покупателям УТ'!$M$6:$M$5000='Adj Ageing by Brand'!$A131)*('Отчет по покупателям УТ'!$K$6:$K$5000))</f>
        <v>0</v>
      </c>
      <c r="L131" s="254">
        <f t="array" ref="L131">SUM(('Отчет по покупателям УТ'!$J$6:$J$5000='Adj Ageing by Brand'!$B131)*('Отчет по покупателям УТ'!$H$6:$H$5000='Adj Ageing by Brand'!L$8)*('Отчет по покупателям УТ'!$M$6:$M$5000='Adj Ageing by Brand'!$A131)*('Отчет по покупателям УТ'!$K$6:$K$5000))</f>
        <v>-329792.7</v>
      </c>
      <c r="M131" s="44">
        <f t="shared" si="55"/>
        <v>582193.69999999995</v>
      </c>
      <c r="R131" s="9" t="b">
        <f t="shared" si="56"/>
        <v>1</v>
      </c>
      <c r="S131" s="228">
        <f t="shared" si="57"/>
        <v>582193.69999999995</v>
      </c>
      <c r="T131" s="228">
        <f t="shared" si="58"/>
        <v>-329792.7</v>
      </c>
      <c r="U131" s="228">
        <f t="shared" si="59"/>
        <v>0</v>
      </c>
      <c r="V131" s="228">
        <f t="shared" si="60"/>
        <v>-329792.7</v>
      </c>
      <c r="W131" s="228">
        <f t="shared" si="61"/>
        <v>0</v>
      </c>
      <c r="X131" s="228">
        <f t="shared" si="62"/>
        <v>-329792.7</v>
      </c>
      <c r="Y131" s="228">
        <f t="shared" si="63"/>
        <v>0</v>
      </c>
      <c r="Z131" s="228">
        <f t="shared" si="64"/>
        <v>-329792.7</v>
      </c>
      <c r="AA131" s="228">
        <f t="shared" si="65"/>
        <v>0</v>
      </c>
      <c r="AB131" s="228">
        <f t="shared" si="66"/>
        <v>0</v>
      </c>
      <c r="AC131" s="247">
        <f t="shared" si="67"/>
        <v>582193.69999999995</v>
      </c>
      <c r="AD131" s="227">
        <f t="shared" si="43"/>
        <v>582193.69999999995</v>
      </c>
    </row>
    <row r="132" spans="1:30" x14ac:dyDescent="0.2">
      <c r="A132" t="s">
        <v>324</v>
      </c>
      <c r="B132" t="s">
        <v>16</v>
      </c>
      <c r="D132" s="9">
        <v>219111.15</v>
      </c>
      <c r="F132" s="9"/>
      <c r="G132" s="254">
        <f t="array" ref="G132">SUM(('Отчет по покупателям УТ'!$J$6:$J$5000='Adj Ageing by Brand'!$B132)*('Отчет по покупателям УТ'!$H$6:$H$5000='Adj Ageing by Brand'!G$8)*('Отчет по покупателям УТ'!$M$6:$M$5000='Adj Ageing by Brand'!$A132)*('Отчет по покупателям УТ'!$K$6:$K$5000))</f>
        <v>408576</v>
      </c>
      <c r="H132" s="254">
        <f t="array" ref="H132">SUM(('Отчет по покупателям УТ'!$J$6:$J$5000='Adj Ageing by Brand'!$B132)*('Отчет по покупателям УТ'!$H$6:$H$5000='Adj Ageing by Brand'!H$8)*('Отчет по покупателям УТ'!$M$6:$M$5000='Adj Ageing by Brand'!$A132)*('Отчет по покупателям УТ'!$K$6:$K$5000))</f>
        <v>0</v>
      </c>
      <c r="I132" s="254">
        <f t="array" ref="I132">SUM(('Отчет по покупателям УТ'!$J$6:$J$5000='Adj Ageing by Brand'!$B132)*('Отчет по покупателям УТ'!$H$6:$H$5000='Adj Ageing by Brand'!I$8)*('Отчет по покупателям УТ'!$M$6:$M$5000='Adj Ageing by Brand'!$A132)*('Отчет по покупателям УТ'!$K$6:$K$5000))</f>
        <v>0</v>
      </c>
      <c r="J132" s="254">
        <f t="array" ref="J132">SUM(('Отчет по покупателям УТ'!$J$6:$J$5000='Adj Ageing by Brand'!$B132)*('Отчет по покупателям УТ'!$H$6:$H$5000='Adj Ageing by Brand'!J$8)*('Отчет по покупателям УТ'!$M$6:$M$5000='Adj Ageing by Brand'!$A132)*('Отчет по покупателям УТ'!$K$6:$K$5000))</f>
        <v>0</v>
      </c>
      <c r="K132" s="254">
        <f t="array" ref="K132">SUM(('Отчет по покупателям УТ'!$J$6:$J$5000='Adj Ageing by Brand'!$B132)*('Отчет по покупателям УТ'!$H$6:$H$5000='Adj Ageing by Brand'!K$8)*('Отчет по покупателям УТ'!$M$6:$M$5000='Adj Ageing by Brand'!$A132)*('Отчет по покупателям УТ'!$K$6:$K$5000))</f>
        <v>0</v>
      </c>
      <c r="L132" s="254">
        <f t="array" ref="L132">SUM(('Отчет по покупателям УТ'!$J$6:$J$5000='Adj Ageing by Brand'!$B132)*('Отчет по покупателям УТ'!$H$6:$H$5000='Adj Ageing by Brand'!L$8)*('Отчет по покупателям УТ'!$M$6:$M$5000='Adj Ageing by Brand'!$A132)*('Отчет по покупателям УТ'!$K$6:$K$5000))</f>
        <v>-189464.85</v>
      </c>
      <c r="M132" s="44">
        <f t="shared" si="55"/>
        <v>219111.15</v>
      </c>
      <c r="R132" s="9" t="b">
        <f t="shared" si="56"/>
        <v>1</v>
      </c>
      <c r="S132" s="228">
        <f t="shared" si="57"/>
        <v>219111.15</v>
      </c>
      <c r="T132" s="228">
        <f t="shared" si="58"/>
        <v>-189464.85</v>
      </c>
      <c r="U132" s="228">
        <f t="shared" si="59"/>
        <v>0</v>
      </c>
      <c r="V132" s="228">
        <f t="shared" si="60"/>
        <v>-189464.85</v>
      </c>
      <c r="W132" s="228">
        <f t="shared" si="61"/>
        <v>0</v>
      </c>
      <c r="X132" s="228">
        <f t="shared" si="62"/>
        <v>-189464.85</v>
      </c>
      <c r="Y132" s="228">
        <f t="shared" si="63"/>
        <v>0</v>
      </c>
      <c r="Z132" s="228">
        <f t="shared" si="64"/>
        <v>-189464.85</v>
      </c>
      <c r="AA132" s="228">
        <f t="shared" si="65"/>
        <v>0</v>
      </c>
      <c r="AB132" s="228">
        <f t="shared" si="66"/>
        <v>0</v>
      </c>
      <c r="AC132" s="247">
        <f t="shared" si="67"/>
        <v>219111.15</v>
      </c>
      <c r="AD132" s="227">
        <f t="shared" si="43"/>
        <v>219111.15</v>
      </c>
    </row>
    <row r="133" spans="1:30" x14ac:dyDescent="0.2">
      <c r="A133" t="s">
        <v>324</v>
      </c>
      <c r="B133" t="s">
        <v>31</v>
      </c>
      <c r="D133" s="9">
        <v>24760.55</v>
      </c>
      <c r="F133" s="9"/>
      <c r="G133" s="254">
        <f t="array" ref="G133">SUM(('Отчет по покупателям УТ'!$J$6:$J$5000='Adj Ageing by Brand'!$B133)*('Отчет по покупателям УТ'!$H$6:$H$5000='Adj Ageing by Brand'!G$8)*('Отчет по покупателям УТ'!$M$6:$M$5000='Adj Ageing by Brand'!$A133)*('Отчет по покупателям УТ'!$K$6:$K$5000))</f>
        <v>49784</v>
      </c>
      <c r="H133" s="254">
        <f t="array" ref="H133">SUM(('Отчет по покупателям УТ'!$J$6:$J$5000='Adj Ageing by Brand'!$B133)*('Отчет по покупателям УТ'!$H$6:$H$5000='Adj Ageing by Brand'!H$8)*('Отчет по покупателям УТ'!$M$6:$M$5000='Adj Ageing by Brand'!$A133)*('Отчет по покупателям УТ'!$K$6:$K$5000))</f>
        <v>0</v>
      </c>
      <c r="I133" s="254">
        <f t="array" ref="I133">SUM(('Отчет по покупателям УТ'!$J$6:$J$5000='Adj Ageing by Brand'!$B133)*('Отчет по покупателям УТ'!$H$6:$H$5000='Adj Ageing by Brand'!I$8)*('Отчет по покупателям УТ'!$M$6:$M$5000='Adj Ageing by Brand'!$A133)*('Отчет по покупателям УТ'!$K$6:$K$5000))</f>
        <v>0</v>
      </c>
      <c r="J133" s="254">
        <f t="array" ref="J133">SUM(('Отчет по покупателям УТ'!$J$6:$J$5000='Adj Ageing by Brand'!$B133)*('Отчет по покупателям УТ'!$H$6:$H$5000='Adj Ageing by Brand'!J$8)*('Отчет по покупателям УТ'!$M$6:$M$5000='Adj Ageing by Brand'!$A133)*('Отчет по покупателям УТ'!$K$6:$K$5000))</f>
        <v>0</v>
      </c>
      <c r="K133" s="254">
        <f t="array" ref="K133">SUM(('Отчет по покупателям УТ'!$J$6:$J$5000='Adj Ageing by Brand'!$B133)*('Отчет по покупателям УТ'!$H$6:$H$5000='Adj Ageing by Brand'!K$8)*('Отчет по покупателям УТ'!$M$6:$M$5000='Adj Ageing by Brand'!$A133)*('Отчет по покупателям УТ'!$K$6:$K$5000))</f>
        <v>0</v>
      </c>
      <c r="L133" s="254">
        <f t="array" ref="L133">SUM(('Отчет по покупателям УТ'!$J$6:$J$5000='Adj Ageing by Brand'!$B133)*('Отчет по покупателям УТ'!$H$6:$H$5000='Adj Ageing by Brand'!L$8)*('Отчет по покупателям УТ'!$M$6:$M$5000='Adj Ageing by Brand'!$A133)*('Отчет по покупателям УТ'!$K$6:$K$5000))</f>
        <v>-25023.45</v>
      </c>
      <c r="M133" s="44">
        <f t="shared" si="55"/>
        <v>24760.55</v>
      </c>
      <c r="R133" s="9" t="b">
        <f t="shared" si="56"/>
        <v>1</v>
      </c>
      <c r="S133" s="228">
        <f t="shared" si="57"/>
        <v>24760.55</v>
      </c>
      <c r="T133" s="228">
        <f t="shared" si="58"/>
        <v>-25023.45</v>
      </c>
      <c r="U133" s="228">
        <f t="shared" si="59"/>
        <v>0</v>
      </c>
      <c r="V133" s="228">
        <f t="shared" si="60"/>
        <v>-25023.45</v>
      </c>
      <c r="W133" s="228">
        <f t="shared" si="61"/>
        <v>0</v>
      </c>
      <c r="X133" s="228">
        <f t="shared" si="62"/>
        <v>-25023.45</v>
      </c>
      <c r="Y133" s="228">
        <f t="shared" si="63"/>
        <v>0</v>
      </c>
      <c r="Z133" s="228">
        <f t="shared" si="64"/>
        <v>-25023.45</v>
      </c>
      <c r="AA133" s="228">
        <f t="shared" si="65"/>
        <v>0</v>
      </c>
      <c r="AB133" s="228">
        <f t="shared" si="66"/>
        <v>0</v>
      </c>
      <c r="AC133" s="247">
        <f t="shared" si="67"/>
        <v>24760.55</v>
      </c>
      <c r="AD133" s="227">
        <f t="shared" si="43"/>
        <v>24760.55</v>
      </c>
    </row>
    <row r="134" spans="1:30" x14ac:dyDescent="0.2">
      <c r="A134" t="s">
        <v>327</v>
      </c>
      <c r="B134" t="s">
        <v>23</v>
      </c>
      <c r="D134" s="9">
        <v>-85944.35</v>
      </c>
      <c r="F134" s="9"/>
      <c r="G134" s="254">
        <f t="array" ref="G134">SUM(('Отчет по покупателям УТ'!$J$6:$J$5000='Adj Ageing by Brand'!$B134)*('Отчет по покупателям УТ'!$H$6:$H$5000='Adj Ageing by Brand'!G$8)*('Отчет по покупателям УТ'!$M$6:$M$5000='Adj Ageing by Brand'!$A134)*('Отчет по покупателям УТ'!$K$6:$K$5000))</f>
        <v>0</v>
      </c>
      <c r="H134" s="254">
        <f t="array" ref="H134">SUM(('Отчет по покупателям УТ'!$J$6:$J$5000='Adj Ageing by Brand'!$B134)*('Отчет по покупателям УТ'!$H$6:$H$5000='Adj Ageing by Brand'!H$8)*('Отчет по покупателям УТ'!$M$6:$M$5000='Adj Ageing by Brand'!$A134)*('Отчет по покупателям УТ'!$K$6:$K$5000))</f>
        <v>0</v>
      </c>
      <c r="I134" s="254">
        <f t="array" ref="I134">SUM(('Отчет по покупателям УТ'!$J$6:$J$5000='Adj Ageing by Brand'!$B134)*('Отчет по покупателям УТ'!$H$6:$H$5000='Adj Ageing by Brand'!I$8)*('Отчет по покупателям УТ'!$M$6:$M$5000='Adj Ageing by Brand'!$A134)*('Отчет по покупателям УТ'!$K$6:$K$5000))</f>
        <v>0</v>
      </c>
      <c r="J134" s="254">
        <f t="array" ref="J134">SUM(('Отчет по покупателям УТ'!$J$6:$J$5000='Adj Ageing by Brand'!$B134)*('Отчет по покупателям УТ'!$H$6:$H$5000='Adj Ageing by Brand'!J$8)*('Отчет по покупателям УТ'!$M$6:$M$5000='Adj Ageing by Brand'!$A134)*('Отчет по покупателям УТ'!$K$6:$K$5000))</f>
        <v>0</v>
      </c>
      <c r="K134" s="254">
        <f t="array" ref="K134">SUM(('Отчет по покупателям УТ'!$J$6:$J$5000='Adj Ageing by Brand'!$B134)*('Отчет по покупателям УТ'!$H$6:$H$5000='Adj Ageing by Brand'!K$8)*('Отчет по покупателям УТ'!$M$6:$M$5000='Adj Ageing by Brand'!$A134)*('Отчет по покупателям УТ'!$K$6:$K$5000))</f>
        <v>0</v>
      </c>
      <c r="L134" s="254">
        <f t="array" ref="L134">SUM(('Отчет по покупателям УТ'!$J$6:$J$5000='Adj Ageing by Brand'!$B134)*('Отчет по покупателям УТ'!$H$6:$H$5000='Adj Ageing by Brand'!L$8)*('Отчет по покупателям УТ'!$M$6:$M$5000='Adj Ageing by Brand'!$A134)*('Отчет по покупателям УТ'!$K$6:$K$5000))</f>
        <v>-85944.35</v>
      </c>
      <c r="M134" s="44">
        <f t="shared" si="55"/>
        <v>-85944.35</v>
      </c>
      <c r="R134" s="9" t="b">
        <f t="shared" si="56"/>
        <v>1</v>
      </c>
      <c r="S134" s="228">
        <f t="shared" si="57"/>
        <v>0</v>
      </c>
      <c r="T134" s="228">
        <f t="shared" si="58"/>
        <v>-85944.35</v>
      </c>
      <c r="U134" s="228">
        <f t="shared" si="59"/>
        <v>0</v>
      </c>
      <c r="V134" s="228">
        <f t="shared" si="60"/>
        <v>-85944.35</v>
      </c>
      <c r="W134" s="228">
        <f t="shared" si="61"/>
        <v>0</v>
      </c>
      <c r="X134" s="228">
        <f t="shared" si="62"/>
        <v>-85944.35</v>
      </c>
      <c r="Y134" s="228">
        <f t="shared" si="63"/>
        <v>0</v>
      </c>
      <c r="Z134" s="228">
        <f t="shared" si="64"/>
        <v>-85944.35</v>
      </c>
      <c r="AA134" s="228">
        <f t="shared" si="65"/>
        <v>0</v>
      </c>
      <c r="AB134" s="228">
        <f t="shared" si="66"/>
        <v>-85944.35</v>
      </c>
      <c r="AC134" s="247">
        <f t="shared" si="67"/>
        <v>-85944.35</v>
      </c>
      <c r="AD134" s="227">
        <f t="shared" si="43"/>
        <v>0</v>
      </c>
    </row>
    <row r="135" spans="1:30" x14ac:dyDescent="0.2">
      <c r="A135" t="s">
        <v>328</v>
      </c>
      <c r="B135" t="s">
        <v>22</v>
      </c>
      <c r="D135" s="9">
        <v>-273140.3</v>
      </c>
      <c r="F135" s="9"/>
      <c r="G135" s="254">
        <f t="array" ref="G135">SUM(('Отчет по покупателям УТ'!$J$6:$J$5000='Adj Ageing by Brand'!$B135)*('Отчет по покупателям УТ'!$H$6:$H$5000='Adj Ageing by Brand'!G$8)*('Отчет по покупателям УТ'!$M$6:$M$5000='Adj Ageing by Brand'!$A135)*('Отчет по покупателям УТ'!$K$6:$K$5000))</f>
        <v>0</v>
      </c>
      <c r="H135" s="254">
        <f t="array" ref="H135">SUM(('Отчет по покупателям УТ'!$J$6:$J$5000='Adj Ageing by Brand'!$B135)*('Отчет по покупателям УТ'!$H$6:$H$5000='Adj Ageing by Brand'!H$8)*('Отчет по покупателям УТ'!$M$6:$M$5000='Adj Ageing by Brand'!$A135)*('Отчет по покупателям УТ'!$K$6:$K$5000))</f>
        <v>0</v>
      </c>
      <c r="I135" s="254">
        <f t="array" ref="I135">SUM(('Отчет по покупателям УТ'!$J$6:$J$5000='Adj Ageing by Brand'!$B135)*('Отчет по покупателям УТ'!$H$6:$H$5000='Adj Ageing by Brand'!I$8)*('Отчет по покупателям УТ'!$M$6:$M$5000='Adj Ageing by Brand'!$A135)*('Отчет по покупателям УТ'!$K$6:$K$5000))</f>
        <v>0</v>
      </c>
      <c r="J135" s="254">
        <f t="array" ref="J135">SUM(('Отчет по покупателям УТ'!$J$6:$J$5000='Adj Ageing by Brand'!$B135)*('Отчет по покупателям УТ'!$H$6:$H$5000='Adj Ageing by Brand'!J$8)*('Отчет по покупателям УТ'!$M$6:$M$5000='Adj Ageing by Brand'!$A135)*('Отчет по покупателям УТ'!$K$6:$K$5000))</f>
        <v>0</v>
      </c>
      <c r="K135" s="254">
        <f t="array" ref="K135">SUM(('Отчет по покупателям УТ'!$J$6:$J$5000='Adj Ageing by Brand'!$B135)*('Отчет по покупателям УТ'!$H$6:$H$5000='Adj Ageing by Brand'!K$8)*('Отчет по покупателям УТ'!$M$6:$M$5000='Adj Ageing by Brand'!$A135)*('Отчет по покупателям УТ'!$K$6:$K$5000))</f>
        <v>0</v>
      </c>
      <c r="L135" s="254">
        <f t="array" ref="L135">SUM(('Отчет по покупателям УТ'!$J$6:$J$5000='Adj Ageing by Brand'!$B135)*('Отчет по покупателям УТ'!$H$6:$H$5000='Adj Ageing by Brand'!L$8)*('Отчет по покупателям УТ'!$M$6:$M$5000='Adj Ageing by Brand'!$A135)*('Отчет по покупателям УТ'!$K$6:$K$5000))</f>
        <v>-273140.3</v>
      </c>
      <c r="M135" s="44">
        <f t="shared" si="55"/>
        <v>-273140.3</v>
      </c>
      <c r="R135" s="9" t="b">
        <f t="shared" si="56"/>
        <v>1</v>
      </c>
      <c r="S135" s="228">
        <f t="shared" si="57"/>
        <v>0</v>
      </c>
      <c r="T135" s="228">
        <f t="shared" si="58"/>
        <v>-273140.3</v>
      </c>
      <c r="U135" s="228">
        <f t="shared" si="59"/>
        <v>0</v>
      </c>
      <c r="V135" s="228">
        <f t="shared" si="60"/>
        <v>-273140.3</v>
      </c>
      <c r="W135" s="228">
        <f t="shared" si="61"/>
        <v>0</v>
      </c>
      <c r="X135" s="228">
        <f t="shared" si="62"/>
        <v>-273140.3</v>
      </c>
      <c r="Y135" s="228">
        <f t="shared" si="63"/>
        <v>0</v>
      </c>
      <c r="Z135" s="228">
        <f t="shared" si="64"/>
        <v>-273140.3</v>
      </c>
      <c r="AA135" s="228">
        <f t="shared" si="65"/>
        <v>0</v>
      </c>
      <c r="AB135" s="228">
        <f t="shared" si="66"/>
        <v>-273140.3</v>
      </c>
      <c r="AC135" s="247">
        <f t="shared" si="67"/>
        <v>-273140.3</v>
      </c>
      <c r="AD135" s="227">
        <f t="shared" si="43"/>
        <v>0</v>
      </c>
    </row>
    <row r="136" spans="1:30" x14ac:dyDescent="0.2">
      <c r="A136" t="s">
        <v>549</v>
      </c>
      <c r="B136" t="s">
        <v>22</v>
      </c>
      <c r="D136" s="9">
        <v>-95438.37</v>
      </c>
      <c r="F136" s="9"/>
      <c r="G136" s="254">
        <f t="array" ref="G136">SUM(('Отчет по покупателям УТ'!$J$6:$J$5000='Adj Ageing by Brand'!$B136)*('Отчет по покупателям УТ'!$H$6:$H$5000='Adj Ageing by Brand'!G$8)*('Отчет по покупателям УТ'!$M$6:$M$5000='Adj Ageing by Brand'!$A136)*('Отчет по покупателям УТ'!$K$6:$K$5000))</f>
        <v>0</v>
      </c>
      <c r="H136" s="254">
        <f t="array" ref="H136">SUM(('Отчет по покупателям УТ'!$J$6:$J$5000='Adj Ageing by Brand'!$B136)*('Отчет по покупателям УТ'!$H$6:$H$5000='Adj Ageing by Brand'!H$8)*('Отчет по покупателям УТ'!$M$6:$M$5000='Adj Ageing by Brand'!$A136)*('Отчет по покупателям УТ'!$K$6:$K$5000))</f>
        <v>0</v>
      </c>
      <c r="I136" s="254">
        <f t="array" ref="I136">SUM(('Отчет по покупателям УТ'!$J$6:$J$5000='Adj Ageing by Brand'!$B136)*('Отчет по покупателям УТ'!$H$6:$H$5000='Adj Ageing by Brand'!I$8)*('Отчет по покупателям УТ'!$M$6:$M$5000='Adj Ageing by Brand'!$A136)*('Отчет по покупателям УТ'!$K$6:$K$5000))</f>
        <v>0</v>
      </c>
      <c r="J136" s="254">
        <f t="array" ref="J136">SUM(('Отчет по покупателям УТ'!$J$6:$J$5000='Adj Ageing by Brand'!$B136)*('Отчет по покупателям УТ'!$H$6:$H$5000='Adj Ageing by Brand'!J$8)*('Отчет по покупателям УТ'!$M$6:$M$5000='Adj Ageing by Brand'!$A136)*('Отчет по покупателям УТ'!$K$6:$K$5000))</f>
        <v>0</v>
      </c>
      <c r="K136" s="254">
        <f t="array" ref="K136">SUM(('Отчет по покупателям УТ'!$J$6:$J$5000='Adj Ageing by Brand'!$B136)*('Отчет по покупателям УТ'!$H$6:$H$5000='Adj Ageing by Brand'!K$8)*('Отчет по покупателям УТ'!$M$6:$M$5000='Adj Ageing by Brand'!$A136)*('Отчет по покупателям УТ'!$K$6:$K$5000))</f>
        <v>0</v>
      </c>
      <c r="L136" s="254">
        <f t="array" ref="L136">SUM(('Отчет по покупателям УТ'!$J$6:$J$5000='Adj Ageing by Brand'!$B136)*('Отчет по покупателям УТ'!$H$6:$H$5000='Adj Ageing by Brand'!L$8)*('Отчет по покупателям УТ'!$M$6:$M$5000='Adj Ageing by Brand'!$A136)*('Отчет по покупателям УТ'!$K$6:$K$5000))</f>
        <v>-95438.37</v>
      </c>
      <c r="M136" s="44">
        <f t="shared" si="55"/>
        <v>-95438.37</v>
      </c>
      <c r="R136" s="9" t="b">
        <f t="shared" si="56"/>
        <v>1</v>
      </c>
      <c r="S136" s="228">
        <f t="shared" si="57"/>
        <v>0</v>
      </c>
      <c r="T136" s="228">
        <f t="shared" si="58"/>
        <v>-95438.37</v>
      </c>
      <c r="U136" s="228">
        <f t="shared" si="59"/>
        <v>0</v>
      </c>
      <c r="V136" s="228">
        <f t="shared" si="60"/>
        <v>-95438.37</v>
      </c>
      <c r="W136" s="228">
        <f t="shared" si="61"/>
        <v>0</v>
      </c>
      <c r="X136" s="228">
        <f t="shared" si="62"/>
        <v>-95438.37</v>
      </c>
      <c r="Y136" s="228">
        <f t="shared" si="63"/>
        <v>0</v>
      </c>
      <c r="Z136" s="228">
        <f t="shared" si="64"/>
        <v>-95438.37</v>
      </c>
      <c r="AA136" s="228">
        <f t="shared" si="65"/>
        <v>0</v>
      </c>
      <c r="AB136" s="228">
        <f t="shared" si="66"/>
        <v>-95438.37</v>
      </c>
      <c r="AC136" s="247">
        <f t="shared" si="67"/>
        <v>-95438.37</v>
      </c>
      <c r="AD136" s="227">
        <f t="shared" si="43"/>
        <v>0</v>
      </c>
    </row>
    <row r="137" spans="1:30" x14ac:dyDescent="0.2">
      <c r="A137" t="s">
        <v>726</v>
      </c>
      <c r="B137" t="s">
        <v>16</v>
      </c>
      <c r="D137" s="9">
        <v>-356756</v>
      </c>
      <c r="F137" s="9"/>
      <c r="G137" s="254">
        <f t="array" ref="G137">SUM(('Отчет по покупателям УТ'!$J$6:$J$5000='Adj Ageing by Brand'!$B137)*('Отчет по покупателям УТ'!$H$6:$H$5000='Adj Ageing by Brand'!G$8)*('Отчет по покупателям УТ'!$M$6:$M$5000='Adj Ageing by Brand'!$A137)*('Отчет по покупателям УТ'!$K$6:$K$5000))</f>
        <v>0</v>
      </c>
      <c r="H137" s="254">
        <f t="array" ref="H137">SUM(('Отчет по покупателям УТ'!$J$6:$J$5000='Adj Ageing by Brand'!$B137)*('Отчет по покупателям УТ'!$H$6:$H$5000='Adj Ageing by Brand'!H$8)*('Отчет по покупателям УТ'!$M$6:$M$5000='Adj Ageing by Brand'!$A137)*('Отчет по покупателям УТ'!$K$6:$K$5000))</f>
        <v>0</v>
      </c>
      <c r="I137" s="254">
        <f t="array" ref="I137">SUM(('Отчет по покупателям УТ'!$J$6:$J$5000='Adj Ageing by Brand'!$B137)*('Отчет по покупателям УТ'!$H$6:$H$5000='Adj Ageing by Brand'!I$8)*('Отчет по покупателям УТ'!$M$6:$M$5000='Adj Ageing by Brand'!$A137)*('Отчет по покупателям УТ'!$K$6:$K$5000))</f>
        <v>0</v>
      </c>
      <c r="J137" s="254">
        <f t="array" ref="J137">SUM(('Отчет по покупателям УТ'!$J$6:$J$5000='Adj Ageing by Brand'!$B137)*('Отчет по покупателям УТ'!$H$6:$H$5000='Adj Ageing by Brand'!J$8)*('Отчет по покупателям УТ'!$M$6:$M$5000='Adj Ageing by Brand'!$A137)*('Отчет по покупателям УТ'!$K$6:$K$5000))</f>
        <v>0</v>
      </c>
      <c r="K137" s="254">
        <f t="array" ref="K137">SUM(('Отчет по покупателям УТ'!$J$6:$J$5000='Adj Ageing by Brand'!$B137)*('Отчет по покупателям УТ'!$H$6:$H$5000='Adj Ageing by Brand'!K$8)*('Отчет по покупателям УТ'!$M$6:$M$5000='Adj Ageing by Brand'!$A137)*('Отчет по покупателям УТ'!$K$6:$K$5000))</f>
        <v>0</v>
      </c>
      <c r="L137" s="254">
        <f t="array" ref="L137">SUM(('Отчет по покупателям УТ'!$J$6:$J$5000='Adj Ageing by Brand'!$B137)*('Отчет по покупателям УТ'!$H$6:$H$5000='Adj Ageing by Brand'!L$8)*('Отчет по покупателям УТ'!$M$6:$M$5000='Adj Ageing by Brand'!$A137)*('Отчет по покупателям УТ'!$K$6:$K$5000))</f>
        <v>-356756</v>
      </c>
      <c r="M137" s="44">
        <f t="shared" si="55"/>
        <v>-356756</v>
      </c>
      <c r="R137" s="9" t="b">
        <f t="shared" si="56"/>
        <v>1</v>
      </c>
      <c r="S137" s="228">
        <f t="shared" si="57"/>
        <v>0</v>
      </c>
      <c r="T137" s="228">
        <f t="shared" si="58"/>
        <v>-356756</v>
      </c>
      <c r="U137" s="228">
        <f t="shared" si="59"/>
        <v>0</v>
      </c>
      <c r="V137" s="228">
        <f t="shared" si="60"/>
        <v>-356756</v>
      </c>
      <c r="W137" s="228">
        <f t="shared" si="61"/>
        <v>0</v>
      </c>
      <c r="X137" s="228">
        <f t="shared" si="62"/>
        <v>-356756</v>
      </c>
      <c r="Y137" s="228">
        <f t="shared" si="63"/>
        <v>0</v>
      </c>
      <c r="Z137" s="228">
        <f t="shared" si="64"/>
        <v>-356756</v>
      </c>
      <c r="AA137" s="228">
        <f t="shared" si="65"/>
        <v>0</v>
      </c>
      <c r="AB137" s="228">
        <f t="shared" si="66"/>
        <v>-356756</v>
      </c>
      <c r="AC137" s="247">
        <f t="shared" si="67"/>
        <v>-356756</v>
      </c>
      <c r="AD137" s="227">
        <f t="shared" si="43"/>
        <v>0</v>
      </c>
    </row>
    <row r="138" spans="1:30" x14ac:dyDescent="0.2">
      <c r="A138" t="s">
        <v>726</v>
      </c>
      <c r="B138" t="s">
        <v>23</v>
      </c>
      <c r="D138" s="9">
        <v>-787593</v>
      </c>
      <c r="F138" s="9"/>
      <c r="G138" s="254">
        <f t="array" ref="G138">SUM(('Отчет по покупателям УТ'!$J$6:$J$5000='Adj Ageing by Brand'!$B138)*('Отчет по покупателям УТ'!$H$6:$H$5000='Adj Ageing by Brand'!G$8)*('Отчет по покупателям УТ'!$M$6:$M$5000='Adj Ageing by Brand'!$A138)*('Отчет по покупателям УТ'!$K$6:$K$5000))</f>
        <v>0</v>
      </c>
      <c r="H138" s="254">
        <f t="array" ref="H138">SUM(('Отчет по покупателям УТ'!$J$6:$J$5000='Adj Ageing by Brand'!$B138)*('Отчет по покупателям УТ'!$H$6:$H$5000='Adj Ageing by Brand'!H$8)*('Отчет по покупателям УТ'!$M$6:$M$5000='Adj Ageing by Brand'!$A138)*('Отчет по покупателям УТ'!$K$6:$K$5000))</f>
        <v>0</v>
      </c>
      <c r="I138" s="254">
        <f t="array" ref="I138">SUM(('Отчет по покупателям УТ'!$J$6:$J$5000='Adj Ageing by Brand'!$B138)*('Отчет по покупателям УТ'!$H$6:$H$5000='Adj Ageing by Brand'!I$8)*('Отчет по покупателям УТ'!$M$6:$M$5000='Adj Ageing by Brand'!$A138)*('Отчет по покупателям УТ'!$K$6:$K$5000))</f>
        <v>0</v>
      </c>
      <c r="J138" s="254">
        <f t="array" ref="J138">SUM(('Отчет по покупателям УТ'!$J$6:$J$5000='Adj Ageing by Brand'!$B138)*('Отчет по покупателям УТ'!$H$6:$H$5000='Adj Ageing by Brand'!J$8)*('Отчет по покупателям УТ'!$M$6:$M$5000='Adj Ageing by Brand'!$A138)*('Отчет по покупателям УТ'!$K$6:$K$5000))</f>
        <v>0</v>
      </c>
      <c r="K138" s="254">
        <f t="array" ref="K138">SUM(('Отчет по покупателям УТ'!$J$6:$J$5000='Adj Ageing by Brand'!$B138)*('Отчет по покупателям УТ'!$H$6:$H$5000='Adj Ageing by Brand'!K$8)*('Отчет по покупателям УТ'!$M$6:$M$5000='Adj Ageing by Brand'!$A138)*('Отчет по покупателям УТ'!$K$6:$K$5000))</f>
        <v>0</v>
      </c>
      <c r="L138" s="254">
        <f t="array" ref="L138">SUM(('Отчет по покупателям УТ'!$J$6:$J$5000='Adj Ageing by Brand'!$B138)*('Отчет по покупателям УТ'!$H$6:$H$5000='Adj Ageing by Brand'!L$8)*('Отчет по покупателям УТ'!$M$6:$M$5000='Adj Ageing by Brand'!$A138)*('Отчет по покупателям УТ'!$K$6:$K$5000))</f>
        <v>-787593</v>
      </c>
      <c r="M138" s="44">
        <f t="shared" si="55"/>
        <v>-787593</v>
      </c>
      <c r="R138" s="9" t="b">
        <f t="shared" si="56"/>
        <v>1</v>
      </c>
      <c r="S138" s="228">
        <f t="shared" si="57"/>
        <v>0</v>
      </c>
      <c r="T138" s="228">
        <f t="shared" si="58"/>
        <v>-787593</v>
      </c>
      <c r="U138" s="228">
        <f t="shared" si="59"/>
        <v>0</v>
      </c>
      <c r="V138" s="228">
        <f t="shared" si="60"/>
        <v>-787593</v>
      </c>
      <c r="W138" s="228">
        <f t="shared" si="61"/>
        <v>0</v>
      </c>
      <c r="X138" s="228">
        <f t="shared" si="62"/>
        <v>-787593</v>
      </c>
      <c r="Y138" s="228">
        <f t="shared" si="63"/>
        <v>0</v>
      </c>
      <c r="Z138" s="228">
        <f t="shared" si="64"/>
        <v>-787593</v>
      </c>
      <c r="AA138" s="228">
        <f t="shared" si="65"/>
        <v>0</v>
      </c>
      <c r="AB138" s="228">
        <f t="shared" si="66"/>
        <v>-787593</v>
      </c>
      <c r="AC138" s="247">
        <f t="shared" si="67"/>
        <v>-787593</v>
      </c>
      <c r="AD138" s="227">
        <f t="shared" ref="AD138:AD154" si="68">SUM(S138,U138,W138,Y138,AA138)</f>
        <v>0</v>
      </c>
    </row>
    <row r="139" spans="1:30" x14ac:dyDescent="0.2">
      <c r="A139" t="s">
        <v>730</v>
      </c>
      <c r="B139" t="s">
        <v>23</v>
      </c>
      <c r="D139" s="9">
        <v>-69037.63</v>
      </c>
      <c r="F139" s="9"/>
      <c r="G139" s="254">
        <f t="array" ref="G139">SUM(('Отчет по покупателям УТ'!$J$6:$J$5000='Adj Ageing by Brand'!$B139)*('Отчет по покупателям УТ'!$H$6:$H$5000='Adj Ageing by Brand'!G$8)*('Отчет по покупателям УТ'!$M$6:$M$5000='Adj Ageing by Brand'!$A139)*('Отчет по покупателям УТ'!$K$6:$K$5000))</f>
        <v>0</v>
      </c>
      <c r="H139" s="254">
        <f t="array" ref="H139">SUM(('Отчет по покупателям УТ'!$J$6:$J$5000='Adj Ageing by Brand'!$B139)*('Отчет по покупателям УТ'!$H$6:$H$5000='Adj Ageing by Brand'!H$8)*('Отчет по покупателям УТ'!$M$6:$M$5000='Adj Ageing by Brand'!$A139)*('Отчет по покупателям УТ'!$K$6:$K$5000))</f>
        <v>0</v>
      </c>
      <c r="I139" s="254">
        <f t="array" ref="I139">SUM(('Отчет по покупателям УТ'!$J$6:$J$5000='Adj Ageing by Brand'!$B139)*('Отчет по покупателям УТ'!$H$6:$H$5000='Adj Ageing by Brand'!I$8)*('Отчет по покупателям УТ'!$M$6:$M$5000='Adj Ageing by Brand'!$A139)*('Отчет по покупателям УТ'!$K$6:$K$5000))</f>
        <v>0</v>
      </c>
      <c r="J139" s="254">
        <f t="array" ref="J139">SUM(('Отчет по покупателям УТ'!$J$6:$J$5000='Adj Ageing by Brand'!$B139)*('Отчет по покупателям УТ'!$H$6:$H$5000='Adj Ageing by Brand'!J$8)*('Отчет по покупателям УТ'!$M$6:$M$5000='Adj Ageing by Brand'!$A139)*('Отчет по покупателям УТ'!$K$6:$K$5000))</f>
        <v>0</v>
      </c>
      <c r="K139" s="254">
        <f t="array" ref="K139">SUM(('Отчет по покупателям УТ'!$J$6:$J$5000='Adj Ageing by Brand'!$B139)*('Отчет по покупателям УТ'!$H$6:$H$5000='Adj Ageing by Brand'!K$8)*('Отчет по покупателям УТ'!$M$6:$M$5000='Adj Ageing by Brand'!$A139)*('Отчет по покупателям УТ'!$K$6:$K$5000))</f>
        <v>0</v>
      </c>
      <c r="L139" s="254">
        <f t="array" ref="L139">SUM(('Отчет по покупателям УТ'!$J$6:$J$5000='Adj Ageing by Brand'!$B139)*('Отчет по покупателям УТ'!$H$6:$H$5000='Adj Ageing by Brand'!L$8)*('Отчет по покупателям УТ'!$M$6:$M$5000='Adj Ageing by Brand'!$A139)*('Отчет по покупателям УТ'!$K$6:$K$5000))</f>
        <v>-69037.63</v>
      </c>
      <c r="M139" s="44">
        <f t="shared" si="55"/>
        <v>-69037.63</v>
      </c>
      <c r="R139" s="9" t="b">
        <f t="shared" si="56"/>
        <v>1</v>
      </c>
      <c r="S139" s="228">
        <f t="shared" si="57"/>
        <v>0</v>
      </c>
      <c r="T139" s="228">
        <f t="shared" si="58"/>
        <v>-69037.63</v>
      </c>
      <c r="U139" s="228">
        <f t="shared" si="59"/>
        <v>0</v>
      </c>
      <c r="V139" s="228">
        <f t="shared" si="60"/>
        <v>-69037.63</v>
      </c>
      <c r="W139" s="228">
        <f t="shared" si="61"/>
        <v>0</v>
      </c>
      <c r="X139" s="228">
        <f t="shared" si="62"/>
        <v>-69037.63</v>
      </c>
      <c r="Y139" s="228">
        <f t="shared" si="63"/>
        <v>0</v>
      </c>
      <c r="Z139" s="228">
        <f t="shared" si="64"/>
        <v>-69037.63</v>
      </c>
      <c r="AA139" s="228">
        <f t="shared" si="65"/>
        <v>0</v>
      </c>
      <c r="AB139" s="228">
        <f t="shared" si="66"/>
        <v>-69037.63</v>
      </c>
      <c r="AC139" s="247">
        <f t="shared" si="67"/>
        <v>-69037.63</v>
      </c>
      <c r="AD139" s="227">
        <f t="shared" si="68"/>
        <v>0</v>
      </c>
    </row>
    <row r="140" spans="1:30" x14ac:dyDescent="0.2">
      <c r="A140" t="s">
        <v>732</v>
      </c>
      <c r="B140" t="s">
        <v>16</v>
      </c>
      <c r="D140" s="9">
        <v>-103355.81</v>
      </c>
      <c r="F140" s="9"/>
      <c r="G140" s="254">
        <f t="array" ref="G140">SUM(('Отчет по покупателям УТ'!$J$6:$J$5000='Adj Ageing by Brand'!$B140)*('Отчет по покупателям УТ'!$H$6:$H$5000='Adj Ageing by Brand'!G$8)*('Отчет по покупателям УТ'!$M$6:$M$5000='Adj Ageing by Brand'!$A140)*('Отчет по покупателям УТ'!$K$6:$K$5000))</f>
        <v>0</v>
      </c>
      <c r="H140" s="254">
        <f t="array" ref="H140">SUM(('Отчет по покупателям УТ'!$J$6:$J$5000='Adj Ageing by Brand'!$B140)*('Отчет по покупателям УТ'!$H$6:$H$5000='Adj Ageing by Brand'!H$8)*('Отчет по покупателям УТ'!$M$6:$M$5000='Adj Ageing by Brand'!$A140)*('Отчет по покупателям УТ'!$K$6:$K$5000))</f>
        <v>0</v>
      </c>
      <c r="I140" s="254">
        <f t="array" ref="I140">SUM(('Отчет по покупателям УТ'!$J$6:$J$5000='Adj Ageing by Brand'!$B140)*('Отчет по покупателям УТ'!$H$6:$H$5000='Adj Ageing by Brand'!I$8)*('Отчет по покупателям УТ'!$M$6:$M$5000='Adj Ageing by Brand'!$A140)*('Отчет по покупателям УТ'!$K$6:$K$5000))</f>
        <v>0</v>
      </c>
      <c r="J140" s="254">
        <f t="array" ref="J140">SUM(('Отчет по покупателям УТ'!$J$6:$J$5000='Adj Ageing by Brand'!$B140)*('Отчет по покупателям УТ'!$H$6:$H$5000='Adj Ageing by Brand'!J$8)*('Отчет по покупателям УТ'!$M$6:$M$5000='Adj Ageing by Brand'!$A140)*('Отчет по покупателям УТ'!$K$6:$K$5000))</f>
        <v>0</v>
      </c>
      <c r="K140" s="254">
        <f t="array" ref="K140">SUM(('Отчет по покупателям УТ'!$J$6:$J$5000='Adj Ageing by Brand'!$B140)*('Отчет по покупателям УТ'!$H$6:$H$5000='Adj Ageing by Brand'!K$8)*('Отчет по покупателям УТ'!$M$6:$M$5000='Adj Ageing by Brand'!$A140)*('Отчет по покупателям УТ'!$K$6:$K$5000))</f>
        <v>0</v>
      </c>
      <c r="L140" s="254">
        <f t="array" ref="L140">SUM(('Отчет по покупателям УТ'!$J$6:$J$5000='Adj Ageing by Brand'!$B140)*('Отчет по покупателям УТ'!$H$6:$H$5000='Adj Ageing by Brand'!L$8)*('Отчет по покупателям УТ'!$M$6:$M$5000='Adj Ageing by Brand'!$A140)*('Отчет по покупателям УТ'!$K$6:$K$5000))</f>
        <v>-103355.81</v>
      </c>
      <c r="M140" s="44">
        <f t="shared" si="55"/>
        <v>-103355.81</v>
      </c>
      <c r="R140" s="9" t="b">
        <f t="shared" si="56"/>
        <v>1</v>
      </c>
      <c r="S140" s="228">
        <f t="shared" si="57"/>
        <v>0</v>
      </c>
      <c r="T140" s="228">
        <f t="shared" si="58"/>
        <v>-103355.81</v>
      </c>
      <c r="U140" s="228">
        <f t="shared" si="59"/>
        <v>0</v>
      </c>
      <c r="V140" s="228">
        <f t="shared" si="60"/>
        <v>-103355.81</v>
      </c>
      <c r="W140" s="228">
        <f t="shared" si="61"/>
        <v>0</v>
      </c>
      <c r="X140" s="228">
        <f t="shared" si="62"/>
        <v>-103355.81</v>
      </c>
      <c r="Y140" s="228">
        <f t="shared" si="63"/>
        <v>0</v>
      </c>
      <c r="Z140" s="228">
        <f t="shared" si="64"/>
        <v>-103355.81</v>
      </c>
      <c r="AA140" s="228">
        <f t="shared" si="65"/>
        <v>0</v>
      </c>
      <c r="AB140" s="228">
        <f t="shared" si="66"/>
        <v>-103355.81</v>
      </c>
      <c r="AC140" s="247">
        <f t="shared" si="67"/>
        <v>-103355.81</v>
      </c>
      <c r="AD140" s="227">
        <f t="shared" si="68"/>
        <v>0</v>
      </c>
    </row>
    <row r="141" spans="1:30" x14ac:dyDescent="0.2">
      <c r="A141" t="s">
        <v>733</v>
      </c>
      <c r="B141" t="s">
        <v>16</v>
      </c>
      <c r="D141" s="9">
        <v>-465170</v>
      </c>
      <c r="F141" s="9"/>
      <c r="G141" s="254">
        <f t="array" ref="G141">SUM(('Отчет по покупателям УТ'!$J$6:$J$5000='Adj Ageing by Brand'!$B141)*('Отчет по покупателям УТ'!$H$6:$H$5000='Adj Ageing by Brand'!G$8)*('Отчет по покупателям УТ'!$M$6:$M$5000='Adj Ageing by Brand'!$A141)*('Отчет по покупателям УТ'!$K$6:$K$5000))</f>
        <v>0</v>
      </c>
      <c r="H141" s="254">
        <f t="array" ref="H141">SUM(('Отчет по покупателям УТ'!$J$6:$J$5000='Adj Ageing by Brand'!$B141)*('Отчет по покупателям УТ'!$H$6:$H$5000='Adj Ageing by Brand'!H$8)*('Отчет по покупателям УТ'!$M$6:$M$5000='Adj Ageing by Brand'!$A141)*('Отчет по покупателям УТ'!$K$6:$K$5000))</f>
        <v>0</v>
      </c>
      <c r="I141" s="254">
        <f t="array" ref="I141">SUM(('Отчет по покупателям УТ'!$J$6:$J$5000='Adj Ageing by Brand'!$B141)*('Отчет по покупателям УТ'!$H$6:$H$5000='Adj Ageing by Brand'!I$8)*('Отчет по покупателям УТ'!$M$6:$M$5000='Adj Ageing by Brand'!$A141)*('Отчет по покупателям УТ'!$K$6:$K$5000))</f>
        <v>0</v>
      </c>
      <c r="J141" s="254">
        <f t="array" ref="J141">SUM(('Отчет по покупателям УТ'!$J$6:$J$5000='Adj Ageing by Brand'!$B141)*('Отчет по покупателям УТ'!$H$6:$H$5000='Adj Ageing by Brand'!J$8)*('Отчет по покупателям УТ'!$M$6:$M$5000='Adj Ageing by Brand'!$A141)*('Отчет по покупателям УТ'!$K$6:$K$5000))</f>
        <v>0</v>
      </c>
      <c r="K141" s="254">
        <f t="array" ref="K141">SUM(('Отчет по покупателям УТ'!$J$6:$J$5000='Adj Ageing by Brand'!$B141)*('Отчет по покупателям УТ'!$H$6:$H$5000='Adj Ageing by Brand'!K$8)*('Отчет по покупателям УТ'!$M$6:$M$5000='Adj Ageing by Brand'!$A141)*('Отчет по покупателям УТ'!$K$6:$K$5000))</f>
        <v>0</v>
      </c>
      <c r="L141" s="254">
        <f t="array" ref="L141">SUM(('Отчет по покупателям УТ'!$J$6:$J$5000='Adj Ageing by Brand'!$B141)*('Отчет по покупателям УТ'!$H$6:$H$5000='Adj Ageing by Brand'!L$8)*('Отчет по покупателям УТ'!$M$6:$M$5000='Adj Ageing by Brand'!$A141)*('Отчет по покупателям УТ'!$K$6:$K$5000))</f>
        <v>-465170</v>
      </c>
      <c r="M141" s="44">
        <f t="shared" si="55"/>
        <v>-465170</v>
      </c>
      <c r="R141" s="9" t="b">
        <f t="shared" si="56"/>
        <v>1</v>
      </c>
      <c r="S141" s="228">
        <f t="shared" si="57"/>
        <v>0</v>
      </c>
      <c r="T141" s="228">
        <f t="shared" si="58"/>
        <v>-465170</v>
      </c>
      <c r="U141" s="228">
        <f t="shared" si="59"/>
        <v>0</v>
      </c>
      <c r="V141" s="228">
        <f t="shared" si="60"/>
        <v>-465170</v>
      </c>
      <c r="W141" s="228">
        <f t="shared" si="61"/>
        <v>0</v>
      </c>
      <c r="X141" s="228">
        <f t="shared" si="62"/>
        <v>-465170</v>
      </c>
      <c r="Y141" s="228">
        <f t="shared" si="63"/>
        <v>0</v>
      </c>
      <c r="Z141" s="228">
        <f t="shared" si="64"/>
        <v>-465170</v>
      </c>
      <c r="AA141" s="228">
        <f t="shared" si="65"/>
        <v>0</v>
      </c>
      <c r="AB141" s="228">
        <f t="shared" si="66"/>
        <v>-465170</v>
      </c>
      <c r="AC141" s="247">
        <f t="shared" si="67"/>
        <v>-465170</v>
      </c>
      <c r="AD141" s="227">
        <f t="shared" si="68"/>
        <v>0</v>
      </c>
    </row>
    <row r="142" spans="1:30" x14ac:dyDescent="0.2">
      <c r="A142" t="s">
        <v>733</v>
      </c>
      <c r="B142" t="s">
        <v>31</v>
      </c>
      <c r="D142" s="9">
        <v>-256000</v>
      </c>
      <c r="F142" s="9"/>
      <c r="G142" s="254">
        <f t="array" ref="G142">SUM(('Отчет по покупателям УТ'!$J$6:$J$5000='Adj Ageing by Brand'!$B142)*('Отчет по покупателям УТ'!$H$6:$H$5000='Adj Ageing by Brand'!G$8)*('Отчет по покупателям УТ'!$M$6:$M$5000='Adj Ageing by Brand'!$A142)*('Отчет по покупателям УТ'!$K$6:$K$5000))</f>
        <v>0</v>
      </c>
      <c r="H142" s="254">
        <f t="array" ref="H142">SUM(('Отчет по покупателям УТ'!$J$6:$J$5000='Adj Ageing by Brand'!$B142)*('Отчет по покупателям УТ'!$H$6:$H$5000='Adj Ageing by Brand'!H$8)*('Отчет по покупателям УТ'!$M$6:$M$5000='Adj Ageing by Brand'!$A142)*('Отчет по покупателям УТ'!$K$6:$K$5000))</f>
        <v>0</v>
      </c>
      <c r="I142" s="254">
        <f t="array" ref="I142">SUM(('Отчет по покупателям УТ'!$J$6:$J$5000='Adj Ageing by Brand'!$B142)*('Отчет по покупателям УТ'!$H$6:$H$5000='Adj Ageing by Brand'!I$8)*('Отчет по покупателям УТ'!$M$6:$M$5000='Adj Ageing by Brand'!$A142)*('Отчет по покупателям УТ'!$K$6:$K$5000))</f>
        <v>0</v>
      </c>
      <c r="J142" s="254">
        <f t="array" ref="J142">SUM(('Отчет по покупателям УТ'!$J$6:$J$5000='Adj Ageing by Brand'!$B142)*('Отчет по покупателям УТ'!$H$6:$H$5000='Adj Ageing by Brand'!J$8)*('Отчет по покупателям УТ'!$M$6:$M$5000='Adj Ageing by Brand'!$A142)*('Отчет по покупателям УТ'!$K$6:$K$5000))</f>
        <v>0</v>
      </c>
      <c r="K142" s="254">
        <f t="array" ref="K142">SUM(('Отчет по покупателям УТ'!$J$6:$J$5000='Adj Ageing by Brand'!$B142)*('Отчет по покупателям УТ'!$H$6:$H$5000='Adj Ageing by Brand'!K$8)*('Отчет по покупателям УТ'!$M$6:$M$5000='Adj Ageing by Brand'!$A142)*('Отчет по покупателям УТ'!$K$6:$K$5000))</f>
        <v>0</v>
      </c>
      <c r="L142" s="254">
        <f t="array" ref="L142">SUM(('Отчет по покупателям УТ'!$J$6:$J$5000='Adj Ageing by Brand'!$B142)*('Отчет по покупателям УТ'!$H$6:$H$5000='Adj Ageing by Brand'!L$8)*('Отчет по покупателям УТ'!$M$6:$M$5000='Adj Ageing by Brand'!$A142)*('Отчет по покупателям УТ'!$K$6:$K$5000))</f>
        <v>-256000</v>
      </c>
      <c r="M142" s="44">
        <f t="shared" ref="M142:M154" si="69">SUM(G142:L142)</f>
        <v>-256000</v>
      </c>
      <c r="R142" s="9" t="b">
        <f t="shared" ref="R142:R154" si="70">M142=SUM(S142,U142,W142,Y142,AA142,AB142)</f>
        <v>1</v>
      </c>
      <c r="S142" s="228">
        <f t="shared" ref="S142:S154" si="71">IF(G142+T142&lt;0,0,G142+T142)</f>
        <v>0</v>
      </c>
      <c r="T142" s="228">
        <f t="shared" ref="T142:T154" si="72">IF(L142+K142+J142+I142+H142&lt;0,L142+K142+J142+I142+H142,0)</f>
        <v>-256000</v>
      </c>
      <c r="U142" s="228">
        <f t="shared" ref="U142:U154" si="73">IF(H142+V142&lt;0,0,H142+V142)</f>
        <v>0</v>
      </c>
      <c r="V142" s="228">
        <f t="shared" ref="V142:V154" si="74">IF(L142+K142+J142+I142&lt;0,L142+K142+J142+I142,0)</f>
        <v>-256000</v>
      </c>
      <c r="W142" s="228">
        <f t="shared" ref="W142:W154" si="75">IF(I142+X142&lt;0,0,I142+X142)</f>
        <v>0</v>
      </c>
      <c r="X142" s="228">
        <f t="shared" ref="X142:X154" si="76">IF(L142+K142+J142&lt;0,L142+K142+J142,0)</f>
        <v>-256000</v>
      </c>
      <c r="Y142" s="228">
        <f t="shared" ref="Y142:Y154" si="77">IF(J142+Z142&lt;0,0,J142+Z142)</f>
        <v>0</v>
      </c>
      <c r="Z142" s="228">
        <f t="shared" ref="Z142:Z154" si="78">IF(L142+K142&lt;0,L142+K142,0)</f>
        <v>-256000</v>
      </c>
      <c r="AA142" s="228">
        <f t="shared" ref="AA142:AA154" si="79">IF(K142+L142&lt;0,0,K142+L142)</f>
        <v>0</v>
      </c>
      <c r="AB142" s="228">
        <f t="shared" ref="AB142:AB154" si="80">IF(SUM(G142:L142)&lt;0,M142,0)</f>
        <v>-256000</v>
      </c>
      <c r="AC142" s="247">
        <f t="shared" ref="AC142:AC154" si="81">SUM(AB142,AA142,Y142,W142,U142,S142)</f>
        <v>-256000</v>
      </c>
      <c r="AD142" s="227">
        <f t="shared" si="68"/>
        <v>0</v>
      </c>
    </row>
    <row r="143" spans="1:30" x14ac:dyDescent="0.2">
      <c r="A143" t="s">
        <v>734</v>
      </c>
      <c r="B143" t="s">
        <v>23</v>
      </c>
      <c r="D143" s="9">
        <v>-278680.69</v>
      </c>
      <c r="F143" s="9"/>
      <c r="G143" s="254">
        <f t="array" ref="G143">SUM(('Отчет по покупателям УТ'!$J$6:$J$5000='Adj Ageing by Brand'!$B143)*('Отчет по покупателям УТ'!$H$6:$H$5000='Adj Ageing by Brand'!G$8)*('Отчет по покупателям УТ'!$M$6:$M$5000='Adj Ageing by Brand'!$A143)*('Отчет по покупателям УТ'!$K$6:$K$5000))</f>
        <v>0</v>
      </c>
      <c r="H143" s="254">
        <f t="array" ref="H143">SUM(('Отчет по покупателям УТ'!$J$6:$J$5000='Adj Ageing by Brand'!$B143)*('Отчет по покупателям УТ'!$H$6:$H$5000='Adj Ageing by Brand'!H$8)*('Отчет по покупателям УТ'!$M$6:$M$5000='Adj Ageing by Brand'!$A143)*('Отчет по покупателям УТ'!$K$6:$K$5000))</f>
        <v>0</v>
      </c>
      <c r="I143" s="254">
        <f t="array" ref="I143">SUM(('Отчет по покупателям УТ'!$J$6:$J$5000='Adj Ageing by Brand'!$B143)*('Отчет по покупателям УТ'!$H$6:$H$5000='Adj Ageing by Brand'!I$8)*('Отчет по покупателям УТ'!$M$6:$M$5000='Adj Ageing by Brand'!$A143)*('Отчет по покупателям УТ'!$K$6:$K$5000))</f>
        <v>0</v>
      </c>
      <c r="J143" s="254">
        <f t="array" ref="J143">SUM(('Отчет по покупателям УТ'!$J$6:$J$5000='Adj Ageing by Brand'!$B143)*('Отчет по покупателям УТ'!$H$6:$H$5000='Adj Ageing by Brand'!J$8)*('Отчет по покупателям УТ'!$M$6:$M$5000='Adj Ageing by Brand'!$A143)*('Отчет по покупателям УТ'!$K$6:$K$5000))</f>
        <v>0</v>
      </c>
      <c r="K143" s="254">
        <f t="array" ref="K143">SUM(('Отчет по покупателям УТ'!$J$6:$J$5000='Adj Ageing by Brand'!$B143)*('Отчет по покупателям УТ'!$H$6:$H$5000='Adj Ageing by Brand'!K$8)*('Отчет по покупателям УТ'!$M$6:$M$5000='Adj Ageing by Brand'!$A143)*('Отчет по покупателям УТ'!$K$6:$K$5000))</f>
        <v>0</v>
      </c>
      <c r="L143" s="254">
        <f t="array" ref="L143">SUM(('Отчет по покупателям УТ'!$J$6:$J$5000='Adj Ageing by Brand'!$B143)*('Отчет по покупателям УТ'!$H$6:$H$5000='Adj Ageing by Brand'!L$8)*('Отчет по покупателям УТ'!$M$6:$M$5000='Adj Ageing by Brand'!$A143)*('Отчет по покупателям УТ'!$K$6:$K$5000))</f>
        <v>-278680.69</v>
      </c>
      <c r="M143" s="44">
        <f t="shared" si="69"/>
        <v>-278680.69</v>
      </c>
      <c r="R143" s="9" t="b">
        <f t="shared" si="70"/>
        <v>1</v>
      </c>
      <c r="S143" s="228">
        <f t="shared" si="71"/>
        <v>0</v>
      </c>
      <c r="T143" s="228">
        <f t="shared" si="72"/>
        <v>-278680.69</v>
      </c>
      <c r="U143" s="228">
        <f t="shared" si="73"/>
        <v>0</v>
      </c>
      <c r="V143" s="228">
        <f t="shared" si="74"/>
        <v>-278680.69</v>
      </c>
      <c r="W143" s="228">
        <f t="shared" si="75"/>
        <v>0</v>
      </c>
      <c r="X143" s="228">
        <f t="shared" si="76"/>
        <v>-278680.69</v>
      </c>
      <c r="Y143" s="228">
        <f t="shared" si="77"/>
        <v>0</v>
      </c>
      <c r="Z143" s="228">
        <f t="shared" si="78"/>
        <v>-278680.69</v>
      </c>
      <c r="AA143" s="228">
        <f t="shared" si="79"/>
        <v>0</v>
      </c>
      <c r="AB143" s="228">
        <f t="shared" si="80"/>
        <v>-278680.69</v>
      </c>
      <c r="AC143" s="247">
        <f t="shared" si="81"/>
        <v>-278680.69</v>
      </c>
      <c r="AD143" s="227">
        <f t="shared" si="68"/>
        <v>0</v>
      </c>
    </row>
    <row r="144" spans="1:30" x14ac:dyDescent="0.2">
      <c r="A144" t="s">
        <v>874</v>
      </c>
      <c r="B144" t="s">
        <v>22</v>
      </c>
      <c r="D144" s="9">
        <v>-101331</v>
      </c>
      <c r="F144" s="9"/>
      <c r="G144" s="254">
        <f t="array" ref="G144">SUM(('Отчет по покупателям УТ'!$J$6:$J$5000='Adj Ageing by Brand'!$B144)*('Отчет по покупателям УТ'!$H$6:$H$5000='Adj Ageing by Brand'!G$8)*('Отчет по покупателям УТ'!$M$6:$M$5000='Adj Ageing by Brand'!$A144)*('Отчет по покупателям УТ'!$K$6:$K$5000))</f>
        <v>0</v>
      </c>
      <c r="H144" s="254">
        <f t="array" ref="H144">SUM(('Отчет по покупателям УТ'!$J$6:$J$5000='Adj Ageing by Brand'!$B144)*('Отчет по покупателям УТ'!$H$6:$H$5000='Adj Ageing by Brand'!H$8)*('Отчет по покупателям УТ'!$M$6:$M$5000='Adj Ageing by Brand'!$A144)*('Отчет по покупателям УТ'!$K$6:$K$5000))</f>
        <v>0</v>
      </c>
      <c r="I144" s="254">
        <f t="array" ref="I144">SUM(('Отчет по покупателям УТ'!$J$6:$J$5000='Adj Ageing by Brand'!$B144)*('Отчет по покупателям УТ'!$H$6:$H$5000='Adj Ageing by Brand'!I$8)*('Отчет по покупателям УТ'!$M$6:$M$5000='Adj Ageing by Brand'!$A144)*('Отчет по покупателям УТ'!$K$6:$K$5000))</f>
        <v>0</v>
      </c>
      <c r="J144" s="254">
        <f t="array" ref="J144">SUM(('Отчет по покупателям УТ'!$J$6:$J$5000='Adj Ageing by Brand'!$B144)*('Отчет по покупателям УТ'!$H$6:$H$5000='Adj Ageing by Brand'!J$8)*('Отчет по покупателям УТ'!$M$6:$M$5000='Adj Ageing by Brand'!$A144)*('Отчет по покупателям УТ'!$K$6:$K$5000))</f>
        <v>0</v>
      </c>
      <c r="K144" s="254">
        <f t="array" ref="K144">SUM(('Отчет по покупателям УТ'!$J$6:$J$5000='Adj Ageing by Brand'!$B144)*('Отчет по покупателям УТ'!$H$6:$H$5000='Adj Ageing by Brand'!K$8)*('Отчет по покупателям УТ'!$M$6:$M$5000='Adj Ageing by Brand'!$A144)*('Отчет по покупателям УТ'!$K$6:$K$5000))</f>
        <v>0</v>
      </c>
      <c r="L144" s="254">
        <f t="array" ref="L144">SUM(('Отчет по покупателям УТ'!$J$6:$J$5000='Adj Ageing by Brand'!$B144)*('Отчет по покупателям УТ'!$H$6:$H$5000='Adj Ageing by Brand'!L$8)*('Отчет по покупателям УТ'!$M$6:$M$5000='Adj Ageing by Brand'!$A144)*('Отчет по покупателям УТ'!$K$6:$K$5000))</f>
        <v>-101331</v>
      </c>
      <c r="M144" s="44">
        <f t="shared" si="69"/>
        <v>-101331</v>
      </c>
      <c r="R144" s="9" t="b">
        <f t="shared" si="70"/>
        <v>1</v>
      </c>
      <c r="S144" s="228">
        <f t="shared" si="71"/>
        <v>0</v>
      </c>
      <c r="T144" s="228">
        <f t="shared" si="72"/>
        <v>-101331</v>
      </c>
      <c r="U144" s="228">
        <f t="shared" si="73"/>
        <v>0</v>
      </c>
      <c r="V144" s="228">
        <f t="shared" si="74"/>
        <v>-101331</v>
      </c>
      <c r="W144" s="228">
        <f t="shared" si="75"/>
        <v>0</v>
      </c>
      <c r="X144" s="228">
        <f t="shared" si="76"/>
        <v>-101331</v>
      </c>
      <c r="Y144" s="228">
        <f t="shared" si="77"/>
        <v>0</v>
      </c>
      <c r="Z144" s="228">
        <f t="shared" si="78"/>
        <v>-101331</v>
      </c>
      <c r="AA144" s="228">
        <f t="shared" si="79"/>
        <v>0</v>
      </c>
      <c r="AB144" s="228">
        <f t="shared" si="80"/>
        <v>-101331</v>
      </c>
      <c r="AC144" s="247">
        <f t="shared" si="81"/>
        <v>-101331</v>
      </c>
      <c r="AD144" s="227">
        <f t="shared" si="68"/>
        <v>0</v>
      </c>
    </row>
    <row r="145" spans="1:30" x14ac:dyDescent="0.2">
      <c r="A145" t="s">
        <v>874</v>
      </c>
      <c r="B145" t="s">
        <v>16</v>
      </c>
      <c r="D145" s="9">
        <v>-38000</v>
      </c>
      <c r="F145" s="9"/>
      <c r="G145" s="254">
        <f t="array" ref="G145">SUM(('Отчет по покупателям УТ'!$J$6:$J$5000='Adj Ageing by Brand'!$B145)*('Отчет по покупателям УТ'!$H$6:$H$5000='Adj Ageing by Brand'!G$8)*('Отчет по покупателям УТ'!$M$6:$M$5000='Adj Ageing by Brand'!$A145)*('Отчет по покупателям УТ'!$K$6:$K$5000))</f>
        <v>0</v>
      </c>
      <c r="H145" s="254">
        <f t="array" ref="H145">SUM(('Отчет по покупателям УТ'!$J$6:$J$5000='Adj Ageing by Brand'!$B145)*('Отчет по покупателям УТ'!$H$6:$H$5000='Adj Ageing by Brand'!H$8)*('Отчет по покупателям УТ'!$M$6:$M$5000='Adj Ageing by Brand'!$A145)*('Отчет по покупателям УТ'!$K$6:$K$5000))</f>
        <v>0</v>
      </c>
      <c r="I145" s="254">
        <f t="array" ref="I145">SUM(('Отчет по покупателям УТ'!$J$6:$J$5000='Adj Ageing by Brand'!$B145)*('Отчет по покупателям УТ'!$H$6:$H$5000='Adj Ageing by Brand'!I$8)*('Отчет по покупателям УТ'!$M$6:$M$5000='Adj Ageing by Brand'!$A145)*('Отчет по покупателям УТ'!$K$6:$K$5000))</f>
        <v>0</v>
      </c>
      <c r="J145" s="254">
        <f t="array" ref="J145">SUM(('Отчет по покупателям УТ'!$J$6:$J$5000='Adj Ageing by Brand'!$B145)*('Отчет по покупателям УТ'!$H$6:$H$5000='Adj Ageing by Brand'!J$8)*('Отчет по покупателям УТ'!$M$6:$M$5000='Adj Ageing by Brand'!$A145)*('Отчет по покупателям УТ'!$K$6:$K$5000))</f>
        <v>0</v>
      </c>
      <c r="K145" s="254">
        <f t="array" ref="K145">SUM(('Отчет по покупателям УТ'!$J$6:$J$5000='Adj Ageing by Brand'!$B145)*('Отчет по покупателям УТ'!$H$6:$H$5000='Adj Ageing by Brand'!K$8)*('Отчет по покупателям УТ'!$M$6:$M$5000='Adj Ageing by Brand'!$A145)*('Отчет по покупателям УТ'!$K$6:$K$5000))</f>
        <v>0</v>
      </c>
      <c r="L145" s="254">
        <f t="array" ref="L145">SUM(('Отчет по покупателям УТ'!$J$6:$J$5000='Adj Ageing by Brand'!$B145)*('Отчет по покупателям УТ'!$H$6:$H$5000='Adj Ageing by Brand'!L$8)*('Отчет по покупателям УТ'!$M$6:$M$5000='Adj Ageing by Brand'!$A145)*('Отчет по покупателям УТ'!$K$6:$K$5000))</f>
        <v>-38000</v>
      </c>
      <c r="M145" s="44">
        <f t="shared" si="69"/>
        <v>-38000</v>
      </c>
      <c r="R145" s="9" t="b">
        <f t="shared" si="70"/>
        <v>1</v>
      </c>
      <c r="S145" s="228">
        <f t="shared" si="71"/>
        <v>0</v>
      </c>
      <c r="T145" s="228">
        <f t="shared" si="72"/>
        <v>-38000</v>
      </c>
      <c r="U145" s="228">
        <f t="shared" si="73"/>
        <v>0</v>
      </c>
      <c r="V145" s="228">
        <f t="shared" si="74"/>
        <v>-38000</v>
      </c>
      <c r="W145" s="228">
        <f t="shared" si="75"/>
        <v>0</v>
      </c>
      <c r="X145" s="228">
        <f t="shared" si="76"/>
        <v>-38000</v>
      </c>
      <c r="Y145" s="228">
        <f t="shared" si="77"/>
        <v>0</v>
      </c>
      <c r="Z145" s="228">
        <f t="shared" si="78"/>
        <v>-38000</v>
      </c>
      <c r="AA145" s="228">
        <f t="shared" si="79"/>
        <v>0</v>
      </c>
      <c r="AB145" s="228">
        <f t="shared" si="80"/>
        <v>-38000</v>
      </c>
      <c r="AC145" s="247">
        <f t="shared" si="81"/>
        <v>-38000</v>
      </c>
      <c r="AD145" s="227">
        <f t="shared" si="68"/>
        <v>0</v>
      </c>
    </row>
    <row r="146" spans="1:30" x14ac:dyDescent="0.2">
      <c r="A146" t="s">
        <v>769</v>
      </c>
      <c r="B146" t="s">
        <v>16</v>
      </c>
      <c r="D146" s="9">
        <v>-301128.5</v>
      </c>
      <c r="F146" s="9"/>
      <c r="G146" s="254">
        <f t="array" ref="G146">SUM(('Отчет по покупателям УТ'!$J$6:$J$5000='Adj Ageing by Brand'!$B146)*('Отчет по покупателям УТ'!$H$6:$H$5000='Adj Ageing by Brand'!G$8)*('Отчет по покупателям УТ'!$M$6:$M$5000='Adj Ageing by Brand'!$A146)*('Отчет по покупателям УТ'!$K$6:$K$5000))</f>
        <v>0</v>
      </c>
      <c r="H146" s="254">
        <f t="array" ref="H146">SUM(('Отчет по покупателям УТ'!$J$6:$J$5000='Adj Ageing by Brand'!$B146)*('Отчет по покупателям УТ'!$H$6:$H$5000='Adj Ageing by Brand'!H$8)*('Отчет по покупателям УТ'!$M$6:$M$5000='Adj Ageing by Brand'!$A146)*('Отчет по покупателям УТ'!$K$6:$K$5000))</f>
        <v>0</v>
      </c>
      <c r="I146" s="254">
        <f t="array" ref="I146">SUM(('Отчет по покупателям УТ'!$J$6:$J$5000='Adj Ageing by Brand'!$B146)*('Отчет по покупателям УТ'!$H$6:$H$5000='Adj Ageing by Brand'!I$8)*('Отчет по покупателям УТ'!$M$6:$M$5000='Adj Ageing by Brand'!$A146)*('Отчет по покупателям УТ'!$K$6:$K$5000))</f>
        <v>0</v>
      </c>
      <c r="J146" s="254">
        <f t="array" ref="J146">SUM(('Отчет по покупателям УТ'!$J$6:$J$5000='Adj Ageing by Brand'!$B146)*('Отчет по покупателям УТ'!$H$6:$H$5000='Adj Ageing by Brand'!J$8)*('Отчет по покупателям УТ'!$M$6:$M$5000='Adj Ageing by Brand'!$A146)*('Отчет по покупателям УТ'!$K$6:$K$5000))</f>
        <v>0</v>
      </c>
      <c r="K146" s="254">
        <f t="array" ref="K146">SUM(('Отчет по покупателям УТ'!$J$6:$J$5000='Adj Ageing by Brand'!$B146)*('Отчет по покупателям УТ'!$H$6:$H$5000='Adj Ageing by Brand'!K$8)*('Отчет по покупателям УТ'!$M$6:$M$5000='Adj Ageing by Brand'!$A146)*('Отчет по покупателям УТ'!$K$6:$K$5000))</f>
        <v>0</v>
      </c>
      <c r="L146" s="254">
        <f t="array" ref="L146">SUM(('Отчет по покупателям УТ'!$J$6:$J$5000='Adj Ageing by Brand'!$B146)*('Отчет по покупателям УТ'!$H$6:$H$5000='Adj Ageing by Brand'!L$8)*('Отчет по покупателям УТ'!$M$6:$M$5000='Adj Ageing by Brand'!$A146)*('Отчет по покупателям УТ'!$K$6:$K$5000))</f>
        <v>-301128.5</v>
      </c>
      <c r="M146" s="44">
        <f t="shared" si="69"/>
        <v>-301128.5</v>
      </c>
      <c r="R146" s="9" t="b">
        <f t="shared" si="70"/>
        <v>1</v>
      </c>
      <c r="S146" s="228">
        <f t="shared" si="71"/>
        <v>0</v>
      </c>
      <c r="T146" s="228">
        <f t="shared" si="72"/>
        <v>-301128.5</v>
      </c>
      <c r="U146" s="228">
        <f t="shared" si="73"/>
        <v>0</v>
      </c>
      <c r="V146" s="228">
        <f t="shared" si="74"/>
        <v>-301128.5</v>
      </c>
      <c r="W146" s="228">
        <f t="shared" si="75"/>
        <v>0</v>
      </c>
      <c r="X146" s="228">
        <f t="shared" si="76"/>
        <v>-301128.5</v>
      </c>
      <c r="Y146" s="228">
        <f t="shared" si="77"/>
        <v>0</v>
      </c>
      <c r="Z146" s="228">
        <f t="shared" si="78"/>
        <v>-301128.5</v>
      </c>
      <c r="AA146" s="228">
        <f t="shared" si="79"/>
        <v>0</v>
      </c>
      <c r="AB146" s="228">
        <f t="shared" si="80"/>
        <v>-301128.5</v>
      </c>
      <c r="AC146" s="247">
        <f t="shared" si="81"/>
        <v>-301128.5</v>
      </c>
      <c r="AD146" s="227">
        <f t="shared" si="68"/>
        <v>0</v>
      </c>
    </row>
    <row r="147" spans="1:30" x14ac:dyDescent="0.2">
      <c r="A147" t="s">
        <v>1198</v>
      </c>
      <c r="B147" t="s">
        <v>31</v>
      </c>
      <c r="D147" s="9">
        <v>-220629.55</v>
      </c>
      <c r="F147" s="9"/>
      <c r="G147" s="254">
        <f t="array" ref="G147">SUM(('Отчет по покупателям УТ'!$J$6:$J$5000='Adj Ageing by Brand'!$B147)*('Отчет по покупателям УТ'!$H$6:$H$5000='Adj Ageing by Brand'!G$8)*('Отчет по покупателям УТ'!$M$6:$M$5000='Adj Ageing by Brand'!$A147)*('Отчет по покупателям УТ'!$K$6:$K$5000))</f>
        <v>0</v>
      </c>
      <c r="H147" s="254">
        <f t="array" ref="H147">SUM(('Отчет по покупателям УТ'!$J$6:$J$5000='Adj Ageing by Brand'!$B147)*('Отчет по покупателям УТ'!$H$6:$H$5000='Adj Ageing by Brand'!H$8)*('Отчет по покупателям УТ'!$M$6:$M$5000='Adj Ageing by Brand'!$A147)*('Отчет по покупателям УТ'!$K$6:$K$5000))</f>
        <v>0</v>
      </c>
      <c r="I147" s="254">
        <f t="array" ref="I147">SUM(('Отчет по покупателям УТ'!$J$6:$J$5000='Adj Ageing by Brand'!$B147)*('Отчет по покупателям УТ'!$H$6:$H$5000='Adj Ageing by Brand'!I$8)*('Отчет по покупателям УТ'!$M$6:$M$5000='Adj Ageing by Brand'!$A147)*('Отчет по покупателям УТ'!$K$6:$K$5000))</f>
        <v>0</v>
      </c>
      <c r="J147" s="254">
        <f t="array" ref="J147">SUM(('Отчет по покупателям УТ'!$J$6:$J$5000='Adj Ageing by Brand'!$B147)*('Отчет по покупателям УТ'!$H$6:$H$5000='Adj Ageing by Brand'!J$8)*('Отчет по покупателям УТ'!$M$6:$M$5000='Adj Ageing by Brand'!$A147)*('Отчет по покупателям УТ'!$K$6:$K$5000))</f>
        <v>0</v>
      </c>
      <c r="K147" s="254">
        <f t="array" ref="K147">SUM(('Отчет по покупателям УТ'!$J$6:$J$5000='Adj Ageing by Brand'!$B147)*('Отчет по покупателям УТ'!$H$6:$H$5000='Adj Ageing by Brand'!K$8)*('Отчет по покупателям УТ'!$M$6:$M$5000='Adj Ageing by Brand'!$A147)*('Отчет по покупателям УТ'!$K$6:$K$5000))</f>
        <v>0</v>
      </c>
      <c r="L147" s="254">
        <f t="array" ref="L147">SUM(('Отчет по покупателям УТ'!$J$6:$J$5000='Adj Ageing by Brand'!$B147)*('Отчет по покупателям УТ'!$H$6:$H$5000='Adj Ageing by Brand'!L$8)*('Отчет по покупателям УТ'!$M$6:$M$5000='Adj Ageing by Brand'!$A147)*('Отчет по покупателям УТ'!$K$6:$K$5000))</f>
        <v>-220629.55</v>
      </c>
      <c r="M147" s="44">
        <f t="shared" si="69"/>
        <v>-220629.55</v>
      </c>
      <c r="R147" s="9" t="b">
        <f t="shared" si="70"/>
        <v>1</v>
      </c>
      <c r="S147" s="228">
        <f t="shared" si="71"/>
        <v>0</v>
      </c>
      <c r="T147" s="228">
        <f t="shared" si="72"/>
        <v>-220629.55</v>
      </c>
      <c r="U147" s="228">
        <f t="shared" si="73"/>
        <v>0</v>
      </c>
      <c r="V147" s="228">
        <f t="shared" si="74"/>
        <v>-220629.55</v>
      </c>
      <c r="W147" s="228">
        <f t="shared" si="75"/>
        <v>0</v>
      </c>
      <c r="X147" s="228">
        <f t="shared" si="76"/>
        <v>-220629.55</v>
      </c>
      <c r="Y147" s="228">
        <f t="shared" si="77"/>
        <v>0</v>
      </c>
      <c r="Z147" s="228">
        <f t="shared" si="78"/>
        <v>-220629.55</v>
      </c>
      <c r="AA147" s="228">
        <f t="shared" si="79"/>
        <v>0</v>
      </c>
      <c r="AB147" s="228">
        <f t="shared" si="80"/>
        <v>-220629.55</v>
      </c>
      <c r="AC147" s="247">
        <f t="shared" si="81"/>
        <v>-220629.55</v>
      </c>
      <c r="AD147" s="227">
        <f t="shared" si="68"/>
        <v>0</v>
      </c>
    </row>
    <row r="148" spans="1:30" x14ac:dyDescent="0.2">
      <c r="A148" t="s">
        <v>1136</v>
      </c>
      <c r="B148" t="s">
        <v>22</v>
      </c>
      <c r="D148" s="9">
        <v>-229152</v>
      </c>
      <c r="F148" s="9"/>
      <c r="G148" s="254">
        <f t="array" ref="G148">SUM(('Отчет по покупателям УТ'!$J$6:$J$5000='Adj Ageing by Brand'!$B148)*('Отчет по покупателям УТ'!$H$6:$H$5000='Adj Ageing by Brand'!G$8)*('Отчет по покупателям УТ'!$M$6:$M$5000='Adj Ageing by Brand'!$A148)*('Отчет по покупателям УТ'!$K$6:$K$5000))</f>
        <v>0</v>
      </c>
      <c r="H148" s="254">
        <f t="array" ref="H148">SUM(('Отчет по покупателям УТ'!$J$6:$J$5000='Adj Ageing by Brand'!$B148)*('Отчет по покупателям УТ'!$H$6:$H$5000='Adj Ageing by Brand'!H$8)*('Отчет по покупателям УТ'!$M$6:$M$5000='Adj Ageing by Brand'!$A148)*('Отчет по покупателям УТ'!$K$6:$K$5000))</f>
        <v>0</v>
      </c>
      <c r="I148" s="254">
        <f t="array" ref="I148">SUM(('Отчет по покупателям УТ'!$J$6:$J$5000='Adj Ageing by Brand'!$B148)*('Отчет по покупателям УТ'!$H$6:$H$5000='Adj Ageing by Brand'!I$8)*('Отчет по покупателям УТ'!$M$6:$M$5000='Adj Ageing by Brand'!$A148)*('Отчет по покупателям УТ'!$K$6:$K$5000))</f>
        <v>0</v>
      </c>
      <c r="J148" s="254">
        <f t="array" ref="J148">SUM(('Отчет по покупателям УТ'!$J$6:$J$5000='Adj Ageing by Brand'!$B148)*('Отчет по покупателям УТ'!$H$6:$H$5000='Adj Ageing by Brand'!J$8)*('Отчет по покупателям УТ'!$M$6:$M$5000='Adj Ageing by Brand'!$A148)*('Отчет по покупателям УТ'!$K$6:$K$5000))</f>
        <v>0</v>
      </c>
      <c r="K148" s="254">
        <f t="array" ref="K148">SUM(('Отчет по покупателям УТ'!$J$6:$J$5000='Adj Ageing by Brand'!$B148)*('Отчет по покупателям УТ'!$H$6:$H$5000='Adj Ageing by Brand'!K$8)*('Отчет по покупателям УТ'!$M$6:$M$5000='Adj Ageing by Brand'!$A148)*('Отчет по покупателям УТ'!$K$6:$K$5000))</f>
        <v>0</v>
      </c>
      <c r="L148" s="254">
        <f t="array" ref="L148">SUM(('Отчет по покупателям УТ'!$J$6:$J$5000='Adj Ageing by Brand'!$B148)*('Отчет по покупателям УТ'!$H$6:$H$5000='Adj Ageing by Brand'!L$8)*('Отчет по покупателям УТ'!$M$6:$M$5000='Adj Ageing by Brand'!$A148)*('Отчет по покупателям УТ'!$K$6:$K$5000))</f>
        <v>-229152</v>
      </c>
      <c r="M148" s="44">
        <f t="shared" si="69"/>
        <v>-229152</v>
      </c>
      <c r="R148" s="9" t="b">
        <f t="shared" si="70"/>
        <v>1</v>
      </c>
      <c r="S148" s="228">
        <f t="shared" si="71"/>
        <v>0</v>
      </c>
      <c r="T148" s="228">
        <f t="shared" si="72"/>
        <v>-229152</v>
      </c>
      <c r="U148" s="228">
        <f t="shared" si="73"/>
        <v>0</v>
      </c>
      <c r="V148" s="228">
        <f t="shared" si="74"/>
        <v>-229152</v>
      </c>
      <c r="W148" s="228">
        <f t="shared" si="75"/>
        <v>0</v>
      </c>
      <c r="X148" s="228">
        <f t="shared" si="76"/>
        <v>-229152</v>
      </c>
      <c r="Y148" s="228">
        <f t="shared" si="77"/>
        <v>0</v>
      </c>
      <c r="Z148" s="228">
        <f t="shared" si="78"/>
        <v>-229152</v>
      </c>
      <c r="AA148" s="228">
        <f t="shared" si="79"/>
        <v>0</v>
      </c>
      <c r="AB148" s="228">
        <f t="shared" si="80"/>
        <v>-229152</v>
      </c>
      <c r="AC148" s="247">
        <f t="shared" si="81"/>
        <v>-229152</v>
      </c>
      <c r="AD148" s="227">
        <f t="shared" si="68"/>
        <v>0</v>
      </c>
    </row>
    <row r="149" spans="1:30" x14ac:dyDescent="0.2">
      <c r="A149" t="s">
        <v>1136</v>
      </c>
      <c r="B149" t="s">
        <v>16</v>
      </c>
      <c r="D149" s="9">
        <v>-1256423.52</v>
      </c>
      <c r="F149" s="9"/>
      <c r="G149" s="254">
        <f t="array" ref="G149">SUM(('Отчет по покупателям УТ'!$J$6:$J$5000='Adj Ageing by Brand'!$B149)*('Отчет по покупателям УТ'!$H$6:$H$5000='Adj Ageing by Brand'!G$8)*('Отчет по покупателям УТ'!$M$6:$M$5000='Adj Ageing by Brand'!$A149)*('Отчет по покупателям УТ'!$K$6:$K$5000))</f>
        <v>0</v>
      </c>
      <c r="H149" s="254">
        <f t="array" ref="H149">SUM(('Отчет по покупателям УТ'!$J$6:$J$5000='Adj Ageing by Brand'!$B149)*('Отчет по покупателям УТ'!$H$6:$H$5000='Adj Ageing by Brand'!H$8)*('Отчет по покупателям УТ'!$M$6:$M$5000='Adj Ageing by Brand'!$A149)*('Отчет по покупателям УТ'!$K$6:$K$5000))</f>
        <v>0</v>
      </c>
      <c r="I149" s="254">
        <f t="array" ref="I149">SUM(('Отчет по покупателям УТ'!$J$6:$J$5000='Adj Ageing by Brand'!$B149)*('Отчет по покупателям УТ'!$H$6:$H$5000='Adj Ageing by Brand'!I$8)*('Отчет по покупателям УТ'!$M$6:$M$5000='Adj Ageing by Brand'!$A149)*('Отчет по покупателям УТ'!$K$6:$K$5000))</f>
        <v>0</v>
      </c>
      <c r="J149" s="254">
        <f t="array" ref="J149">SUM(('Отчет по покупателям УТ'!$J$6:$J$5000='Adj Ageing by Brand'!$B149)*('Отчет по покупателям УТ'!$H$6:$H$5000='Adj Ageing by Brand'!J$8)*('Отчет по покупателям УТ'!$M$6:$M$5000='Adj Ageing by Brand'!$A149)*('Отчет по покупателям УТ'!$K$6:$K$5000))</f>
        <v>0</v>
      </c>
      <c r="K149" s="254">
        <f t="array" ref="K149">SUM(('Отчет по покупателям УТ'!$J$6:$J$5000='Adj Ageing by Brand'!$B149)*('Отчет по покупателям УТ'!$H$6:$H$5000='Adj Ageing by Brand'!K$8)*('Отчет по покупателям УТ'!$M$6:$M$5000='Adj Ageing by Brand'!$A149)*('Отчет по покупателям УТ'!$K$6:$K$5000))</f>
        <v>0</v>
      </c>
      <c r="L149" s="254">
        <f t="array" ref="L149">SUM(('Отчет по покупателям УТ'!$J$6:$J$5000='Adj Ageing by Brand'!$B149)*('Отчет по покупателям УТ'!$H$6:$H$5000='Adj Ageing by Brand'!L$8)*('Отчет по покупателям УТ'!$M$6:$M$5000='Adj Ageing by Brand'!$A149)*('Отчет по покупателям УТ'!$K$6:$K$5000))</f>
        <v>-1256423.52</v>
      </c>
      <c r="M149" s="44">
        <f t="shared" si="69"/>
        <v>-1256423.52</v>
      </c>
      <c r="R149" s="9" t="b">
        <f t="shared" si="70"/>
        <v>1</v>
      </c>
      <c r="S149" s="228">
        <f t="shared" si="71"/>
        <v>0</v>
      </c>
      <c r="T149" s="228">
        <f t="shared" si="72"/>
        <v>-1256423.52</v>
      </c>
      <c r="U149" s="228">
        <f t="shared" si="73"/>
        <v>0</v>
      </c>
      <c r="V149" s="228">
        <f t="shared" si="74"/>
        <v>-1256423.52</v>
      </c>
      <c r="W149" s="228">
        <f t="shared" si="75"/>
        <v>0</v>
      </c>
      <c r="X149" s="228">
        <f t="shared" si="76"/>
        <v>-1256423.52</v>
      </c>
      <c r="Y149" s="228">
        <f t="shared" si="77"/>
        <v>0</v>
      </c>
      <c r="Z149" s="228">
        <f t="shared" si="78"/>
        <v>-1256423.52</v>
      </c>
      <c r="AA149" s="228">
        <f t="shared" si="79"/>
        <v>0</v>
      </c>
      <c r="AB149" s="228">
        <f t="shared" si="80"/>
        <v>-1256423.52</v>
      </c>
      <c r="AC149" s="247">
        <f t="shared" si="81"/>
        <v>-1256423.52</v>
      </c>
      <c r="AD149" s="227">
        <f t="shared" si="68"/>
        <v>0</v>
      </c>
    </row>
    <row r="150" spans="1:30" x14ac:dyDescent="0.2">
      <c r="A150" t="s">
        <v>1136</v>
      </c>
      <c r="B150" t="s">
        <v>23</v>
      </c>
      <c r="D150" s="9">
        <v>-376249.05000000005</v>
      </c>
      <c r="F150" s="9"/>
      <c r="G150" s="254">
        <f t="array" ref="G150">SUM(('Отчет по покупателям УТ'!$J$6:$J$5000='Adj Ageing by Brand'!$B150)*('Отчет по покупателям УТ'!$H$6:$H$5000='Adj Ageing by Brand'!G$8)*('Отчет по покупателям УТ'!$M$6:$M$5000='Adj Ageing by Brand'!$A150)*('Отчет по покупателям УТ'!$K$6:$K$5000))</f>
        <v>0</v>
      </c>
      <c r="H150" s="254">
        <f t="array" ref="H150">SUM(('Отчет по покупателям УТ'!$J$6:$J$5000='Adj Ageing by Brand'!$B150)*('Отчет по покупателям УТ'!$H$6:$H$5000='Adj Ageing by Brand'!H$8)*('Отчет по покупателям УТ'!$M$6:$M$5000='Adj Ageing by Brand'!$A150)*('Отчет по покупателям УТ'!$K$6:$K$5000))</f>
        <v>0</v>
      </c>
      <c r="I150" s="254">
        <f t="array" ref="I150">SUM(('Отчет по покупателям УТ'!$J$6:$J$5000='Adj Ageing by Brand'!$B150)*('Отчет по покупателям УТ'!$H$6:$H$5000='Adj Ageing by Brand'!I$8)*('Отчет по покупателям УТ'!$M$6:$M$5000='Adj Ageing by Brand'!$A150)*('Отчет по покупателям УТ'!$K$6:$K$5000))</f>
        <v>0</v>
      </c>
      <c r="J150" s="254">
        <f t="array" ref="J150">SUM(('Отчет по покупателям УТ'!$J$6:$J$5000='Adj Ageing by Brand'!$B150)*('Отчет по покупателям УТ'!$H$6:$H$5000='Adj Ageing by Brand'!J$8)*('Отчет по покупателям УТ'!$M$6:$M$5000='Adj Ageing by Brand'!$A150)*('Отчет по покупателям УТ'!$K$6:$K$5000))</f>
        <v>0</v>
      </c>
      <c r="K150" s="254">
        <f t="array" ref="K150">SUM(('Отчет по покупателям УТ'!$J$6:$J$5000='Adj Ageing by Brand'!$B150)*('Отчет по покупателям УТ'!$H$6:$H$5000='Adj Ageing by Brand'!K$8)*('Отчет по покупателям УТ'!$M$6:$M$5000='Adj Ageing by Brand'!$A150)*('Отчет по покупателям УТ'!$K$6:$K$5000))</f>
        <v>0</v>
      </c>
      <c r="L150" s="254">
        <f t="array" ref="L150">SUM(('Отчет по покупателям УТ'!$J$6:$J$5000='Adj Ageing by Brand'!$B150)*('Отчет по покупателям УТ'!$H$6:$H$5000='Adj Ageing by Brand'!L$8)*('Отчет по покупателям УТ'!$M$6:$M$5000='Adj Ageing by Brand'!$A150)*('Отчет по покупателям УТ'!$K$6:$K$5000))</f>
        <v>-376249.05000000005</v>
      </c>
      <c r="M150" s="44">
        <f t="shared" si="69"/>
        <v>-376249.05000000005</v>
      </c>
      <c r="R150" s="9" t="b">
        <f t="shared" si="70"/>
        <v>1</v>
      </c>
      <c r="S150" s="228">
        <f t="shared" si="71"/>
        <v>0</v>
      </c>
      <c r="T150" s="228">
        <f t="shared" si="72"/>
        <v>-376249.05000000005</v>
      </c>
      <c r="U150" s="228">
        <f t="shared" si="73"/>
        <v>0</v>
      </c>
      <c r="V150" s="228">
        <f t="shared" si="74"/>
        <v>-376249.05000000005</v>
      </c>
      <c r="W150" s="228">
        <f t="shared" si="75"/>
        <v>0</v>
      </c>
      <c r="X150" s="228">
        <f t="shared" si="76"/>
        <v>-376249.05000000005</v>
      </c>
      <c r="Y150" s="228">
        <f t="shared" si="77"/>
        <v>0</v>
      </c>
      <c r="Z150" s="228">
        <f t="shared" si="78"/>
        <v>-376249.05000000005</v>
      </c>
      <c r="AA150" s="228">
        <f t="shared" si="79"/>
        <v>0</v>
      </c>
      <c r="AB150" s="228">
        <f t="shared" si="80"/>
        <v>-376249.05000000005</v>
      </c>
      <c r="AC150" s="247">
        <f t="shared" si="81"/>
        <v>-376249.05000000005</v>
      </c>
      <c r="AD150" s="227">
        <f t="shared" si="68"/>
        <v>0</v>
      </c>
    </row>
    <row r="151" spans="1:30" x14ac:dyDescent="0.2">
      <c r="A151" t="s">
        <v>1390</v>
      </c>
      <c r="B151" t="s">
        <v>31</v>
      </c>
      <c r="D151" s="9">
        <v>-66196.14</v>
      </c>
      <c r="F151" s="9"/>
      <c r="G151" s="254">
        <f t="array" ref="G151">SUM(('Отчет по покупателям УТ'!$J$6:$J$5000='Adj Ageing by Brand'!$B151)*('Отчет по покупателям УТ'!$H$6:$H$5000='Adj Ageing by Brand'!G$8)*('Отчет по покупателям УТ'!$M$6:$M$5000='Adj Ageing by Brand'!$A151)*('Отчет по покупателям УТ'!$K$6:$K$5000))</f>
        <v>0</v>
      </c>
      <c r="H151" s="254">
        <f t="array" ref="H151">SUM(('Отчет по покупателям УТ'!$J$6:$J$5000='Adj Ageing by Brand'!$B151)*('Отчет по покупателям УТ'!$H$6:$H$5000='Adj Ageing by Brand'!H$8)*('Отчет по покупателям УТ'!$M$6:$M$5000='Adj Ageing by Brand'!$A151)*('Отчет по покупателям УТ'!$K$6:$K$5000))</f>
        <v>0</v>
      </c>
      <c r="I151" s="254">
        <f t="array" ref="I151">SUM(('Отчет по покупателям УТ'!$J$6:$J$5000='Adj Ageing by Brand'!$B151)*('Отчет по покупателям УТ'!$H$6:$H$5000='Adj Ageing by Brand'!I$8)*('Отчет по покупателям УТ'!$M$6:$M$5000='Adj Ageing by Brand'!$A151)*('Отчет по покупателям УТ'!$K$6:$K$5000))</f>
        <v>0</v>
      </c>
      <c r="J151" s="254">
        <f t="array" ref="J151">SUM(('Отчет по покупателям УТ'!$J$6:$J$5000='Adj Ageing by Brand'!$B151)*('Отчет по покупателям УТ'!$H$6:$H$5000='Adj Ageing by Brand'!J$8)*('Отчет по покупателям УТ'!$M$6:$M$5000='Adj Ageing by Brand'!$A151)*('Отчет по покупателям УТ'!$K$6:$K$5000))</f>
        <v>0</v>
      </c>
      <c r="K151" s="254">
        <f t="array" ref="K151">SUM(('Отчет по покупателям УТ'!$J$6:$J$5000='Adj Ageing by Brand'!$B151)*('Отчет по покупателям УТ'!$H$6:$H$5000='Adj Ageing by Brand'!K$8)*('Отчет по покупателям УТ'!$M$6:$M$5000='Adj Ageing by Brand'!$A151)*('Отчет по покупателям УТ'!$K$6:$K$5000))</f>
        <v>0</v>
      </c>
      <c r="L151" s="254">
        <f t="array" ref="L151">SUM(('Отчет по покупателям УТ'!$J$6:$J$5000='Adj Ageing by Brand'!$B151)*('Отчет по покупателям УТ'!$H$6:$H$5000='Adj Ageing by Brand'!L$8)*('Отчет по покупателям УТ'!$M$6:$M$5000='Adj Ageing by Brand'!$A151)*('Отчет по покупателям УТ'!$K$6:$K$5000))</f>
        <v>-66196.14</v>
      </c>
      <c r="M151" s="44">
        <f t="shared" si="69"/>
        <v>-66196.14</v>
      </c>
      <c r="R151" s="9" t="b">
        <f t="shared" si="70"/>
        <v>1</v>
      </c>
      <c r="S151" s="228">
        <f t="shared" si="71"/>
        <v>0</v>
      </c>
      <c r="T151" s="228">
        <f t="shared" si="72"/>
        <v>-66196.14</v>
      </c>
      <c r="U151" s="228">
        <f t="shared" si="73"/>
        <v>0</v>
      </c>
      <c r="V151" s="228">
        <f t="shared" si="74"/>
        <v>-66196.14</v>
      </c>
      <c r="W151" s="228">
        <f t="shared" si="75"/>
        <v>0</v>
      </c>
      <c r="X151" s="228">
        <f t="shared" si="76"/>
        <v>-66196.14</v>
      </c>
      <c r="Y151" s="228">
        <f t="shared" si="77"/>
        <v>0</v>
      </c>
      <c r="Z151" s="228">
        <f t="shared" si="78"/>
        <v>-66196.14</v>
      </c>
      <c r="AA151" s="228">
        <f t="shared" si="79"/>
        <v>0</v>
      </c>
      <c r="AB151" s="228">
        <f t="shared" si="80"/>
        <v>-66196.14</v>
      </c>
      <c r="AC151" s="247">
        <f t="shared" si="81"/>
        <v>-66196.14</v>
      </c>
      <c r="AD151" s="227">
        <f t="shared" si="68"/>
        <v>0</v>
      </c>
    </row>
    <row r="152" spans="1:30" x14ac:dyDescent="0.2">
      <c r="A152" t="s">
        <v>1485</v>
      </c>
      <c r="B152" t="s">
        <v>22</v>
      </c>
      <c r="D152" s="9">
        <v>-85906.98</v>
      </c>
      <c r="F152" s="9"/>
      <c r="G152" s="254">
        <f t="array" ref="G152">SUM(('Отчет по покупателям УТ'!$J$6:$J$5000='Adj Ageing by Brand'!$B152)*('Отчет по покупателям УТ'!$H$6:$H$5000='Adj Ageing by Brand'!G$8)*('Отчет по покупателям УТ'!$M$6:$M$5000='Adj Ageing by Brand'!$A152)*('Отчет по покупателям УТ'!$K$6:$K$5000))</f>
        <v>0</v>
      </c>
      <c r="H152" s="254">
        <f t="array" ref="H152">SUM(('Отчет по покупателям УТ'!$J$6:$J$5000='Adj Ageing by Brand'!$B152)*('Отчет по покупателям УТ'!$H$6:$H$5000='Adj Ageing by Brand'!H$8)*('Отчет по покупателям УТ'!$M$6:$M$5000='Adj Ageing by Brand'!$A152)*('Отчет по покупателям УТ'!$K$6:$K$5000))</f>
        <v>0</v>
      </c>
      <c r="I152" s="254">
        <f t="array" ref="I152">SUM(('Отчет по покупателям УТ'!$J$6:$J$5000='Adj Ageing by Brand'!$B152)*('Отчет по покупателям УТ'!$H$6:$H$5000='Adj Ageing by Brand'!I$8)*('Отчет по покупателям УТ'!$M$6:$M$5000='Adj Ageing by Brand'!$A152)*('Отчет по покупателям УТ'!$K$6:$K$5000))</f>
        <v>0</v>
      </c>
      <c r="J152" s="254">
        <f t="array" ref="J152">SUM(('Отчет по покупателям УТ'!$J$6:$J$5000='Adj Ageing by Brand'!$B152)*('Отчет по покупателям УТ'!$H$6:$H$5000='Adj Ageing by Brand'!J$8)*('Отчет по покупателям УТ'!$M$6:$M$5000='Adj Ageing by Brand'!$A152)*('Отчет по покупателям УТ'!$K$6:$K$5000))</f>
        <v>0</v>
      </c>
      <c r="K152" s="254">
        <f t="array" ref="K152">SUM(('Отчет по покупателям УТ'!$J$6:$J$5000='Adj Ageing by Brand'!$B152)*('Отчет по покупателям УТ'!$H$6:$H$5000='Adj Ageing by Brand'!K$8)*('Отчет по покупателям УТ'!$M$6:$M$5000='Adj Ageing by Brand'!$A152)*('Отчет по покупателям УТ'!$K$6:$K$5000))</f>
        <v>0</v>
      </c>
      <c r="L152" s="254">
        <f t="array" ref="L152">SUM(('Отчет по покупателям УТ'!$J$6:$J$5000='Adj Ageing by Brand'!$B152)*('Отчет по покупателям УТ'!$H$6:$H$5000='Adj Ageing by Brand'!L$8)*('Отчет по покупателям УТ'!$M$6:$M$5000='Adj Ageing by Brand'!$A152)*('Отчет по покупателям УТ'!$K$6:$K$5000))</f>
        <v>-85906.98</v>
      </c>
      <c r="M152" s="44">
        <f t="shared" si="69"/>
        <v>-85906.98</v>
      </c>
      <c r="R152" s="9" t="b">
        <f t="shared" si="70"/>
        <v>1</v>
      </c>
      <c r="S152" s="228">
        <f t="shared" si="71"/>
        <v>0</v>
      </c>
      <c r="T152" s="228">
        <f t="shared" si="72"/>
        <v>-85906.98</v>
      </c>
      <c r="U152" s="228">
        <f t="shared" si="73"/>
        <v>0</v>
      </c>
      <c r="V152" s="228">
        <f t="shared" si="74"/>
        <v>-85906.98</v>
      </c>
      <c r="W152" s="228">
        <f t="shared" si="75"/>
        <v>0</v>
      </c>
      <c r="X152" s="228">
        <f t="shared" si="76"/>
        <v>-85906.98</v>
      </c>
      <c r="Y152" s="228">
        <f t="shared" si="77"/>
        <v>0</v>
      </c>
      <c r="Z152" s="228">
        <f t="shared" si="78"/>
        <v>-85906.98</v>
      </c>
      <c r="AA152" s="228">
        <f t="shared" si="79"/>
        <v>0</v>
      </c>
      <c r="AB152" s="228">
        <f t="shared" si="80"/>
        <v>-85906.98</v>
      </c>
      <c r="AC152" s="247">
        <f t="shared" si="81"/>
        <v>-85906.98</v>
      </c>
      <c r="AD152" s="227">
        <f t="shared" si="68"/>
        <v>0</v>
      </c>
    </row>
    <row r="153" spans="1:30" x14ac:dyDescent="0.2">
      <c r="A153" t="s">
        <v>1394</v>
      </c>
      <c r="B153" t="s">
        <v>22</v>
      </c>
      <c r="D153" s="9">
        <v>-42374</v>
      </c>
      <c r="F153" s="9"/>
      <c r="G153" s="254">
        <f t="array" ref="G153">SUM(('Отчет по покупателям УТ'!$J$6:$J$5000='Adj Ageing by Brand'!$B153)*('Отчет по покупателям УТ'!$H$6:$H$5000='Adj Ageing by Brand'!G$8)*('Отчет по покупателям УТ'!$M$6:$M$5000='Adj Ageing by Brand'!$A153)*('Отчет по покупателям УТ'!$K$6:$K$5000))</f>
        <v>0</v>
      </c>
      <c r="H153" s="254">
        <f t="array" ref="H153">SUM(('Отчет по покупателям УТ'!$J$6:$J$5000='Adj Ageing by Brand'!$B153)*('Отчет по покупателям УТ'!$H$6:$H$5000='Adj Ageing by Brand'!H$8)*('Отчет по покупателям УТ'!$M$6:$M$5000='Adj Ageing by Brand'!$A153)*('Отчет по покупателям УТ'!$K$6:$K$5000))</f>
        <v>0</v>
      </c>
      <c r="I153" s="254">
        <f t="array" ref="I153">SUM(('Отчет по покупателям УТ'!$J$6:$J$5000='Adj Ageing by Brand'!$B153)*('Отчет по покупателям УТ'!$H$6:$H$5000='Adj Ageing by Brand'!I$8)*('Отчет по покупателям УТ'!$M$6:$M$5000='Adj Ageing by Brand'!$A153)*('Отчет по покупателям УТ'!$K$6:$K$5000))</f>
        <v>0</v>
      </c>
      <c r="J153" s="254">
        <f t="array" ref="J153">SUM(('Отчет по покупателям УТ'!$J$6:$J$5000='Adj Ageing by Brand'!$B153)*('Отчет по покупателям УТ'!$H$6:$H$5000='Adj Ageing by Brand'!J$8)*('Отчет по покупателям УТ'!$M$6:$M$5000='Adj Ageing by Brand'!$A153)*('Отчет по покупателям УТ'!$K$6:$K$5000))</f>
        <v>0</v>
      </c>
      <c r="K153" s="254">
        <f t="array" ref="K153">SUM(('Отчет по покупателям УТ'!$J$6:$J$5000='Adj Ageing by Brand'!$B153)*('Отчет по покупателям УТ'!$H$6:$H$5000='Adj Ageing by Brand'!K$8)*('Отчет по покупателям УТ'!$M$6:$M$5000='Adj Ageing by Brand'!$A153)*('Отчет по покупателям УТ'!$K$6:$K$5000))</f>
        <v>0</v>
      </c>
      <c r="L153" s="254">
        <f t="array" ref="L153">SUM(('Отчет по покупателям УТ'!$J$6:$J$5000='Adj Ageing by Brand'!$B153)*('Отчет по покупателям УТ'!$H$6:$H$5000='Adj Ageing by Brand'!L$8)*('Отчет по покупателям УТ'!$M$6:$M$5000='Adj Ageing by Brand'!$A153)*('Отчет по покупателям УТ'!$K$6:$K$5000))</f>
        <v>-42374</v>
      </c>
      <c r="M153" s="44">
        <f t="shared" si="69"/>
        <v>-42374</v>
      </c>
      <c r="R153" s="9" t="b">
        <f t="shared" si="70"/>
        <v>1</v>
      </c>
      <c r="S153" s="228">
        <f t="shared" si="71"/>
        <v>0</v>
      </c>
      <c r="T153" s="228">
        <f t="shared" si="72"/>
        <v>-42374</v>
      </c>
      <c r="U153" s="228">
        <f t="shared" si="73"/>
        <v>0</v>
      </c>
      <c r="V153" s="228">
        <f t="shared" si="74"/>
        <v>-42374</v>
      </c>
      <c r="W153" s="228">
        <f t="shared" si="75"/>
        <v>0</v>
      </c>
      <c r="X153" s="228">
        <f t="shared" si="76"/>
        <v>-42374</v>
      </c>
      <c r="Y153" s="228">
        <f t="shared" si="77"/>
        <v>0</v>
      </c>
      <c r="Z153" s="228">
        <f t="shared" si="78"/>
        <v>-42374</v>
      </c>
      <c r="AA153" s="228">
        <f t="shared" si="79"/>
        <v>0</v>
      </c>
      <c r="AB153" s="228">
        <f t="shared" si="80"/>
        <v>-42374</v>
      </c>
      <c r="AC153" s="247">
        <f t="shared" si="81"/>
        <v>-42374</v>
      </c>
      <c r="AD153" s="227">
        <f t="shared" si="68"/>
        <v>0</v>
      </c>
    </row>
    <row r="154" spans="1:30" x14ac:dyDescent="0.2">
      <c r="A154" t="s">
        <v>1394</v>
      </c>
      <c r="B154" t="s">
        <v>31</v>
      </c>
      <c r="D154" s="9">
        <v>-75139.429999999993</v>
      </c>
      <c r="F154" s="9"/>
      <c r="G154" s="254">
        <f t="array" ref="G154">SUM(('Отчет по покупателям УТ'!$J$6:$J$5000='Adj Ageing by Brand'!$B154)*('Отчет по покупателям УТ'!$H$6:$H$5000='Adj Ageing by Brand'!G$8)*('Отчет по покупателям УТ'!$M$6:$M$5000='Adj Ageing by Brand'!$A154)*('Отчет по покупателям УТ'!$K$6:$K$5000))</f>
        <v>0</v>
      </c>
      <c r="H154" s="254">
        <f t="array" ref="H154">SUM(('Отчет по покупателям УТ'!$J$6:$J$5000='Adj Ageing by Brand'!$B154)*('Отчет по покупателям УТ'!$H$6:$H$5000='Adj Ageing by Brand'!H$8)*('Отчет по покупателям УТ'!$M$6:$M$5000='Adj Ageing by Brand'!$A154)*('Отчет по покупателям УТ'!$K$6:$K$5000))</f>
        <v>0</v>
      </c>
      <c r="I154" s="254">
        <f t="array" ref="I154">SUM(('Отчет по покупателям УТ'!$J$6:$J$5000='Adj Ageing by Brand'!$B154)*('Отчет по покупателям УТ'!$H$6:$H$5000='Adj Ageing by Brand'!I$8)*('Отчет по покупателям УТ'!$M$6:$M$5000='Adj Ageing by Brand'!$A154)*('Отчет по покупателям УТ'!$K$6:$K$5000))</f>
        <v>0</v>
      </c>
      <c r="J154" s="254">
        <f t="array" ref="J154">SUM(('Отчет по покупателям УТ'!$J$6:$J$5000='Adj Ageing by Brand'!$B154)*('Отчет по покупателям УТ'!$H$6:$H$5000='Adj Ageing by Brand'!J$8)*('Отчет по покупателям УТ'!$M$6:$M$5000='Adj Ageing by Brand'!$A154)*('Отчет по покупателям УТ'!$K$6:$K$5000))</f>
        <v>0</v>
      </c>
      <c r="K154" s="254">
        <f t="array" ref="K154">SUM(('Отчет по покупателям УТ'!$J$6:$J$5000='Adj Ageing by Brand'!$B154)*('Отчет по покупателям УТ'!$H$6:$H$5000='Adj Ageing by Brand'!K$8)*('Отчет по покупателям УТ'!$M$6:$M$5000='Adj Ageing by Brand'!$A154)*('Отчет по покупателям УТ'!$K$6:$K$5000))</f>
        <v>0</v>
      </c>
      <c r="L154" s="254">
        <f t="array" ref="L154">SUM(('Отчет по покупателям УТ'!$J$6:$J$5000='Adj Ageing by Brand'!$B154)*('Отчет по покупателям УТ'!$H$6:$H$5000='Adj Ageing by Brand'!L$8)*('Отчет по покупателям УТ'!$M$6:$M$5000='Adj Ageing by Brand'!$A154)*('Отчет по покупателям УТ'!$K$6:$K$5000))</f>
        <v>-75139.429999999993</v>
      </c>
      <c r="M154" s="44">
        <f t="shared" si="69"/>
        <v>-75139.429999999993</v>
      </c>
      <c r="R154" s="9" t="b">
        <f t="shared" si="70"/>
        <v>1</v>
      </c>
      <c r="S154" s="228">
        <f t="shared" si="71"/>
        <v>0</v>
      </c>
      <c r="T154" s="228">
        <f t="shared" si="72"/>
        <v>-75139.429999999993</v>
      </c>
      <c r="U154" s="228">
        <f t="shared" si="73"/>
        <v>0</v>
      </c>
      <c r="V154" s="228">
        <f t="shared" si="74"/>
        <v>-75139.429999999993</v>
      </c>
      <c r="W154" s="228">
        <f t="shared" si="75"/>
        <v>0</v>
      </c>
      <c r="X154" s="228">
        <f t="shared" si="76"/>
        <v>-75139.429999999993</v>
      </c>
      <c r="Y154" s="228">
        <f t="shared" si="77"/>
        <v>0</v>
      </c>
      <c r="Z154" s="228">
        <f t="shared" si="78"/>
        <v>-75139.429999999993</v>
      </c>
      <c r="AA154" s="228">
        <f t="shared" si="79"/>
        <v>0</v>
      </c>
      <c r="AB154" s="228">
        <f t="shared" si="80"/>
        <v>-75139.429999999993</v>
      </c>
      <c r="AC154" s="247">
        <f t="shared" si="81"/>
        <v>-75139.429999999993</v>
      </c>
      <c r="AD154" s="227">
        <f t="shared" si="68"/>
        <v>0</v>
      </c>
    </row>
    <row r="155" spans="1:30" x14ac:dyDescent="0.2">
      <c r="A155" t="s">
        <v>1428</v>
      </c>
      <c r="B155" t="s">
        <v>22</v>
      </c>
      <c r="D155" s="9">
        <v>-172960.58</v>
      </c>
      <c r="F155" s="9"/>
      <c r="G155" s="254">
        <f t="array" ref="G155">SUM(('Отчет по покупателям УТ'!$J$6:$J$5000='Adj Ageing by Brand'!$B155)*('Отчет по покупателям УТ'!$H$6:$H$5000='Adj Ageing by Brand'!G$8)*('Отчет по покупателям УТ'!$M$6:$M$5000='Adj Ageing by Brand'!$A155)*('Отчет по покупателям УТ'!$K$6:$K$5000))</f>
        <v>0</v>
      </c>
      <c r="H155" s="254">
        <f t="array" ref="H155">SUM(('Отчет по покупателям УТ'!$J$6:$J$5000='Adj Ageing by Brand'!$B155)*('Отчет по покупателям УТ'!$H$6:$H$5000='Adj Ageing by Brand'!H$8)*('Отчет по покупателям УТ'!$M$6:$M$5000='Adj Ageing by Brand'!$A155)*('Отчет по покупателям УТ'!$K$6:$K$5000))</f>
        <v>0</v>
      </c>
      <c r="I155" s="254">
        <f t="array" ref="I155">SUM(('Отчет по покупателям УТ'!$J$6:$J$5000='Adj Ageing by Brand'!$B155)*('Отчет по покупателям УТ'!$H$6:$H$5000='Adj Ageing by Brand'!I$8)*('Отчет по покупателям УТ'!$M$6:$M$5000='Adj Ageing by Brand'!$A155)*('Отчет по покупателям УТ'!$K$6:$K$5000))</f>
        <v>0</v>
      </c>
      <c r="J155" s="254">
        <f t="array" ref="J155">SUM(('Отчет по покупателям УТ'!$J$6:$J$5000='Adj Ageing by Brand'!$B155)*('Отчет по покупателям УТ'!$H$6:$H$5000='Adj Ageing by Brand'!J$8)*('Отчет по покупателям УТ'!$M$6:$M$5000='Adj Ageing by Brand'!$A155)*('Отчет по покупателям УТ'!$K$6:$K$5000))</f>
        <v>0</v>
      </c>
      <c r="K155" s="254">
        <f t="array" ref="K155">SUM(('Отчет по покупателям УТ'!$J$6:$J$5000='Adj Ageing by Brand'!$B155)*('Отчет по покупателям УТ'!$H$6:$H$5000='Adj Ageing by Brand'!K$8)*('Отчет по покупателям УТ'!$M$6:$M$5000='Adj Ageing by Brand'!$A155)*('Отчет по покупателям УТ'!$K$6:$K$5000))</f>
        <v>0</v>
      </c>
      <c r="L155" s="254">
        <f t="array" ref="L155">SUM(('Отчет по покупателям УТ'!$J$6:$J$5000='Adj Ageing by Brand'!$B155)*('Отчет по покупателям УТ'!$H$6:$H$5000='Adj Ageing by Brand'!L$8)*('Отчет по покупателям УТ'!$M$6:$M$5000='Adj Ageing by Brand'!$A155)*('Отчет по покупателям УТ'!$K$6:$K$5000))</f>
        <v>-172960.58</v>
      </c>
      <c r="M155" s="44">
        <f t="shared" ref="M155:M157" si="82">SUM(G155:L155)</f>
        <v>-172960.58</v>
      </c>
      <c r="R155" s="9" t="b">
        <f t="shared" ref="R155:R157" si="83">M155=SUM(S155,U155,W155,Y155,AA155,AB155)</f>
        <v>1</v>
      </c>
      <c r="S155" s="228">
        <f t="shared" ref="S155:S157" si="84">IF(G155+T155&lt;0,0,G155+T155)</f>
        <v>0</v>
      </c>
      <c r="T155" s="228">
        <f t="shared" ref="T155:T157" si="85">IF(L155+K155+J155+I155+H155&lt;0,L155+K155+J155+I155+H155,0)</f>
        <v>-172960.58</v>
      </c>
      <c r="U155" s="228">
        <f t="shared" ref="U155:U157" si="86">IF(H155+V155&lt;0,0,H155+V155)</f>
        <v>0</v>
      </c>
      <c r="V155" s="228">
        <f t="shared" ref="V155:V157" si="87">IF(L155+K155+J155+I155&lt;0,L155+K155+J155+I155,0)</f>
        <v>-172960.58</v>
      </c>
      <c r="W155" s="228">
        <f t="shared" ref="W155:W157" si="88">IF(I155+X155&lt;0,0,I155+X155)</f>
        <v>0</v>
      </c>
      <c r="X155" s="228">
        <f t="shared" ref="X155:X157" si="89">IF(L155+K155+J155&lt;0,L155+K155+J155,0)</f>
        <v>-172960.58</v>
      </c>
      <c r="Y155" s="228">
        <f t="shared" ref="Y155:Y157" si="90">IF(J155+Z155&lt;0,0,J155+Z155)</f>
        <v>0</v>
      </c>
      <c r="Z155" s="228">
        <f t="shared" ref="Z155:Z157" si="91">IF(L155+K155&lt;0,L155+K155,0)</f>
        <v>-172960.58</v>
      </c>
      <c r="AA155" s="228">
        <f t="shared" ref="AA155:AA157" si="92">IF(K155+L155&lt;0,0,K155+L155)</f>
        <v>0</v>
      </c>
      <c r="AB155" s="228">
        <f t="shared" ref="AB155:AB157" si="93">IF(SUM(G155:L155)&lt;0,M155,0)</f>
        <v>-172960.58</v>
      </c>
      <c r="AC155" s="247">
        <f t="shared" ref="AC155:AC157" si="94">SUM(AB155,AA155,Y155,W155,U155,S155)</f>
        <v>-172960.58</v>
      </c>
      <c r="AD155" s="227">
        <f t="shared" ref="AD155:AD157" si="95">SUM(S155,U155,W155,Y155,AA155)</f>
        <v>0</v>
      </c>
    </row>
    <row r="156" spans="1:30" x14ac:dyDescent="0.2">
      <c r="A156" t="s">
        <v>1469</v>
      </c>
      <c r="B156" t="s">
        <v>22</v>
      </c>
      <c r="D156" s="9">
        <v>-116070.62</v>
      </c>
      <c r="F156" s="9"/>
      <c r="G156" s="254">
        <f t="array" ref="G156">SUM(('Отчет по покупателям УТ'!$J$6:$J$5000='Adj Ageing by Brand'!$B156)*('Отчет по покупателям УТ'!$H$6:$H$5000='Adj Ageing by Brand'!G$8)*('Отчет по покупателям УТ'!$M$6:$M$5000='Adj Ageing by Brand'!$A156)*('Отчет по покупателям УТ'!$K$6:$K$5000))</f>
        <v>0</v>
      </c>
      <c r="H156" s="254">
        <f t="array" ref="H156">SUM(('Отчет по покупателям УТ'!$J$6:$J$5000='Adj Ageing by Brand'!$B156)*('Отчет по покупателям УТ'!$H$6:$H$5000='Adj Ageing by Brand'!H$8)*('Отчет по покупателям УТ'!$M$6:$M$5000='Adj Ageing by Brand'!$A156)*('Отчет по покупателям УТ'!$K$6:$K$5000))</f>
        <v>0</v>
      </c>
      <c r="I156" s="254">
        <f t="array" ref="I156">SUM(('Отчет по покупателям УТ'!$J$6:$J$5000='Adj Ageing by Brand'!$B156)*('Отчет по покупателям УТ'!$H$6:$H$5000='Adj Ageing by Brand'!I$8)*('Отчет по покупателям УТ'!$M$6:$M$5000='Adj Ageing by Brand'!$A156)*('Отчет по покупателям УТ'!$K$6:$K$5000))</f>
        <v>0</v>
      </c>
      <c r="J156" s="254">
        <f t="array" ref="J156">SUM(('Отчет по покупателям УТ'!$J$6:$J$5000='Adj Ageing by Brand'!$B156)*('Отчет по покупателям УТ'!$H$6:$H$5000='Adj Ageing by Brand'!J$8)*('Отчет по покупателям УТ'!$M$6:$M$5000='Adj Ageing by Brand'!$A156)*('Отчет по покупателям УТ'!$K$6:$K$5000))</f>
        <v>0</v>
      </c>
      <c r="K156" s="254">
        <f t="array" ref="K156">SUM(('Отчет по покупателям УТ'!$J$6:$J$5000='Adj Ageing by Brand'!$B156)*('Отчет по покупателям УТ'!$H$6:$H$5000='Adj Ageing by Brand'!K$8)*('Отчет по покупателям УТ'!$M$6:$M$5000='Adj Ageing by Brand'!$A156)*('Отчет по покупателям УТ'!$K$6:$K$5000))</f>
        <v>0</v>
      </c>
      <c r="L156" s="254">
        <f t="array" ref="L156">SUM(('Отчет по покупателям УТ'!$J$6:$J$5000='Adj Ageing by Brand'!$B156)*('Отчет по покупателям УТ'!$H$6:$H$5000='Adj Ageing by Brand'!L$8)*('Отчет по покупателям УТ'!$M$6:$M$5000='Adj Ageing by Brand'!$A156)*('Отчет по покупателям УТ'!$K$6:$K$5000))</f>
        <v>-116070.62</v>
      </c>
      <c r="M156" s="44">
        <f t="shared" si="82"/>
        <v>-116070.62</v>
      </c>
      <c r="R156" s="9" t="b">
        <f t="shared" si="83"/>
        <v>1</v>
      </c>
      <c r="S156" s="228">
        <f t="shared" si="84"/>
        <v>0</v>
      </c>
      <c r="T156" s="228">
        <f t="shared" si="85"/>
        <v>-116070.62</v>
      </c>
      <c r="U156" s="228">
        <f t="shared" si="86"/>
        <v>0</v>
      </c>
      <c r="V156" s="228">
        <f t="shared" si="87"/>
        <v>-116070.62</v>
      </c>
      <c r="W156" s="228">
        <f t="shared" si="88"/>
        <v>0</v>
      </c>
      <c r="X156" s="228">
        <f t="shared" si="89"/>
        <v>-116070.62</v>
      </c>
      <c r="Y156" s="228">
        <f t="shared" si="90"/>
        <v>0</v>
      </c>
      <c r="Z156" s="228">
        <f t="shared" si="91"/>
        <v>-116070.62</v>
      </c>
      <c r="AA156" s="228">
        <f t="shared" si="92"/>
        <v>0</v>
      </c>
      <c r="AB156" s="228">
        <f t="shared" si="93"/>
        <v>-116070.62</v>
      </c>
      <c r="AC156" s="247">
        <f t="shared" si="94"/>
        <v>-116070.62</v>
      </c>
      <c r="AD156" s="227">
        <f t="shared" si="95"/>
        <v>0</v>
      </c>
    </row>
    <row r="157" spans="1:30" x14ac:dyDescent="0.2">
      <c r="A157" t="s">
        <v>1469</v>
      </c>
      <c r="B157" t="s">
        <v>16</v>
      </c>
      <c r="D157" s="9">
        <v>-165178.58000000002</v>
      </c>
      <c r="F157" s="9"/>
      <c r="G157" s="254">
        <f t="array" ref="G157">SUM(('Отчет по покупателям УТ'!$J$6:$J$5000='Adj Ageing by Brand'!$B157)*('Отчет по покупателям УТ'!$H$6:$H$5000='Adj Ageing by Brand'!G$8)*('Отчет по покупателям УТ'!$M$6:$M$5000='Adj Ageing by Brand'!$A157)*('Отчет по покупателям УТ'!$K$6:$K$5000))</f>
        <v>0.8</v>
      </c>
      <c r="H157" s="254">
        <f t="array" ref="H157">SUM(('Отчет по покупателям УТ'!$J$6:$J$5000='Adj Ageing by Brand'!$B157)*('Отчет по покупателям УТ'!$H$6:$H$5000='Adj Ageing by Brand'!H$8)*('Отчет по покупателям УТ'!$M$6:$M$5000='Adj Ageing by Brand'!$A157)*('Отчет по покупателям УТ'!$K$6:$K$5000))</f>
        <v>0</v>
      </c>
      <c r="I157" s="254">
        <f t="array" ref="I157">SUM(('Отчет по покупателям УТ'!$J$6:$J$5000='Adj Ageing by Brand'!$B157)*('Отчет по покупателям УТ'!$H$6:$H$5000='Adj Ageing by Brand'!I$8)*('Отчет по покупателям УТ'!$M$6:$M$5000='Adj Ageing by Brand'!$A157)*('Отчет по покупателям УТ'!$K$6:$K$5000))</f>
        <v>0</v>
      </c>
      <c r="J157" s="254">
        <f t="array" ref="J157">SUM(('Отчет по покупателям УТ'!$J$6:$J$5000='Adj Ageing by Brand'!$B157)*('Отчет по покупателям УТ'!$H$6:$H$5000='Adj Ageing by Brand'!J$8)*('Отчет по покупателям УТ'!$M$6:$M$5000='Adj Ageing by Brand'!$A157)*('Отчет по покупателям УТ'!$K$6:$K$5000))</f>
        <v>0</v>
      </c>
      <c r="K157" s="254">
        <f t="array" ref="K157">SUM(('Отчет по покупателям УТ'!$J$6:$J$5000='Adj Ageing by Brand'!$B157)*('Отчет по покупателям УТ'!$H$6:$H$5000='Adj Ageing by Brand'!K$8)*('Отчет по покупателям УТ'!$M$6:$M$5000='Adj Ageing by Brand'!$A157)*('Отчет по покупателям УТ'!$K$6:$K$5000))</f>
        <v>0</v>
      </c>
      <c r="L157" s="254">
        <f t="array" ref="L157">SUM(('Отчет по покупателям УТ'!$J$6:$J$5000='Adj Ageing by Brand'!$B157)*('Отчет по покупателям УТ'!$H$6:$H$5000='Adj Ageing by Brand'!L$8)*('Отчет по покупателям УТ'!$M$6:$M$5000='Adj Ageing by Brand'!$A157)*('Отчет по покупателям УТ'!$K$6:$K$5000))</f>
        <v>-165179.38</v>
      </c>
      <c r="M157" s="44">
        <f t="shared" si="82"/>
        <v>-165178.58000000002</v>
      </c>
      <c r="R157" s="9" t="b">
        <f t="shared" si="83"/>
        <v>1</v>
      </c>
      <c r="S157" s="228">
        <f t="shared" si="84"/>
        <v>0</v>
      </c>
      <c r="T157" s="228">
        <f t="shared" si="85"/>
        <v>-165179.38</v>
      </c>
      <c r="U157" s="228">
        <f t="shared" si="86"/>
        <v>0</v>
      </c>
      <c r="V157" s="228">
        <f t="shared" si="87"/>
        <v>-165179.38</v>
      </c>
      <c r="W157" s="228">
        <f t="shared" si="88"/>
        <v>0</v>
      </c>
      <c r="X157" s="228">
        <f t="shared" si="89"/>
        <v>-165179.38</v>
      </c>
      <c r="Y157" s="228">
        <f t="shared" si="90"/>
        <v>0</v>
      </c>
      <c r="Z157" s="228">
        <f t="shared" si="91"/>
        <v>-165179.38</v>
      </c>
      <c r="AA157" s="228">
        <f t="shared" si="92"/>
        <v>0</v>
      </c>
      <c r="AB157" s="228">
        <f t="shared" si="93"/>
        <v>-165178.58000000002</v>
      </c>
      <c r="AC157" s="247">
        <f t="shared" si="94"/>
        <v>-165178.58000000002</v>
      </c>
      <c r="AD157" s="227">
        <f t="shared" si="95"/>
        <v>0</v>
      </c>
    </row>
    <row r="158" spans="1:30" x14ac:dyDescent="0.2">
      <c r="A158" t="s">
        <v>1486</v>
      </c>
      <c r="B158" t="s">
        <v>22</v>
      </c>
      <c r="D158" s="9">
        <v>-95860</v>
      </c>
      <c r="F158" s="9"/>
      <c r="G158" s="254">
        <f t="array" ref="G158">SUM(('Отчет по покупателям УТ'!$J$6:$J$5000='Adj Ageing by Brand'!$B158)*('Отчет по покупателям УТ'!$H$6:$H$5000='Adj Ageing by Brand'!G$8)*('Отчет по покупателям УТ'!$M$6:$M$5000='Adj Ageing by Brand'!$A158)*('Отчет по покупателям УТ'!$K$6:$K$5000))</f>
        <v>0</v>
      </c>
      <c r="H158" s="254">
        <f t="array" ref="H158">SUM(('Отчет по покупателям УТ'!$J$6:$J$5000='Adj Ageing by Brand'!$B158)*('Отчет по покупателям УТ'!$H$6:$H$5000='Adj Ageing by Brand'!H$8)*('Отчет по покупателям УТ'!$M$6:$M$5000='Adj Ageing by Brand'!$A158)*('Отчет по покупателям УТ'!$K$6:$K$5000))</f>
        <v>0</v>
      </c>
      <c r="I158" s="254">
        <f t="array" ref="I158">SUM(('Отчет по покупателям УТ'!$J$6:$J$5000='Adj Ageing by Brand'!$B158)*('Отчет по покупателям УТ'!$H$6:$H$5000='Adj Ageing by Brand'!I$8)*('Отчет по покупателям УТ'!$M$6:$M$5000='Adj Ageing by Brand'!$A158)*('Отчет по покупателям УТ'!$K$6:$K$5000))</f>
        <v>0</v>
      </c>
      <c r="J158" s="254">
        <f t="array" ref="J158">SUM(('Отчет по покупателям УТ'!$J$6:$J$5000='Adj Ageing by Brand'!$B158)*('Отчет по покупателям УТ'!$H$6:$H$5000='Adj Ageing by Brand'!J$8)*('Отчет по покупателям УТ'!$M$6:$M$5000='Adj Ageing by Brand'!$A158)*('Отчет по покупателям УТ'!$K$6:$K$5000))</f>
        <v>0</v>
      </c>
      <c r="K158" s="254">
        <f t="array" ref="K158">SUM(('Отчет по покупателям УТ'!$J$6:$J$5000='Adj Ageing by Brand'!$B158)*('Отчет по покупателям УТ'!$H$6:$H$5000='Adj Ageing by Brand'!K$8)*('Отчет по покупателям УТ'!$M$6:$M$5000='Adj Ageing by Brand'!$A158)*('Отчет по покупателям УТ'!$K$6:$K$5000))</f>
        <v>0</v>
      </c>
      <c r="L158" s="254">
        <f t="array" ref="L158">SUM(('Отчет по покупателям УТ'!$J$6:$J$5000='Adj Ageing by Brand'!$B158)*('Отчет по покупателям УТ'!$H$6:$H$5000='Adj Ageing by Brand'!L$8)*('Отчет по покупателям УТ'!$M$6:$M$5000='Adj Ageing by Brand'!$A158)*('Отчет по покупателям УТ'!$K$6:$K$5000))</f>
        <v>-95860</v>
      </c>
      <c r="M158" s="44">
        <f t="shared" ref="M158" si="96">SUM(G158:L158)</f>
        <v>-95860</v>
      </c>
      <c r="R158" s="9" t="b">
        <f t="shared" ref="R158" si="97">M158=SUM(S158,U158,W158,Y158,AA158,AB158)</f>
        <v>1</v>
      </c>
      <c r="S158" s="228">
        <f t="shared" ref="S158" si="98">IF(G158+T158&lt;0,0,G158+T158)</f>
        <v>0</v>
      </c>
      <c r="T158" s="228">
        <f t="shared" ref="T158" si="99">IF(L158+K158+J158+I158+H158&lt;0,L158+K158+J158+I158+H158,0)</f>
        <v>-95860</v>
      </c>
      <c r="U158" s="228">
        <f t="shared" ref="U158" si="100">IF(H158+V158&lt;0,0,H158+V158)</f>
        <v>0</v>
      </c>
      <c r="V158" s="228">
        <f t="shared" ref="V158" si="101">IF(L158+K158+J158+I158&lt;0,L158+K158+J158+I158,0)</f>
        <v>-95860</v>
      </c>
      <c r="W158" s="228">
        <f t="shared" ref="W158" si="102">IF(I158+X158&lt;0,0,I158+X158)</f>
        <v>0</v>
      </c>
      <c r="X158" s="228">
        <f t="shared" ref="X158" si="103">IF(L158+K158+J158&lt;0,L158+K158+J158,0)</f>
        <v>-95860</v>
      </c>
      <c r="Y158" s="228">
        <f t="shared" ref="Y158" si="104">IF(J158+Z158&lt;0,0,J158+Z158)</f>
        <v>0</v>
      </c>
      <c r="Z158" s="228">
        <f t="shared" ref="Z158" si="105">IF(L158+K158&lt;0,L158+K158,0)</f>
        <v>-95860</v>
      </c>
      <c r="AA158" s="228">
        <f t="shared" ref="AA158" si="106">IF(K158+L158&lt;0,0,K158+L158)</f>
        <v>0</v>
      </c>
      <c r="AB158" s="228">
        <f t="shared" ref="AB158" si="107">IF(SUM(G158:L158)&lt;0,M158,0)</f>
        <v>-95860</v>
      </c>
      <c r="AC158" s="247">
        <f t="shared" ref="AC158" si="108">SUM(AB158,AA158,Y158,W158,U158,S158)</f>
        <v>-95860</v>
      </c>
      <c r="AD158" s="227">
        <f t="shared" ref="AD158" si="109">SUM(S158,U158,W158,Y158,AA158)</f>
        <v>0</v>
      </c>
    </row>
    <row r="159" spans="1:30" x14ac:dyDescent="0.2">
      <c r="A159" t="s">
        <v>1596</v>
      </c>
      <c r="B159" t="s">
        <v>21</v>
      </c>
      <c r="D159" s="9">
        <v>-869.5</v>
      </c>
      <c r="F159" s="9"/>
      <c r="G159" s="254">
        <f t="array" ref="G159">SUM(('Отчет по покупателям УТ'!$J$6:$J$5000='Adj Ageing by Brand'!$B159)*('Отчет по покупателям УТ'!$H$6:$H$5000='Adj Ageing by Brand'!G$8)*('Отчет по покупателям УТ'!$M$6:$M$5000='Adj Ageing by Brand'!$A159)*('Отчет по покупателям УТ'!$K$6:$K$5000))</f>
        <v>0</v>
      </c>
      <c r="H159" s="254">
        <f t="array" ref="H159">SUM(('Отчет по покупателям УТ'!$J$6:$J$5000='Adj Ageing by Brand'!$B159)*('Отчет по покупателям УТ'!$H$6:$H$5000='Adj Ageing by Brand'!H$8)*('Отчет по покупателям УТ'!$M$6:$M$5000='Adj Ageing by Brand'!$A159)*('Отчет по покупателям УТ'!$K$6:$K$5000))</f>
        <v>0</v>
      </c>
      <c r="I159" s="254">
        <f t="array" ref="I159">SUM(('Отчет по покупателям УТ'!$J$6:$J$5000='Adj Ageing by Brand'!$B159)*('Отчет по покупателям УТ'!$H$6:$H$5000='Adj Ageing by Brand'!I$8)*('Отчет по покупателям УТ'!$M$6:$M$5000='Adj Ageing by Brand'!$A159)*('Отчет по покупателям УТ'!$K$6:$K$5000))</f>
        <v>0</v>
      </c>
      <c r="J159" s="254">
        <f t="array" ref="J159">SUM(('Отчет по покупателям УТ'!$J$6:$J$5000='Adj Ageing by Brand'!$B159)*('Отчет по покупателям УТ'!$H$6:$H$5000='Adj Ageing by Brand'!J$8)*('Отчет по покупателям УТ'!$M$6:$M$5000='Adj Ageing by Brand'!$A159)*('Отчет по покупателям УТ'!$K$6:$K$5000))</f>
        <v>0</v>
      </c>
      <c r="K159" s="254">
        <f t="array" ref="K159">SUM(('Отчет по покупателям УТ'!$J$6:$J$5000='Adj Ageing by Brand'!$B159)*('Отчет по покупателям УТ'!$H$6:$H$5000='Adj Ageing by Brand'!K$8)*('Отчет по покупателям УТ'!$M$6:$M$5000='Adj Ageing by Brand'!$A159)*('Отчет по покупателям УТ'!$K$6:$K$5000))</f>
        <v>0</v>
      </c>
      <c r="L159" s="254">
        <f t="array" ref="L159">SUM(('Отчет по покупателям УТ'!$J$6:$J$5000='Adj Ageing by Brand'!$B159)*('Отчет по покупателям УТ'!$H$6:$H$5000='Adj Ageing by Brand'!L$8)*('Отчет по покупателям УТ'!$M$6:$M$5000='Adj Ageing by Brand'!$A159)*('Отчет по покупателям УТ'!$K$6:$K$5000))</f>
        <v>-869.5</v>
      </c>
      <c r="M159" s="44">
        <f t="shared" ref="M159:M161" si="110">SUM(G159:L159)</f>
        <v>-869.5</v>
      </c>
      <c r="R159" s="9" t="b">
        <f t="shared" ref="R159:R161" si="111">M159=SUM(S159,U159,W159,Y159,AA159,AB159)</f>
        <v>1</v>
      </c>
      <c r="S159" s="228">
        <f t="shared" ref="S159:S161" si="112">IF(G159+T159&lt;0,0,G159+T159)</f>
        <v>0</v>
      </c>
      <c r="T159" s="228">
        <f t="shared" ref="T159:T161" si="113">IF(L159+K159+J159+I159+H159&lt;0,L159+K159+J159+I159+H159,0)</f>
        <v>-869.5</v>
      </c>
      <c r="U159" s="228">
        <f t="shared" ref="U159:U161" si="114">IF(H159+V159&lt;0,0,H159+V159)</f>
        <v>0</v>
      </c>
      <c r="V159" s="228">
        <f t="shared" ref="V159:V161" si="115">IF(L159+K159+J159+I159&lt;0,L159+K159+J159+I159,0)</f>
        <v>-869.5</v>
      </c>
      <c r="W159" s="228">
        <f t="shared" ref="W159:W161" si="116">IF(I159+X159&lt;0,0,I159+X159)</f>
        <v>0</v>
      </c>
      <c r="X159" s="228">
        <f t="shared" ref="X159:X161" si="117">IF(L159+K159+J159&lt;0,L159+K159+J159,0)</f>
        <v>-869.5</v>
      </c>
      <c r="Y159" s="228">
        <f t="shared" ref="Y159:Y161" si="118">IF(J159+Z159&lt;0,0,J159+Z159)</f>
        <v>0</v>
      </c>
      <c r="Z159" s="228">
        <f t="shared" ref="Z159:Z161" si="119">IF(L159+K159&lt;0,L159+K159,0)</f>
        <v>-869.5</v>
      </c>
      <c r="AA159" s="228">
        <f t="shared" ref="AA159:AA161" si="120">IF(K159+L159&lt;0,0,K159+L159)</f>
        <v>0</v>
      </c>
      <c r="AB159" s="228">
        <f t="shared" ref="AB159:AB161" si="121">IF(SUM(G159:L159)&lt;0,M159,0)</f>
        <v>-869.5</v>
      </c>
      <c r="AC159" s="247">
        <f t="shared" ref="AC159:AC161" si="122">SUM(AB159,AA159,Y159,W159,U159,S159)</f>
        <v>-869.5</v>
      </c>
      <c r="AD159" s="227">
        <f t="shared" ref="AD159:AD161" si="123">SUM(S159,U159,W159,Y159,AA159)</f>
        <v>0</v>
      </c>
    </row>
    <row r="160" spans="1:30" x14ac:dyDescent="0.2">
      <c r="A160" t="s">
        <v>1632</v>
      </c>
      <c r="B160" t="s">
        <v>22</v>
      </c>
      <c r="D160" s="9">
        <v>-134208</v>
      </c>
      <c r="F160" s="9"/>
      <c r="G160" s="254">
        <f t="array" ref="G160">SUM(('Отчет по покупателям УТ'!$J$6:$J$5000='Adj Ageing by Brand'!$B160)*('Отчет по покупателям УТ'!$H$6:$H$5000='Adj Ageing by Brand'!G$8)*('Отчет по покупателям УТ'!$M$6:$M$5000='Adj Ageing by Brand'!$A160)*('Отчет по покупателям УТ'!$K$6:$K$5000))</f>
        <v>0</v>
      </c>
      <c r="H160" s="254">
        <f t="array" ref="H160">SUM(('Отчет по покупателям УТ'!$J$6:$J$5000='Adj Ageing by Brand'!$B160)*('Отчет по покупателям УТ'!$H$6:$H$5000='Adj Ageing by Brand'!H$8)*('Отчет по покупателям УТ'!$M$6:$M$5000='Adj Ageing by Brand'!$A160)*('Отчет по покупателям УТ'!$K$6:$K$5000))</f>
        <v>0</v>
      </c>
      <c r="I160" s="254">
        <f t="array" ref="I160">SUM(('Отчет по покупателям УТ'!$J$6:$J$5000='Adj Ageing by Brand'!$B160)*('Отчет по покупателям УТ'!$H$6:$H$5000='Adj Ageing by Brand'!I$8)*('Отчет по покупателям УТ'!$M$6:$M$5000='Adj Ageing by Brand'!$A160)*('Отчет по покупателям УТ'!$K$6:$K$5000))</f>
        <v>0</v>
      </c>
      <c r="J160" s="254">
        <f t="array" ref="J160">SUM(('Отчет по покупателям УТ'!$J$6:$J$5000='Adj Ageing by Brand'!$B160)*('Отчет по покупателям УТ'!$H$6:$H$5000='Adj Ageing by Brand'!J$8)*('Отчет по покупателям УТ'!$M$6:$M$5000='Adj Ageing by Brand'!$A160)*('Отчет по покупателям УТ'!$K$6:$K$5000))</f>
        <v>0</v>
      </c>
      <c r="K160" s="254">
        <f t="array" ref="K160">SUM(('Отчет по покупателям УТ'!$J$6:$J$5000='Adj Ageing by Brand'!$B160)*('Отчет по покупателям УТ'!$H$6:$H$5000='Adj Ageing by Brand'!K$8)*('Отчет по покупателям УТ'!$M$6:$M$5000='Adj Ageing by Brand'!$A160)*('Отчет по покупателям УТ'!$K$6:$K$5000))</f>
        <v>0</v>
      </c>
      <c r="L160" s="254">
        <f t="array" ref="L160">SUM(('Отчет по покупателям УТ'!$J$6:$J$5000='Adj Ageing by Brand'!$B160)*('Отчет по покупателям УТ'!$H$6:$H$5000='Adj Ageing by Brand'!L$8)*('Отчет по покупателям УТ'!$M$6:$M$5000='Adj Ageing by Brand'!$A160)*('Отчет по покупателям УТ'!$K$6:$K$5000))</f>
        <v>-134208</v>
      </c>
      <c r="M160" s="44">
        <f t="shared" si="110"/>
        <v>-134208</v>
      </c>
      <c r="R160" s="9" t="b">
        <f t="shared" si="111"/>
        <v>1</v>
      </c>
      <c r="S160" s="228">
        <f t="shared" si="112"/>
        <v>0</v>
      </c>
      <c r="T160" s="228">
        <f t="shared" si="113"/>
        <v>-134208</v>
      </c>
      <c r="U160" s="228">
        <f t="shared" si="114"/>
        <v>0</v>
      </c>
      <c r="V160" s="228">
        <f t="shared" si="115"/>
        <v>-134208</v>
      </c>
      <c r="W160" s="228">
        <f t="shared" si="116"/>
        <v>0</v>
      </c>
      <c r="X160" s="228">
        <f t="shared" si="117"/>
        <v>-134208</v>
      </c>
      <c r="Y160" s="228">
        <f t="shared" si="118"/>
        <v>0</v>
      </c>
      <c r="Z160" s="228">
        <f t="shared" si="119"/>
        <v>-134208</v>
      </c>
      <c r="AA160" s="228">
        <f t="shared" si="120"/>
        <v>0</v>
      </c>
      <c r="AB160" s="228">
        <f t="shared" si="121"/>
        <v>-134208</v>
      </c>
      <c r="AC160" s="247">
        <f t="shared" si="122"/>
        <v>-134208</v>
      </c>
      <c r="AD160" s="227">
        <f t="shared" si="123"/>
        <v>0</v>
      </c>
    </row>
    <row r="161" spans="1:30" x14ac:dyDescent="0.2">
      <c r="A161" t="s">
        <v>1632</v>
      </c>
      <c r="B161" t="s">
        <v>21</v>
      </c>
      <c r="D161" s="9">
        <v>-17188.46</v>
      </c>
      <c r="F161" s="9"/>
      <c r="G161" s="254">
        <f t="array" ref="G161">SUM(('Отчет по покупателям УТ'!$J$6:$J$5000='Adj Ageing by Brand'!$B161)*('Отчет по покупателям УТ'!$H$6:$H$5000='Adj Ageing by Brand'!G$8)*('Отчет по покупателям УТ'!$M$6:$M$5000='Adj Ageing by Brand'!$A161)*('Отчет по покупателям УТ'!$K$6:$K$5000))</f>
        <v>0</v>
      </c>
      <c r="H161" s="254">
        <f t="array" ref="H161">SUM(('Отчет по покупателям УТ'!$J$6:$J$5000='Adj Ageing by Brand'!$B161)*('Отчет по покупателям УТ'!$H$6:$H$5000='Adj Ageing by Brand'!H$8)*('Отчет по покупателям УТ'!$M$6:$M$5000='Adj Ageing by Brand'!$A161)*('Отчет по покупателям УТ'!$K$6:$K$5000))</f>
        <v>0</v>
      </c>
      <c r="I161" s="254">
        <f t="array" ref="I161">SUM(('Отчет по покупателям УТ'!$J$6:$J$5000='Adj Ageing by Brand'!$B161)*('Отчет по покупателям УТ'!$H$6:$H$5000='Adj Ageing by Brand'!I$8)*('Отчет по покупателям УТ'!$M$6:$M$5000='Adj Ageing by Brand'!$A161)*('Отчет по покупателям УТ'!$K$6:$K$5000))</f>
        <v>0</v>
      </c>
      <c r="J161" s="254">
        <f t="array" ref="J161">SUM(('Отчет по покупателям УТ'!$J$6:$J$5000='Adj Ageing by Brand'!$B161)*('Отчет по покупателям УТ'!$H$6:$H$5000='Adj Ageing by Brand'!J$8)*('Отчет по покупателям УТ'!$M$6:$M$5000='Adj Ageing by Brand'!$A161)*('Отчет по покупателям УТ'!$K$6:$K$5000))</f>
        <v>0</v>
      </c>
      <c r="K161" s="254">
        <f t="array" ref="K161">SUM(('Отчет по покупателям УТ'!$J$6:$J$5000='Adj Ageing by Brand'!$B161)*('Отчет по покупателям УТ'!$H$6:$H$5000='Adj Ageing by Brand'!K$8)*('Отчет по покупателям УТ'!$M$6:$M$5000='Adj Ageing by Brand'!$A161)*('Отчет по покупателям УТ'!$K$6:$K$5000))</f>
        <v>0</v>
      </c>
      <c r="L161" s="254">
        <f t="array" ref="L161">SUM(('Отчет по покупателям УТ'!$J$6:$J$5000='Adj Ageing by Brand'!$B161)*('Отчет по покупателям УТ'!$H$6:$H$5000='Adj Ageing by Brand'!L$8)*('Отчет по покупателям УТ'!$M$6:$M$5000='Adj Ageing by Brand'!$A161)*('Отчет по покупателям УТ'!$K$6:$K$5000))</f>
        <v>-17188.46</v>
      </c>
      <c r="M161" s="44">
        <f t="shared" si="110"/>
        <v>-17188.46</v>
      </c>
      <c r="R161" s="9" t="b">
        <f t="shared" si="111"/>
        <v>1</v>
      </c>
      <c r="S161" s="228">
        <f t="shared" si="112"/>
        <v>0</v>
      </c>
      <c r="T161" s="228">
        <f t="shared" si="113"/>
        <v>-17188.46</v>
      </c>
      <c r="U161" s="228">
        <f t="shared" si="114"/>
        <v>0</v>
      </c>
      <c r="V161" s="228">
        <f t="shared" si="115"/>
        <v>-17188.46</v>
      </c>
      <c r="W161" s="228">
        <f t="shared" si="116"/>
        <v>0</v>
      </c>
      <c r="X161" s="228">
        <f t="shared" si="117"/>
        <v>-17188.46</v>
      </c>
      <c r="Y161" s="228">
        <f t="shared" si="118"/>
        <v>0</v>
      </c>
      <c r="Z161" s="228">
        <f t="shared" si="119"/>
        <v>-17188.46</v>
      </c>
      <c r="AA161" s="228">
        <f t="shared" si="120"/>
        <v>0</v>
      </c>
      <c r="AB161" s="228">
        <f t="shared" si="121"/>
        <v>-17188.46</v>
      </c>
      <c r="AC161" s="247">
        <f t="shared" si="122"/>
        <v>-17188.46</v>
      </c>
      <c r="AD161" s="227">
        <f t="shared" si="123"/>
        <v>0</v>
      </c>
    </row>
    <row r="162" spans="1:30" x14ac:dyDescent="0.2">
      <c r="A162" t="s">
        <v>1640</v>
      </c>
      <c r="B162" t="s">
        <v>23</v>
      </c>
      <c r="D162" s="9">
        <v>-36451</v>
      </c>
      <c r="F162" s="9"/>
      <c r="G162" s="254">
        <f t="array" ref="G162">SUM(('Отчет по покупателям УТ'!$J$6:$J$5000='Adj Ageing by Brand'!$B162)*('Отчет по покупателям УТ'!$H$6:$H$5000='Adj Ageing by Brand'!G$8)*('Отчет по покупателям УТ'!$M$6:$M$5000='Adj Ageing by Brand'!$A162)*('Отчет по покупателям УТ'!$K$6:$K$5000))</f>
        <v>0</v>
      </c>
      <c r="H162" s="254">
        <f t="array" ref="H162">SUM(('Отчет по покупателям УТ'!$J$6:$J$5000='Adj Ageing by Brand'!$B162)*('Отчет по покупателям УТ'!$H$6:$H$5000='Adj Ageing by Brand'!H$8)*('Отчет по покупателям УТ'!$M$6:$M$5000='Adj Ageing by Brand'!$A162)*('Отчет по покупателям УТ'!$K$6:$K$5000))</f>
        <v>0</v>
      </c>
      <c r="I162" s="254">
        <f t="array" ref="I162">SUM(('Отчет по покупателям УТ'!$J$6:$J$5000='Adj Ageing by Brand'!$B162)*('Отчет по покупателям УТ'!$H$6:$H$5000='Adj Ageing by Brand'!I$8)*('Отчет по покупателям УТ'!$M$6:$M$5000='Adj Ageing by Brand'!$A162)*('Отчет по покупателям УТ'!$K$6:$K$5000))</f>
        <v>0</v>
      </c>
      <c r="J162" s="254">
        <f t="array" ref="J162">SUM(('Отчет по покупателям УТ'!$J$6:$J$5000='Adj Ageing by Brand'!$B162)*('Отчет по покупателям УТ'!$H$6:$H$5000='Adj Ageing by Brand'!J$8)*('Отчет по покупателям УТ'!$M$6:$M$5000='Adj Ageing by Brand'!$A162)*('Отчет по покупателям УТ'!$K$6:$K$5000))</f>
        <v>0</v>
      </c>
      <c r="K162" s="254">
        <f t="array" ref="K162">SUM(('Отчет по покупателям УТ'!$J$6:$J$5000='Adj Ageing by Brand'!$B162)*('Отчет по покупателям УТ'!$H$6:$H$5000='Adj Ageing by Brand'!K$8)*('Отчет по покупателям УТ'!$M$6:$M$5000='Adj Ageing by Brand'!$A162)*('Отчет по покупателям УТ'!$K$6:$K$5000))</f>
        <v>0</v>
      </c>
      <c r="L162" s="254">
        <f t="array" ref="L162">SUM(('Отчет по покупателям УТ'!$J$6:$J$5000='Adj Ageing by Brand'!$B162)*('Отчет по покупателям УТ'!$H$6:$H$5000='Adj Ageing by Brand'!L$8)*('Отчет по покупателям УТ'!$M$6:$M$5000='Adj Ageing by Brand'!$A162)*('Отчет по покупателям УТ'!$K$6:$K$5000))</f>
        <v>-36451</v>
      </c>
      <c r="M162" s="44">
        <f t="shared" ref="M162:M167" si="124">SUM(G162:L162)</f>
        <v>-36451</v>
      </c>
      <c r="R162" s="9" t="b">
        <f t="shared" ref="R162:R167" si="125">M162=SUM(S162,U162,W162,Y162,AA162,AB162)</f>
        <v>1</v>
      </c>
      <c r="S162" s="228">
        <f t="shared" ref="S162:S167" si="126">IF(G162+T162&lt;0,0,G162+T162)</f>
        <v>0</v>
      </c>
      <c r="T162" s="228">
        <f t="shared" ref="T162:T167" si="127">IF(L162+K162+J162+I162+H162&lt;0,L162+K162+J162+I162+H162,0)</f>
        <v>-36451</v>
      </c>
      <c r="U162" s="228">
        <f t="shared" ref="U162:U167" si="128">IF(H162+V162&lt;0,0,H162+V162)</f>
        <v>0</v>
      </c>
      <c r="V162" s="228">
        <f t="shared" ref="V162:V167" si="129">IF(L162+K162+J162+I162&lt;0,L162+K162+J162+I162,0)</f>
        <v>-36451</v>
      </c>
      <c r="W162" s="228">
        <f t="shared" ref="W162:W167" si="130">IF(I162+X162&lt;0,0,I162+X162)</f>
        <v>0</v>
      </c>
      <c r="X162" s="228">
        <f t="shared" ref="X162:X167" si="131">IF(L162+K162+J162&lt;0,L162+K162+J162,0)</f>
        <v>-36451</v>
      </c>
      <c r="Y162" s="228">
        <f t="shared" ref="Y162:Y167" si="132">IF(J162+Z162&lt;0,0,J162+Z162)</f>
        <v>0</v>
      </c>
      <c r="Z162" s="228">
        <f t="shared" ref="Z162:Z167" si="133">IF(L162+K162&lt;0,L162+K162,0)</f>
        <v>-36451</v>
      </c>
      <c r="AA162" s="228">
        <f t="shared" ref="AA162:AA167" si="134">IF(K162+L162&lt;0,0,K162+L162)</f>
        <v>0</v>
      </c>
      <c r="AB162" s="228">
        <f t="shared" ref="AB162:AB167" si="135">IF(SUM(G162:L162)&lt;0,M162,0)</f>
        <v>-36451</v>
      </c>
      <c r="AC162" s="247">
        <f t="shared" ref="AC162:AC167" si="136">SUM(AB162,AA162,Y162,W162,U162,S162)</f>
        <v>-36451</v>
      </c>
      <c r="AD162" s="227">
        <f t="shared" ref="AD162:AD167" si="137">SUM(S162,U162,W162,Y162,AA162)</f>
        <v>0</v>
      </c>
    </row>
    <row r="163" spans="1:30" x14ac:dyDescent="0.2">
      <c r="F163" s="9"/>
      <c r="G163" s="254">
        <f t="array" ref="G163">SUM(('Отчет по покупателям УТ'!$J$6:$J$5000='Adj Ageing by Brand'!$B163)*('Отчет по покупателям УТ'!$H$6:$H$5000='Adj Ageing by Brand'!G$8)*('Отчет по покупателям УТ'!$M$6:$M$5000='Adj Ageing by Brand'!$A163)*('Отчет по покупателям УТ'!$K$6:$K$5000))</f>
        <v>0</v>
      </c>
      <c r="H163" s="254">
        <f t="array" ref="H163">SUM(('Отчет по покупателям УТ'!$J$6:$J$5000='Adj Ageing by Brand'!$B163)*('Отчет по покупателям УТ'!$H$6:$H$5000='Adj Ageing by Brand'!H$8)*('Отчет по покупателям УТ'!$M$6:$M$5000='Adj Ageing by Brand'!$A163)*('Отчет по покупателям УТ'!$K$6:$K$5000))</f>
        <v>0</v>
      </c>
      <c r="I163" s="254">
        <f t="array" ref="I163">SUM(('Отчет по покупателям УТ'!$J$6:$J$5000='Adj Ageing by Brand'!$B163)*('Отчет по покупателям УТ'!$H$6:$H$5000='Adj Ageing by Brand'!I$8)*('Отчет по покупателям УТ'!$M$6:$M$5000='Adj Ageing by Brand'!$A163)*('Отчет по покупателям УТ'!$K$6:$K$5000))</f>
        <v>0</v>
      </c>
      <c r="J163" s="254">
        <f t="array" ref="J163">SUM(('Отчет по покупателям УТ'!$J$6:$J$5000='Adj Ageing by Brand'!$B163)*('Отчет по покупателям УТ'!$H$6:$H$5000='Adj Ageing by Brand'!J$8)*('Отчет по покупателям УТ'!$M$6:$M$5000='Adj Ageing by Brand'!$A163)*('Отчет по покупателям УТ'!$K$6:$K$5000))</f>
        <v>0</v>
      </c>
      <c r="K163" s="254">
        <f t="array" ref="K163">SUM(('Отчет по покупателям УТ'!$J$6:$J$5000='Adj Ageing by Brand'!$B163)*('Отчет по покупателям УТ'!$H$6:$H$5000='Adj Ageing by Brand'!K$8)*('Отчет по покупателям УТ'!$M$6:$M$5000='Adj Ageing by Brand'!$A163)*('Отчет по покупателям УТ'!$K$6:$K$5000))</f>
        <v>0</v>
      </c>
      <c r="L163" s="254">
        <f t="array" ref="L163">SUM(('Отчет по покупателям УТ'!$J$6:$J$5000='Adj Ageing by Brand'!$B163)*('Отчет по покупателям УТ'!$H$6:$H$5000='Adj Ageing by Brand'!L$8)*('Отчет по покупателям УТ'!$M$6:$M$5000='Adj Ageing by Brand'!$A163)*('Отчет по покупателям УТ'!$K$6:$K$5000))</f>
        <v>0</v>
      </c>
      <c r="M163" s="44">
        <f t="shared" si="124"/>
        <v>0</v>
      </c>
      <c r="R163" s="9" t="b">
        <f t="shared" si="125"/>
        <v>1</v>
      </c>
      <c r="S163" s="228">
        <f t="shared" si="126"/>
        <v>0</v>
      </c>
      <c r="T163" s="228">
        <f t="shared" si="127"/>
        <v>0</v>
      </c>
      <c r="U163" s="228">
        <f t="shared" si="128"/>
        <v>0</v>
      </c>
      <c r="V163" s="228">
        <f t="shared" si="129"/>
        <v>0</v>
      </c>
      <c r="W163" s="228">
        <f t="shared" si="130"/>
        <v>0</v>
      </c>
      <c r="X163" s="228">
        <f t="shared" si="131"/>
        <v>0</v>
      </c>
      <c r="Y163" s="228">
        <f t="shared" si="132"/>
        <v>0</v>
      </c>
      <c r="Z163" s="228">
        <f t="shared" si="133"/>
        <v>0</v>
      </c>
      <c r="AA163" s="228">
        <f t="shared" si="134"/>
        <v>0</v>
      </c>
      <c r="AB163" s="228">
        <f t="shared" si="135"/>
        <v>0</v>
      </c>
      <c r="AC163" s="247">
        <f t="shared" si="136"/>
        <v>0</v>
      </c>
      <c r="AD163" s="227">
        <f t="shared" si="137"/>
        <v>0</v>
      </c>
    </row>
    <row r="164" spans="1:30" x14ac:dyDescent="0.2">
      <c r="F164" s="9"/>
      <c r="G164" s="254">
        <f t="array" ref="G164">SUM(('Отчет по покупателям УТ'!$J$6:$J$5000='Adj Ageing by Brand'!$B164)*('Отчет по покупателям УТ'!$H$6:$H$5000='Adj Ageing by Brand'!G$8)*('Отчет по покупателям УТ'!$M$6:$M$5000='Adj Ageing by Brand'!$A164)*('Отчет по покупателям УТ'!$K$6:$K$5000))</f>
        <v>0</v>
      </c>
      <c r="H164" s="254">
        <f t="array" ref="H164">SUM(('Отчет по покупателям УТ'!$J$6:$J$5000='Adj Ageing by Brand'!$B164)*('Отчет по покупателям УТ'!$H$6:$H$5000='Adj Ageing by Brand'!H$8)*('Отчет по покупателям УТ'!$M$6:$M$5000='Adj Ageing by Brand'!$A164)*('Отчет по покупателям УТ'!$K$6:$K$5000))</f>
        <v>0</v>
      </c>
      <c r="I164" s="254">
        <f t="array" ref="I164">SUM(('Отчет по покупателям УТ'!$J$6:$J$5000='Adj Ageing by Brand'!$B164)*('Отчет по покупателям УТ'!$H$6:$H$5000='Adj Ageing by Brand'!I$8)*('Отчет по покупателям УТ'!$M$6:$M$5000='Adj Ageing by Brand'!$A164)*('Отчет по покупателям УТ'!$K$6:$K$5000))</f>
        <v>0</v>
      </c>
      <c r="J164" s="254">
        <f t="array" ref="J164">SUM(('Отчет по покупателям УТ'!$J$6:$J$5000='Adj Ageing by Brand'!$B164)*('Отчет по покупателям УТ'!$H$6:$H$5000='Adj Ageing by Brand'!J$8)*('Отчет по покупателям УТ'!$M$6:$M$5000='Adj Ageing by Brand'!$A164)*('Отчет по покупателям УТ'!$K$6:$K$5000))</f>
        <v>0</v>
      </c>
      <c r="K164" s="254">
        <f t="array" ref="K164">SUM(('Отчет по покупателям УТ'!$J$6:$J$5000='Adj Ageing by Brand'!$B164)*('Отчет по покупателям УТ'!$H$6:$H$5000='Adj Ageing by Brand'!K$8)*('Отчет по покупателям УТ'!$M$6:$M$5000='Adj Ageing by Brand'!$A164)*('Отчет по покупателям УТ'!$K$6:$K$5000))</f>
        <v>0</v>
      </c>
      <c r="L164" s="254">
        <f t="array" ref="L164">SUM(('Отчет по покупателям УТ'!$J$6:$J$5000='Adj Ageing by Brand'!$B164)*('Отчет по покупателям УТ'!$H$6:$H$5000='Adj Ageing by Brand'!L$8)*('Отчет по покупателям УТ'!$M$6:$M$5000='Adj Ageing by Brand'!$A164)*('Отчет по покупателям УТ'!$K$6:$K$5000))</f>
        <v>0</v>
      </c>
      <c r="M164" s="44">
        <f t="shared" si="124"/>
        <v>0</v>
      </c>
      <c r="R164" s="9" t="b">
        <f t="shared" si="125"/>
        <v>1</v>
      </c>
      <c r="S164" s="228">
        <f t="shared" si="126"/>
        <v>0</v>
      </c>
      <c r="T164" s="228">
        <f t="shared" si="127"/>
        <v>0</v>
      </c>
      <c r="U164" s="228">
        <f t="shared" si="128"/>
        <v>0</v>
      </c>
      <c r="V164" s="228">
        <f t="shared" si="129"/>
        <v>0</v>
      </c>
      <c r="W164" s="228">
        <f t="shared" si="130"/>
        <v>0</v>
      </c>
      <c r="X164" s="228">
        <f t="shared" si="131"/>
        <v>0</v>
      </c>
      <c r="Y164" s="228">
        <f t="shared" si="132"/>
        <v>0</v>
      </c>
      <c r="Z164" s="228">
        <f t="shared" si="133"/>
        <v>0</v>
      </c>
      <c r="AA164" s="228">
        <f t="shared" si="134"/>
        <v>0</v>
      </c>
      <c r="AB164" s="228">
        <f t="shared" si="135"/>
        <v>0</v>
      </c>
      <c r="AC164" s="247">
        <f t="shared" si="136"/>
        <v>0</v>
      </c>
      <c r="AD164" s="227">
        <f t="shared" si="137"/>
        <v>0</v>
      </c>
    </row>
    <row r="165" spans="1:30" x14ac:dyDescent="0.2">
      <c r="F165" s="9"/>
      <c r="G165" s="254">
        <f t="array" ref="G165">SUM(('Отчет по покупателям УТ'!$J$6:$J$5000='Adj Ageing by Brand'!$B165)*('Отчет по покупателям УТ'!$H$6:$H$5000='Adj Ageing by Brand'!G$8)*('Отчет по покупателям УТ'!$M$6:$M$5000='Adj Ageing by Brand'!$A165)*('Отчет по покупателям УТ'!$K$6:$K$5000))</f>
        <v>0</v>
      </c>
      <c r="H165" s="254">
        <f t="array" ref="H165">SUM(('Отчет по покупателям УТ'!$J$6:$J$5000='Adj Ageing by Brand'!$B165)*('Отчет по покупателям УТ'!$H$6:$H$5000='Adj Ageing by Brand'!H$8)*('Отчет по покупателям УТ'!$M$6:$M$5000='Adj Ageing by Brand'!$A165)*('Отчет по покупателям УТ'!$K$6:$K$5000))</f>
        <v>0</v>
      </c>
      <c r="I165" s="254">
        <f t="array" ref="I165">SUM(('Отчет по покупателям УТ'!$J$6:$J$5000='Adj Ageing by Brand'!$B165)*('Отчет по покупателям УТ'!$H$6:$H$5000='Adj Ageing by Brand'!I$8)*('Отчет по покупателям УТ'!$M$6:$M$5000='Adj Ageing by Brand'!$A165)*('Отчет по покупателям УТ'!$K$6:$K$5000))</f>
        <v>0</v>
      </c>
      <c r="J165" s="254">
        <f t="array" ref="J165">SUM(('Отчет по покупателям УТ'!$J$6:$J$5000='Adj Ageing by Brand'!$B165)*('Отчет по покупателям УТ'!$H$6:$H$5000='Adj Ageing by Brand'!J$8)*('Отчет по покупателям УТ'!$M$6:$M$5000='Adj Ageing by Brand'!$A165)*('Отчет по покупателям УТ'!$K$6:$K$5000))</f>
        <v>0</v>
      </c>
      <c r="K165" s="254">
        <f t="array" ref="K165">SUM(('Отчет по покупателям УТ'!$J$6:$J$5000='Adj Ageing by Brand'!$B165)*('Отчет по покупателям УТ'!$H$6:$H$5000='Adj Ageing by Brand'!K$8)*('Отчет по покупателям УТ'!$M$6:$M$5000='Adj Ageing by Brand'!$A165)*('Отчет по покупателям УТ'!$K$6:$K$5000))</f>
        <v>0</v>
      </c>
      <c r="L165" s="254">
        <f t="array" ref="L165">SUM(('Отчет по покупателям УТ'!$J$6:$J$5000='Adj Ageing by Brand'!$B165)*('Отчет по покупателям УТ'!$H$6:$H$5000='Adj Ageing by Brand'!L$8)*('Отчет по покупателям УТ'!$M$6:$M$5000='Adj Ageing by Brand'!$A165)*('Отчет по покупателям УТ'!$K$6:$K$5000))</f>
        <v>0</v>
      </c>
      <c r="M165" s="44">
        <f t="shared" si="124"/>
        <v>0</v>
      </c>
      <c r="R165" s="9" t="b">
        <f t="shared" si="125"/>
        <v>1</v>
      </c>
      <c r="S165" s="228">
        <f t="shared" si="126"/>
        <v>0</v>
      </c>
      <c r="T165" s="228">
        <f t="shared" si="127"/>
        <v>0</v>
      </c>
      <c r="U165" s="228">
        <f t="shared" si="128"/>
        <v>0</v>
      </c>
      <c r="V165" s="228">
        <f t="shared" si="129"/>
        <v>0</v>
      </c>
      <c r="W165" s="228">
        <f t="shared" si="130"/>
        <v>0</v>
      </c>
      <c r="X165" s="228">
        <f t="shared" si="131"/>
        <v>0</v>
      </c>
      <c r="Y165" s="228">
        <f t="shared" si="132"/>
        <v>0</v>
      </c>
      <c r="Z165" s="228">
        <f t="shared" si="133"/>
        <v>0</v>
      </c>
      <c r="AA165" s="228">
        <f t="shared" si="134"/>
        <v>0</v>
      </c>
      <c r="AB165" s="228">
        <f t="shared" si="135"/>
        <v>0</v>
      </c>
      <c r="AC165" s="247">
        <f t="shared" si="136"/>
        <v>0</v>
      </c>
      <c r="AD165" s="227">
        <f t="shared" si="137"/>
        <v>0</v>
      </c>
    </row>
    <row r="166" spans="1:30" x14ac:dyDescent="0.2">
      <c r="F166" s="9"/>
      <c r="G166" s="254">
        <f t="array" ref="G166">SUM(('Отчет по покупателям УТ'!$J$6:$J$5000='Adj Ageing by Brand'!$B166)*('Отчет по покупателям УТ'!$H$6:$H$5000='Adj Ageing by Brand'!G$8)*('Отчет по покупателям УТ'!$M$6:$M$5000='Adj Ageing by Brand'!$A166)*('Отчет по покупателям УТ'!$K$6:$K$5000))</f>
        <v>0</v>
      </c>
      <c r="H166" s="254">
        <f t="array" ref="H166">SUM(('Отчет по покупателям УТ'!$J$6:$J$5000='Adj Ageing by Brand'!$B166)*('Отчет по покупателям УТ'!$H$6:$H$5000='Adj Ageing by Brand'!H$8)*('Отчет по покупателям УТ'!$M$6:$M$5000='Adj Ageing by Brand'!$A166)*('Отчет по покупателям УТ'!$K$6:$K$5000))</f>
        <v>0</v>
      </c>
      <c r="I166" s="254">
        <f t="array" ref="I166">SUM(('Отчет по покупателям УТ'!$J$6:$J$5000='Adj Ageing by Brand'!$B166)*('Отчет по покупателям УТ'!$H$6:$H$5000='Adj Ageing by Brand'!I$8)*('Отчет по покупателям УТ'!$M$6:$M$5000='Adj Ageing by Brand'!$A166)*('Отчет по покупателям УТ'!$K$6:$K$5000))</f>
        <v>0</v>
      </c>
      <c r="J166" s="254">
        <f t="array" ref="J166">SUM(('Отчет по покупателям УТ'!$J$6:$J$5000='Adj Ageing by Brand'!$B166)*('Отчет по покупателям УТ'!$H$6:$H$5000='Adj Ageing by Brand'!J$8)*('Отчет по покупателям УТ'!$M$6:$M$5000='Adj Ageing by Brand'!$A166)*('Отчет по покупателям УТ'!$K$6:$K$5000))</f>
        <v>0</v>
      </c>
      <c r="K166" s="254">
        <f t="array" ref="K166">SUM(('Отчет по покупателям УТ'!$J$6:$J$5000='Adj Ageing by Brand'!$B166)*('Отчет по покупателям УТ'!$H$6:$H$5000='Adj Ageing by Brand'!K$8)*('Отчет по покупателям УТ'!$M$6:$M$5000='Adj Ageing by Brand'!$A166)*('Отчет по покупателям УТ'!$K$6:$K$5000))</f>
        <v>0</v>
      </c>
      <c r="L166" s="254">
        <f t="array" ref="L166">SUM(('Отчет по покупателям УТ'!$J$6:$J$5000='Adj Ageing by Brand'!$B166)*('Отчет по покупателям УТ'!$H$6:$H$5000='Adj Ageing by Brand'!L$8)*('Отчет по покупателям УТ'!$M$6:$M$5000='Adj Ageing by Brand'!$A166)*('Отчет по покупателям УТ'!$K$6:$K$5000))</f>
        <v>0</v>
      </c>
      <c r="M166" s="44">
        <f t="shared" si="124"/>
        <v>0</v>
      </c>
      <c r="R166" s="9" t="b">
        <f t="shared" si="125"/>
        <v>1</v>
      </c>
      <c r="S166" s="228">
        <f t="shared" si="126"/>
        <v>0</v>
      </c>
      <c r="T166" s="228">
        <f t="shared" si="127"/>
        <v>0</v>
      </c>
      <c r="U166" s="228">
        <f t="shared" si="128"/>
        <v>0</v>
      </c>
      <c r="V166" s="228">
        <f t="shared" si="129"/>
        <v>0</v>
      </c>
      <c r="W166" s="228">
        <f t="shared" si="130"/>
        <v>0</v>
      </c>
      <c r="X166" s="228">
        <f t="shared" si="131"/>
        <v>0</v>
      </c>
      <c r="Y166" s="228">
        <f t="shared" si="132"/>
        <v>0</v>
      </c>
      <c r="Z166" s="228">
        <f t="shared" si="133"/>
        <v>0</v>
      </c>
      <c r="AA166" s="228">
        <f t="shared" si="134"/>
        <v>0</v>
      </c>
      <c r="AB166" s="228">
        <f t="shared" si="135"/>
        <v>0</v>
      </c>
      <c r="AC166" s="247">
        <f t="shared" si="136"/>
        <v>0</v>
      </c>
      <c r="AD166" s="227">
        <f t="shared" si="137"/>
        <v>0</v>
      </c>
    </row>
    <row r="167" spans="1:30" x14ac:dyDescent="0.2">
      <c r="F167" s="9"/>
      <c r="G167" s="254">
        <f t="array" ref="G167">SUM(('Отчет по покупателям УТ'!$J$6:$J$5000='Adj Ageing by Brand'!$B167)*('Отчет по покупателям УТ'!$H$6:$H$5000='Adj Ageing by Brand'!G$8)*('Отчет по покупателям УТ'!$M$6:$M$5000='Adj Ageing by Brand'!$A167)*('Отчет по покупателям УТ'!$K$6:$K$5000))</f>
        <v>0</v>
      </c>
      <c r="H167" s="254">
        <f t="array" ref="H167">SUM(('Отчет по покупателям УТ'!$J$6:$J$5000='Adj Ageing by Brand'!$B167)*('Отчет по покупателям УТ'!$H$6:$H$5000='Adj Ageing by Brand'!H$8)*('Отчет по покупателям УТ'!$M$6:$M$5000='Adj Ageing by Brand'!$A167)*('Отчет по покупателям УТ'!$K$6:$K$5000))</f>
        <v>0</v>
      </c>
      <c r="I167" s="254">
        <f t="array" ref="I167">SUM(('Отчет по покупателям УТ'!$J$6:$J$5000='Adj Ageing by Brand'!$B167)*('Отчет по покупателям УТ'!$H$6:$H$5000='Adj Ageing by Brand'!I$8)*('Отчет по покупателям УТ'!$M$6:$M$5000='Adj Ageing by Brand'!$A167)*('Отчет по покупателям УТ'!$K$6:$K$5000))</f>
        <v>0</v>
      </c>
      <c r="J167" s="254">
        <f t="array" ref="J167">SUM(('Отчет по покупателям УТ'!$J$6:$J$5000='Adj Ageing by Brand'!$B167)*('Отчет по покупателям УТ'!$H$6:$H$5000='Adj Ageing by Brand'!J$8)*('Отчет по покупателям УТ'!$M$6:$M$5000='Adj Ageing by Brand'!$A167)*('Отчет по покупателям УТ'!$K$6:$K$5000))</f>
        <v>0</v>
      </c>
      <c r="K167" s="254">
        <f t="array" ref="K167">SUM(('Отчет по покупателям УТ'!$J$6:$J$5000='Adj Ageing by Brand'!$B167)*('Отчет по покупателям УТ'!$H$6:$H$5000='Adj Ageing by Brand'!K$8)*('Отчет по покупателям УТ'!$M$6:$M$5000='Adj Ageing by Brand'!$A167)*('Отчет по покупателям УТ'!$K$6:$K$5000))</f>
        <v>0</v>
      </c>
      <c r="L167" s="254">
        <f t="array" ref="L167">SUM(('Отчет по покупателям УТ'!$J$6:$J$5000='Adj Ageing by Brand'!$B167)*('Отчет по покупателям УТ'!$H$6:$H$5000='Adj Ageing by Brand'!L$8)*('Отчет по покупателям УТ'!$M$6:$M$5000='Adj Ageing by Brand'!$A167)*('Отчет по покупателям УТ'!$K$6:$K$5000))</f>
        <v>0</v>
      </c>
      <c r="M167" s="44">
        <f t="shared" si="124"/>
        <v>0</v>
      </c>
      <c r="R167" s="9" t="b">
        <f t="shared" si="125"/>
        <v>1</v>
      </c>
      <c r="S167" s="228">
        <f t="shared" si="126"/>
        <v>0</v>
      </c>
      <c r="T167" s="228">
        <f t="shared" si="127"/>
        <v>0</v>
      </c>
      <c r="U167" s="228">
        <f t="shared" si="128"/>
        <v>0</v>
      </c>
      <c r="V167" s="228">
        <f t="shared" si="129"/>
        <v>0</v>
      </c>
      <c r="W167" s="228">
        <f t="shared" si="130"/>
        <v>0</v>
      </c>
      <c r="X167" s="228">
        <f t="shared" si="131"/>
        <v>0</v>
      </c>
      <c r="Y167" s="228">
        <f t="shared" si="132"/>
        <v>0</v>
      </c>
      <c r="Z167" s="228">
        <f t="shared" si="133"/>
        <v>0</v>
      </c>
      <c r="AA167" s="228">
        <f t="shared" si="134"/>
        <v>0</v>
      </c>
      <c r="AB167" s="228">
        <f t="shared" si="135"/>
        <v>0</v>
      </c>
      <c r="AC167" s="247">
        <f t="shared" si="136"/>
        <v>0</v>
      </c>
      <c r="AD167" s="227">
        <f t="shared" si="137"/>
        <v>0</v>
      </c>
    </row>
    <row r="168" spans="1:30" x14ac:dyDescent="0.2">
      <c r="F168" s="9"/>
      <c r="G168" s="36"/>
      <c r="H168" s="36"/>
      <c r="I168" s="36"/>
      <c r="J168" s="36"/>
      <c r="K168" s="36"/>
      <c r="L168" s="36"/>
      <c r="M168" s="44"/>
      <c r="R168" s="9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44"/>
    </row>
    <row r="169" spans="1:30" x14ac:dyDescent="0.2">
      <c r="F169" s="9"/>
      <c r="G169" s="36"/>
      <c r="H169" s="36"/>
      <c r="I169" s="36"/>
      <c r="J169" s="36"/>
      <c r="K169" s="36"/>
      <c r="L169" s="36"/>
      <c r="M169" s="44"/>
      <c r="R169" s="9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44"/>
    </row>
    <row r="170" spans="1:30" x14ac:dyDescent="0.2">
      <c r="F170" s="9"/>
      <c r="G170" s="36"/>
      <c r="H170" s="36"/>
      <c r="I170" s="36"/>
      <c r="J170" s="36"/>
      <c r="K170" s="36"/>
      <c r="L170" s="36"/>
      <c r="M170" s="44"/>
      <c r="R170" s="9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44"/>
    </row>
    <row r="171" spans="1:30" x14ac:dyDescent="0.2">
      <c r="F171" s="9"/>
      <c r="G171" s="36"/>
      <c r="H171" s="36"/>
      <c r="I171" s="36"/>
      <c r="J171" s="36"/>
      <c r="K171" s="36"/>
      <c r="L171" s="36"/>
      <c r="M171" s="44"/>
      <c r="R171" s="9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44"/>
    </row>
    <row r="172" spans="1:30" x14ac:dyDescent="0.2">
      <c r="F172" s="9"/>
      <c r="G172" s="36"/>
      <c r="H172" s="36"/>
      <c r="I172" s="36"/>
      <c r="J172" s="36"/>
      <c r="K172" s="36"/>
      <c r="L172" s="36"/>
      <c r="M172" s="44"/>
      <c r="R172" s="9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44"/>
    </row>
    <row r="173" spans="1:30" x14ac:dyDescent="0.2">
      <c r="F173" s="9"/>
      <c r="G173" s="36"/>
      <c r="H173" s="36"/>
      <c r="I173" s="36"/>
      <c r="J173" s="36"/>
      <c r="K173" s="36"/>
      <c r="L173" s="36"/>
      <c r="M173" s="44"/>
      <c r="R173" s="9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44"/>
    </row>
    <row r="174" spans="1:30" x14ac:dyDescent="0.2">
      <c r="F174" s="9"/>
      <c r="G174" s="36"/>
      <c r="H174" s="36"/>
      <c r="I174" s="36"/>
      <c r="J174" s="36"/>
      <c r="K174" s="36"/>
      <c r="L174" s="36"/>
      <c r="M174" s="44"/>
      <c r="R174" s="9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44"/>
    </row>
    <row r="175" spans="1:30" x14ac:dyDescent="0.2">
      <c r="F175" s="9"/>
      <c r="G175" s="36"/>
      <c r="H175" s="36"/>
      <c r="I175" s="36"/>
      <c r="J175" s="36"/>
      <c r="K175" s="36"/>
      <c r="L175" s="36"/>
      <c r="M175" s="44"/>
      <c r="R175" s="9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44"/>
    </row>
    <row r="176" spans="1:30" x14ac:dyDescent="0.2">
      <c r="F176" s="9"/>
      <c r="G176" s="36"/>
      <c r="H176" s="36"/>
      <c r="I176" s="36"/>
      <c r="J176" s="36"/>
      <c r="K176" s="36"/>
      <c r="L176" s="36"/>
      <c r="M176" s="44"/>
      <c r="R176" s="9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44"/>
    </row>
    <row r="177" spans="6:29" x14ac:dyDescent="0.2">
      <c r="F177" s="9"/>
      <c r="G177" s="36"/>
      <c r="H177" s="36"/>
      <c r="I177" s="36"/>
      <c r="J177" s="36"/>
      <c r="K177" s="36"/>
      <c r="L177" s="36"/>
      <c r="M177" s="44"/>
      <c r="R177" s="9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44"/>
    </row>
    <row r="178" spans="6:29" x14ac:dyDescent="0.2">
      <c r="F178" s="9"/>
      <c r="G178" s="36"/>
      <c r="H178" s="36"/>
      <c r="I178" s="36"/>
      <c r="J178" s="36"/>
      <c r="K178" s="36"/>
      <c r="L178" s="36"/>
      <c r="M178" s="44"/>
      <c r="R178" s="9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44"/>
    </row>
    <row r="179" spans="6:29" x14ac:dyDescent="0.2">
      <c r="F179" s="9"/>
      <c r="G179" s="9"/>
      <c r="S179" s="47"/>
      <c r="U179" s="47"/>
      <c r="AA179" s="47"/>
    </row>
    <row r="180" spans="6:29" x14ac:dyDescent="0.2">
      <c r="G180" s="9"/>
      <c r="S180" s="47"/>
      <c r="U180" s="47"/>
      <c r="AA180" s="47"/>
    </row>
    <row r="181" spans="6:29" x14ac:dyDescent="0.2">
      <c r="G181" s="9"/>
      <c r="S181" s="47"/>
      <c r="U181" s="47"/>
      <c r="AA181" s="47"/>
    </row>
    <row r="182" spans="6:29" x14ac:dyDescent="0.2">
      <c r="G182" s="9"/>
      <c r="S182" s="47"/>
      <c r="U182" s="47"/>
      <c r="AA182" s="47"/>
    </row>
    <row r="183" spans="6:29" x14ac:dyDescent="0.2">
      <c r="G183" s="9"/>
      <c r="S183" s="47"/>
      <c r="U183" s="47"/>
      <c r="AA183" s="47"/>
    </row>
    <row r="184" spans="6:29" x14ac:dyDescent="0.2">
      <c r="G184" s="9"/>
      <c r="S184" s="47"/>
      <c r="U184" s="47"/>
      <c r="AA184" s="47"/>
    </row>
    <row r="185" spans="6:29" x14ac:dyDescent="0.2">
      <c r="G185" s="9"/>
      <c r="S185" s="47"/>
      <c r="U185" s="47"/>
      <c r="AA185" s="47"/>
    </row>
    <row r="186" spans="6:29" x14ac:dyDescent="0.2">
      <c r="G186" s="9"/>
      <c r="S186" s="47"/>
      <c r="U186" s="47"/>
      <c r="AA186" s="47"/>
    </row>
    <row r="187" spans="6:29" x14ac:dyDescent="0.2">
      <c r="G187" s="9"/>
      <c r="S187" s="47"/>
      <c r="U187" s="47"/>
      <c r="AA187" s="47"/>
    </row>
    <row r="188" spans="6:29" x14ac:dyDescent="0.2">
      <c r="G188" s="9"/>
      <c r="S188" s="47"/>
      <c r="U188" s="47"/>
      <c r="AA188" s="47"/>
    </row>
    <row r="189" spans="6:29" x14ac:dyDescent="0.2">
      <c r="G189" s="9"/>
      <c r="S189" s="47"/>
      <c r="U189" s="47"/>
      <c r="AA189" s="47"/>
    </row>
    <row r="190" spans="6:29" x14ac:dyDescent="0.2">
      <c r="G190" s="9"/>
      <c r="S190" s="47"/>
      <c r="U190" s="47"/>
      <c r="AA190" s="47"/>
    </row>
    <row r="191" spans="6:29" x14ac:dyDescent="0.2">
      <c r="G191" s="9"/>
      <c r="S191" s="47"/>
      <c r="U191" s="47"/>
      <c r="AA191" s="47"/>
    </row>
    <row r="192" spans="6:29" x14ac:dyDescent="0.2">
      <c r="G192" s="9"/>
      <c r="S192" s="47"/>
      <c r="U192" s="47"/>
      <c r="AA192" s="47"/>
    </row>
    <row r="193" spans="7:27" x14ac:dyDescent="0.2">
      <c r="G193" s="9"/>
      <c r="S193" s="47"/>
      <c r="U193" s="47"/>
      <c r="AA193" s="47"/>
    </row>
    <row r="194" spans="7:27" x14ac:dyDescent="0.2">
      <c r="G194" s="9"/>
      <c r="S194" s="47"/>
      <c r="U194" s="47"/>
      <c r="AA194" s="47"/>
    </row>
    <row r="195" spans="7:27" x14ac:dyDescent="0.2">
      <c r="G195" s="9"/>
      <c r="S195" s="47"/>
      <c r="U195" s="47"/>
      <c r="AA195" s="47"/>
    </row>
    <row r="196" spans="7:27" x14ac:dyDescent="0.2">
      <c r="G196" s="9"/>
      <c r="S196" s="47"/>
      <c r="U196" s="47"/>
      <c r="AA196" s="47"/>
    </row>
    <row r="197" spans="7:27" x14ac:dyDescent="0.2">
      <c r="G197" s="9"/>
      <c r="S197" s="47"/>
      <c r="U197" s="47"/>
      <c r="AA197" s="47"/>
    </row>
    <row r="198" spans="7:27" x14ac:dyDescent="0.2">
      <c r="G198" s="9"/>
      <c r="S198" s="47"/>
      <c r="U198" s="47"/>
      <c r="AA198" s="47"/>
    </row>
    <row r="199" spans="7:27" x14ac:dyDescent="0.2">
      <c r="G199" s="9"/>
      <c r="S199" s="47"/>
      <c r="U199" s="47"/>
      <c r="AA199" s="47"/>
    </row>
    <row r="200" spans="7:27" x14ac:dyDescent="0.2">
      <c r="G200" s="9"/>
      <c r="S200" s="47"/>
      <c r="U200" s="47"/>
      <c r="AA200" s="47"/>
    </row>
    <row r="201" spans="7:27" x14ac:dyDescent="0.2">
      <c r="G201" s="9"/>
      <c r="S201" s="47"/>
      <c r="U201" s="47"/>
      <c r="AA201" s="47"/>
    </row>
    <row r="202" spans="7:27" x14ac:dyDescent="0.2">
      <c r="G202" s="9"/>
      <c r="S202" s="47"/>
      <c r="U202" s="47"/>
      <c r="AA202" s="47"/>
    </row>
    <row r="203" spans="7:27" x14ac:dyDescent="0.2">
      <c r="G203" s="9"/>
      <c r="S203" s="47"/>
      <c r="U203" s="47"/>
      <c r="AA203" s="47"/>
    </row>
    <row r="204" spans="7:27" x14ac:dyDescent="0.2">
      <c r="G204" s="9"/>
      <c r="S204" s="47"/>
      <c r="U204" s="47"/>
      <c r="AA204" s="47"/>
    </row>
    <row r="205" spans="7:27" x14ac:dyDescent="0.2">
      <c r="G205" s="9"/>
      <c r="S205" s="47"/>
      <c r="U205" s="47"/>
      <c r="AA205" s="47"/>
    </row>
    <row r="206" spans="7:27" x14ac:dyDescent="0.2">
      <c r="G206" s="9"/>
      <c r="S206" s="47"/>
      <c r="U206" s="47"/>
      <c r="AA206" s="47"/>
    </row>
    <row r="207" spans="7:27" x14ac:dyDescent="0.2">
      <c r="G207" s="9"/>
      <c r="S207" s="47"/>
      <c r="U207" s="47"/>
      <c r="AA207" s="47"/>
    </row>
    <row r="208" spans="7:27" x14ac:dyDescent="0.2">
      <c r="G208" s="9"/>
      <c r="S208" s="47"/>
      <c r="U208" s="47"/>
      <c r="AA208" s="47"/>
    </row>
    <row r="209" spans="7:27" x14ac:dyDescent="0.2">
      <c r="G209" s="9"/>
      <c r="S209" s="47"/>
      <c r="U209" s="47"/>
      <c r="AA209" s="47"/>
    </row>
    <row r="210" spans="7:27" x14ac:dyDescent="0.2">
      <c r="G210" s="9"/>
      <c r="S210" s="47"/>
      <c r="U210" s="47"/>
      <c r="AA210" s="47"/>
    </row>
    <row r="211" spans="7:27" x14ac:dyDescent="0.2">
      <c r="G211" s="9"/>
      <c r="S211" s="47"/>
      <c r="U211" s="47"/>
      <c r="AA211" s="47"/>
    </row>
    <row r="212" spans="7:27" x14ac:dyDescent="0.2">
      <c r="G212" s="9"/>
      <c r="S212" s="47"/>
      <c r="U212" s="47"/>
      <c r="AA212" s="47"/>
    </row>
    <row r="213" spans="7:27" x14ac:dyDescent="0.2">
      <c r="G213" s="9"/>
      <c r="S213" s="47"/>
      <c r="U213" s="47"/>
      <c r="AA213" s="47"/>
    </row>
    <row r="214" spans="7:27" x14ac:dyDescent="0.2">
      <c r="G214" s="9"/>
      <c r="S214" s="47"/>
      <c r="U214" s="47"/>
      <c r="AA214" s="47"/>
    </row>
    <row r="215" spans="7:27" x14ac:dyDescent="0.2">
      <c r="G215" s="9"/>
      <c r="S215" s="47"/>
      <c r="U215" s="47"/>
      <c r="AA215" s="47"/>
    </row>
    <row r="216" spans="7:27" x14ac:dyDescent="0.2">
      <c r="G216" s="9"/>
      <c r="S216" s="47"/>
      <c r="U216" s="47"/>
      <c r="AA216" s="47"/>
    </row>
    <row r="217" spans="7:27" x14ac:dyDescent="0.2">
      <c r="G217" s="9"/>
      <c r="S217" s="47"/>
      <c r="U217" s="47"/>
      <c r="AA217" s="47"/>
    </row>
    <row r="218" spans="7:27" x14ac:dyDescent="0.2">
      <c r="G218" s="9"/>
      <c r="S218" s="47"/>
      <c r="U218" s="47"/>
      <c r="AA218" s="47"/>
    </row>
    <row r="219" spans="7:27" x14ac:dyDescent="0.2">
      <c r="G219" s="9"/>
      <c r="S219" s="47"/>
      <c r="U219" s="47"/>
      <c r="AA219" s="47"/>
    </row>
    <row r="220" spans="7:27" x14ac:dyDescent="0.2">
      <c r="G220" s="9"/>
      <c r="S220" s="47"/>
      <c r="U220" s="47"/>
      <c r="AA220" s="47"/>
    </row>
    <row r="221" spans="7:27" x14ac:dyDescent="0.2">
      <c r="G221" s="9"/>
      <c r="S221" s="47"/>
      <c r="U221" s="47"/>
      <c r="AA221" s="47"/>
    </row>
    <row r="222" spans="7:27" x14ac:dyDescent="0.2">
      <c r="G222" s="9"/>
      <c r="S222" s="47"/>
      <c r="U222" s="47"/>
      <c r="AA222" s="47"/>
    </row>
    <row r="223" spans="7:27" x14ac:dyDescent="0.2">
      <c r="G223" s="9"/>
      <c r="S223" s="47"/>
      <c r="U223" s="47"/>
      <c r="AA223" s="47"/>
    </row>
    <row r="224" spans="7:27" x14ac:dyDescent="0.2">
      <c r="G224" s="9"/>
      <c r="S224" s="47"/>
      <c r="U224" s="47"/>
      <c r="AA224" s="47"/>
    </row>
    <row r="225" spans="7:27" x14ac:dyDescent="0.2">
      <c r="G225" s="9"/>
      <c r="S225" s="47"/>
      <c r="U225" s="47"/>
      <c r="AA225" s="47"/>
    </row>
    <row r="226" spans="7:27" x14ac:dyDescent="0.2">
      <c r="G226" s="9"/>
      <c r="S226" s="47"/>
      <c r="U226" s="47"/>
      <c r="AA226" s="47"/>
    </row>
    <row r="227" spans="7:27" x14ac:dyDescent="0.2">
      <c r="G227" s="9"/>
      <c r="S227" s="47"/>
      <c r="U227" s="47"/>
      <c r="AA227" s="47"/>
    </row>
    <row r="228" spans="7:27" x14ac:dyDescent="0.2">
      <c r="G228" s="9"/>
      <c r="S228" s="47"/>
      <c r="U228" s="47"/>
      <c r="AA228" s="47"/>
    </row>
    <row r="229" spans="7:27" x14ac:dyDescent="0.2">
      <c r="G229" s="9"/>
      <c r="S229" s="47"/>
      <c r="U229" s="47"/>
      <c r="AA229" s="47"/>
    </row>
    <row r="230" spans="7:27" x14ac:dyDescent="0.2">
      <c r="G230" s="9"/>
      <c r="S230" s="47"/>
      <c r="U230" s="47"/>
      <c r="AA230" s="47"/>
    </row>
    <row r="231" spans="7:27" x14ac:dyDescent="0.2">
      <c r="G231" s="9"/>
      <c r="S231" s="47"/>
      <c r="U231" s="47"/>
      <c r="AA231" s="47"/>
    </row>
    <row r="232" spans="7:27" x14ac:dyDescent="0.2">
      <c r="G232" s="9"/>
      <c r="S232" s="47"/>
      <c r="U232" s="47"/>
      <c r="AA232" s="47"/>
    </row>
    <row r="233" spans="7:27" x14ac:dyDescent="0.2">
      <c r="G233" s="9"/>
      <c r="S233" s="47"/>
      <c r="U233" s="47"/>
      <c r="AA233" s="47"/>
    </row>
    <row r="234" spans="7:27" x14ac:dyDescent="0.2">
      <c r="G234" s="9"/>
      <c r="S234" s="47"/>
      <c r="U234" s="47"/>
      <c r="AA234" s="47"/>
    </row>
    <row r="235" spans="7:27" x14ac:dyDescent="0.2">
      <c r="G235" s="9"/>
      <c r="S235" s="47"/>
      <c r="U235" s="47"/>
      <c r="AA235" s="47"/>
    </row>
    <row r="236" spans="7:27" x14ac:dyDescent="0.2">
      <c r="G236" s="9"/>
      <c r="S236" s="47"/>
      <c r="U236" s="47"/>
      <c r="AA236" s="47"/>
    </row>
    <row r="237" spans="7:27" x14ac:dyDescent="0.2">
      <c r="G237" s="9"/>
      <c r="S237" s="47"/>
      <c r="U237" s="47"/>
      <c r="AA237" s="47"/>
    </row>
    <row r="238" spans="7:27" x14ac:dyDescent="0.2">
      <c r="G238" s="9"/>
      <c r="S238" s="47"/>
      <c r="U238" s="47"/>
      <c r="AA238" s="47"/>
    </row>
    <row r="239" spans="7:27" x14ac:dyDescent="0.2">
      <c r="G239" s="9"/>
      <c r="S239" s="47"/>
      <c r="U239" s="47"/>
      <c r="AA239" s="47"/>
    </row>
    <row r="240" spans="7:27" x14ac:dyDescent="0.2">
      <c r="G240" s="9"/>
      <c r="S240" s="47"/>
      <c r="U240" s="47"/>
      <c r="AA240" s="47"/>
    </row>
    <row r="241" spans="7:27" x14ac:dyDescent="0.2">
      <c r="G241" s="9"/>
      <c r="S241" s="47"/>
      <c r="U241" s="47"/>
      <c r="AA241" s="47"/>
    </row>
    <row r="242" spans="7:27" x14ac:dyDescent="0.2">
      <c r="G242" s="9"/>
      <c r="S242" s="47"/>
      <c r="U242" s="47"/>
      <c r="AA242" s="47"/>
    </row>
    <row r="243" spans="7:27" x14ac:dyDescent="0.2">
      <c r="G243" s="9"/>
      <c r="S243" s="47"/>
      <c r="U243" s="47"/>
      <c r="AA243" s="47"/>
    </row>
    <row r="244" spans="7:27" x14ac:dyDescent="0.2">
      <c r="G244" s="9"/>
      <c r="S244" s="47"/>
      <c r="U244" s="47"/>
      <c r="AA244" s="47"/>
    </row>
    <row r="245" spans="7:27" x14ac:dyDescent="0.2">
      <c r="G245" s="9"/>
      <c r="S245" s="47"/>
      <c r="U245" s="47"/>
      <c r="AA245" s="47"/>
    </row>
    <row r="246" spans="7:27" x14ac:dyDescent="0.2">
      <c r="G246" s="9"/>
      <c r="S246" s="47"/>
      <c r="U246" s="47"/>
      <c r="AA246" s="47"/>
    </row>
    <row r="247" spans="7:27" x14ac:dyDescent="0.2">
      <c r="G247" s="9"/>
      <c r="S247" s="47"/>
      <c r="U247" s="47"/>
      <c r="AA247" s="47"/>
    </row>
    <row r="248" spans="7:27" x14ac:dyDescent="0.2">
      <c r="G248" s="9"/>
      <c r="S248" s="47"/>
      <c r="U248" s="47"/>
      <c r="AA248" s="47"/>
    </row>
    <row r="249" spans="7:27" x14ac:dyDescent="0.2">
      <c r="G249" s="9"/>
      <c r="S249" s="47"/>
      <c r="U249" s="47"/>
      <c r="AA249" s="47"/>
    </row>
    <row r="250" spans="7:27" x14ac:dyDescent="0.2">
      <c r="G250" s="9"/>
      <c r="S250" s="47"/>
      <c r="U250" s="47"/>
      <c r="AA250" s="47"/>
    </row>
    <row r="251" spans="7:27" x14ac:dyDescent="0.2">
      <c r="G251" s="9"/>
      <c r="S251" s="47"/>
      <c r="U251" s="47"/>
      <c r="AA251" s="47"/>
    </row>
    <row r="252" spans="7:27" x14ac:dyDescent="0.2">
      <c r="G252" s="9"/>
      <c r="S252" s="47"/>
      <c r="U252" s="47"/>
      <c r="AA252" s="47"/>
    </row>
    <row r="253" spans="7:27" x14ac:dyDescent="0.2">
      <c r="G253" s="9"/>
      <c r="S253" s="47"/>
      <c r="U253" s="47"/>
      <c r="AA253" s="47"/>
    </row>
    <row r="254" spans="7:27" x14ac:dyDescent="0.2">
      <c r="G254" s="9"/>
      <c r="S254" s="47"/>
      <c r="U254" s="47"/>
      <c r="AA254" s="47"/>
    </row>
    <row r="255" spans="7:27" x14ac:dyDescent="0.2">
      <c r="G255" s="9"/>
      <c r="S255" s="47"/>
      <c r="U255" s="47"/>
      <c r="AA255" s="47"/>
    </row>
    <row r="256" spans="7:27" x14ac:dyDescent="0.2">
      <c r="G256" s="9"/>
      <c r="S256" s="47"/>
      <c r="U256" s="47"/>
      <c r="AA256" s="47"/>
    </row>
    <row r="257" spans="7:27" x14ac:dyDescent="0.2">
      <c r="G257" s="9"/>
      <c r="S257" s="47"/>
      <c r="U257" s="47"/>
      <c r="AA257" s="47"/>
    </row>
    <row r="258" spans="7:27" x14ac:dyDescent="0.2">
      <c r="G258" s="9"/>
      <c r="S258" s="47"/>
      <c r="U258" s="47"/>
      <c r="AA258" s="47"/>
    </row>
    <row r="259" spans="7:27" x14ac:dyDescent="0.2">
      <c r="G259" s="9"/>
      <c r="S259" s="47"/>
      <c r="U259" s="47"/>
      <c r="AA259" s="47"/>
    </row>
    <row r="260" spans="7:27" x14ac:dyDescent="0.2">
      <c r="G260" s="9"/>
      <c r="S260" s="47"/>
      <c r="U260" s="47"/>
      <c r="AA260" s="47"/>
    </row>
    <row r="261" spans="7:27" x14ac:dyDescent="0.2">
      <c r="G261" s="9"/>
      <c r="S261" s="47"/>
      <c r="U261" s="47"/>
      <c r="AA261" s="47"/>
    </row>
    <row r="262" spans="7:27" x14ac:dyDescent="0.2">
      <c r="G262" s="9"/>
      <c r="S262" s="47"/>
      <c r="U262" s="47"/>
      <c r="AA262" s="47"/>
    </row>
    <row r="263" spans="7:27" x14ac:dyDescent="0.2">
      <c r="G263" s="9"/>
      <c r="S263" s="47"/>
      <c r="U263" s="47"/>
      <c r="AA263" s="47"/>
    </row>
    <row r="264" spans="7:27" x14ac:dyDescent="0.2">
      <c r="G264" s="9"/>
      <c r="S264" s="47"/>
      <c r="U264" s="47"/>
      <c r="AA264" s="47"/>
    </row>
    <row r="265" spans="7:27" x14ac:dyDescent="0.2">
      <c r="G265" s="9"/>
      <c r="S265" s="47"/>
      <c r="U265" s="47"/>
      <c r="AA265" s="47"/>
    </row>
    <row r="266" spans="7:27" x14ac:dyDescent="0.2">
      <c r="G266" s="9"/>
      <c r="S266" s="47"/>
      <c r="U266" s="47"/>
      <c r="AA266" s="47"/>
    </row>
    <row r="267" spans="7:27" x14ac:dyDescent="0.2">
      <c r="G267" s="9"/>
      <c r="S267" s="47"/>
      <c r="U267" s="47"/>
      <c r="AA267" s="47"/>
    </row>
    <row r="268" spans="7:27" x14ac:dyDescent="0.2">
      <c r="G268" s="9"/>
      <c r="S268" s="47"/>
      <c r="U268" s="47"/>
      <c r="AA268" s="47"/>
    </row>
    <row r="269" spans="7:27" x14ac:dyDescent="0.2">
      <c r="G269" s="9"/>
      <c r="S269" s="47"/>
      <c r="U269" s="47"/>
      <c r="AA269" s="47"/>
    </row>
    <row r="270" spans="7:27" x14ac:dyDescent="0.2">
      <c r="G270" s="9"/>
      <c r="S270" s="47"/>
      <c r="U270" s="47"/>
      <c r="AA270" s="47"/>
    </row>
    <row r="271" spans="7:27" x14ac:dyDescent="0.2">
      <c r="G271" s="9"/>
      <c r="S271" s="47"/>
      <c r="U271" s="47"/>
      <c r="AA271" s="47"/>
    </row>
    <row r="272" spans="7:27" x14ac:dyDescent="0.2">
      <c r="G272" s="9"/>
      <c r="S272" s="47"/>
      <c r="U272" s="47"/>
      <c r="AA272" s="47"/>
    </row>
    <row r="273" spans="7:27" x14ac:dyDescent="0.2">
      <c r="G273" s="9"/>
      <c r="S273" s="47"/>
      <c r="U273" s="47"/>
      <c r="AA273" s="47"/>
    </row>
    <row r="274" spans="7:27" x14ac:dyDescent="0.2">
      <c r="G274" s="9"/>
      <c r="S274" s="47"/>
      <c r="U274" s="47"/>
      <c r="AA274" s="47"/>
    </row>
    <row r="275" spans="7:27" x14ac:dyDescent="0.2">
      <c r="G275" s="9"/>
      <c r="S275" s="47"/>
      <c r="U275" s="47"/>
      <c r="AA275" s="47"/>
    </row>
    <row r="276" spans="7:27" x14ac:dyDescent="0.2">
      <c r="G276" s="9"/>
      <c r="S276" s="47"/>
      <c r="U276" s="47"/>
      <c r="AA276" s="47"/>
    </row>
    <row r="277" spans="7:27" x14ac:dyDescent="0.2">
      <c r="S277" s="47"/>
      <c r="U277" s="47"/>
      <c r="AA277" s="47"/>
    </row>
    <row r="278" spans="7:27" x14ac:dyDescent="0.2">
      <c r="S278" s="47"/>
      <c r="U278" s="47"/>
      <c r="AA278" s="47"/>
    </row>
    <row r="279" spans="7:27" x14ac:dyDescent="0.2">
      <c r="S279" s="47"/>
      <c r="U279" s="47"/>
      <c r="AA279" s="47"/>
    </row>
    <row r="280" spans="7:27" x14ac:dyDescent="0.2">
      <c r="S280" s="47"/>
      <c r="U280" s="47"/>
      <c r="AA280" s="47"/>
    </row>
    <row r="281" spans="7:27" x14ac:dyDescent="0.2">
      <c r="S281" s="47"/>
      <c r="U281" s="47"/>
      <c r="AA281" s="47"/>
    </row>
    <row r="282" spans="7:27" x14ac:dyDescent="0.2">
      <c r="S282" s="47"/>
      <c r="U282" s="47"/>
      <c r="AA282" s="47"/>
    </row>
    <row r="283" spans="7:27" x14ac:dyDescent="0.2">
      <c r="S283" s="47"/>
      <c r="U283" s="47"/>
      <c r="AA283" s="47"/>
    </row>
    <row r="284" spans="7:27" x14ac:dyDescent="0.2">
      <c r="S284" s="47"/>
      <c r="U284" s="47"/>
      <c r="AA284" s="47"/>
    </row>
    <row r="285" spans="7:27" x14ac:dyDescent="0.2">
      <c r="S285" s="47"/>
      <c r="U285" s="47"/>
      <c r="AA285" s="47"/>
    </row>
    <row r="286" spans="7:27" x14ac:dyDescent="0.2">
      <c r="S286" s="47"/>
      <c r="U286" s="47"/>
      <c r="AA286" s="47"/>
    </row>
    <row r="287" spans="7:27" x14ac:dyDescent="0.2">
      <c r="S287" s="47"/>
      <c r="U287" s="47"/>
      <c r="AA287" s="47"/>
    </row>
    <row r="288" spans="7:27" x14ac:dyDescent="0.2">
      <c r="S288" s="47"/>
      <c r="U288" s="47"/>
      <c r="AA288" s="47"/>
    </row>
    <row r="289" spans="19:27" x14ac:dyDescent="0.2">
      <c r="S289" s="47"/>
      <c r="U289" s="47"/>
      <c r="AA289" s="47"/>
    </row>
    <row r="290" spans="19:27" x14ac:dyDescent="0.2">
      <c r="S290" s="47"/>
      <c r="U290" s="47"/>
      <c r="AA290" s="47"/>
    </row>
    <row r="291" spans="19:27" x14ac:dyDescent="0.2">
      <c r="S291" s="47"/>
      <c r="U291" s="47"/>
      <c r="AA291" s="47"/>
    </row>
    <row r="292" spans="19:27" x14ac:dyDescent="0.2">
      <c r="S292" s="47"/>
      <c r="U292" s="47"/>
      <c r="AA292" s="47"/>
    </row>
    <row r="293" spans="19:27" x14ac:dyDescent="0.2">
      <c r="S293" s="47"/>
      <c r="U293" s="47"/>
      <c r="AA293" s="47"/>
    </row>
    <row r="294" spans="19:27" x14ac:dyDescent="0.2">
      <c r="S294" s="47"/>
      <c r="U294" s="47"/>
      <c r="AA294" s="47"/>
    </row>
    <row r="295" spans="19:27" x14ac:dyDescent="0.2">
      <c r="S295" s="47"/>
      <c r="U295" s="47"/>
      <c r="AA295" s="47"/>
    </row>
    <row r="296" spans="19:27" x14ac:dyDescent="0.2">
      <c r="S296" s="47"/>
      <c r="U296" s="47"/>
      <c r="AA296" s="47"/>
    </row>
    <row r="297" spans="19:27" x14ac:dyDescent="0.2">
      <c r="S297" s="47"/>
      <c r="U297" s="47"/>
      <c r="AA297" s="47"/>
    </row>
    <row r="298" spans="19:27" x14ac:dyDescent="0.2">
      <c r="S298" s="47"/>
      <c r="U298" s="47"/>
      <c r="AA298" s="47"/>
    </row>
    <row r="299" spans="19:27" x14ac:dyDescent="0.2">
      <c r="S299" s="47"/>
      <c r="U299" s="47"/>
      <c r="AA299" s="47"/>
    </row>
    <row r="300" spans="19:27" x14ac:dyDescent="0.2">
      <c r="S300" s="47"/>
      <c r="U300" s="47"/>
      <c r="AA300" s="47"/>
    </row>
    <row r="301" spans="19:27" x14ac:dyDescent="0.2">
      <c r="S301" s="47"/>
      <c r="U301" s="47"/>
      <c r="AA301" s="47"/>
    </row>
    <row r="302" spans="19:27" x14ac:dyDescent="0.2">
      <c r="S302" s="47"/>
      <c r="U302" s="47"/>
      <c r="AA302" s="47"/>
    </row>
    <row r="303" spans="19:27" x14ac:dyDescent="0.2">
      <c r="S303" s="47"/>
      <c r="U303" s="47"/>
      <c r="AA303" s="47"/>
    </row>
    <row r="304" spans="19:27" x14ac:dyDescent="0.2">
      <c r="S304" s="47"/>
      <c r="U304" s="47"/>
      <c r="AA304" s="47"/>
    </row>
    <row r="305" spans="19:27" x14ac:dyDescent="0.2">
      <c r="S305" s="47"/>
      <c r="U305" s="47"/>
      <c r="AA305" s="47"/>
    </row>
    <row r="306" spans="19:27" x14ac:dyDescent="0.2">
      <c r="S306" s="47"/>
      <c r="U306" s="47"/>
      <c r="AA306" s="47"/>
    </row>
    <row r="307" spans="19:27" x14ac:dyDescent="0.2">
      <c r="S307" s="47"/>
      <c r="U307" s="47"/>
      <c r="AA307" s="47"/>
    </row>
    <row r="308" spans="19:27" x14ac:dyDescent="0.2">
      <c r="S308" s="47"/>
      <c r="U308" s="47"/>
      <c r="AA308" s="47"/>
    </row>
    <row r="309" spans="19:27" x14ac:dyDescent="0.2">
      <c r="S309" s="47"/>
      <c r="U309" s="47"/>
      <c r="AA309" s="47"/>
    </row>
    <row r="310" spans="19:27" x14ac:dyDescent="0.2">
      <c r="S310" s="47"/>
      <c r="U310" s="47"/>
      <c r="AA310" s="47"/>
    </row>
    <row r="311" spans="19:27" x14ac:dyDescent="0.2">
      <c r="S311" s="47"/>
      <c r="U311" s="47"/>
      <c r="AA311" s="47"/>
    </row>
    <row r="312" spans="19:27" x14ac:dyDescent="0.2">
      <c r="S312" s="47"/>
      <c r="U312" s="47"/>
      <c r="AA312" s="47"/>
    </row>
    <row r="313" spans="19:27" x14ac:dyDescent="0.2">
      <c r="S313" s="47"/>
      <c r="U313" s="47"/>
      <c r="AA313" s="47"/>
    </row>
    <row r="314" spans="19:27" x14ac:dyDescent="0.2">
      <c r="S314" s="47"/>
      <c r="U314" s="47"/>
      <c r="AA314" s="47"/>
    </row>
    <row r="315" spans="19:27" x14ac:dyDescent="0.2">
      <c r="S315" s="47"/>
      <c r="U315" s="47"/>
      <c r="AA315" s="47"/>
    </row>
    <row r="316" spans="19:27" x14ac:dyDescent="0.2">
      <c r="S316" s="47"/>
      <c r="U316" s="47"/>
      <c r="AA316" s="47"/>
    </row>
    <row r="317" spans="19:27" x14ac:dyDescent="0.2">
      <c r="S317" s="47"/>
      <c r="U317" s="47"/>
      <c r="AA317" s="47"/>
    </row>
    <row r="318" spans="19:27" x14ac:dyDescent="0.2">
      <c r="S318" s="47"/>
      <c r="U318" s="47"/>
      <c r="AA318" s="47"/>
    </row>
    <row r="319" spans="19:27" x14ac:dyDescent="0.2">
      <c r="S319" s="47"/>
      <c r="U319" s="47"/>
      <c r="AA319" s="47"/>
    </row>
    <row r="320" spans="19:27" x14ac:dyDescent="0.2">
      <c r="S320" s="47"/>
      <c r="U320" s="47"/>
      <c r="AA320" s="47"/>
    </row>
    <row r="321" spans="19:27" x14ac:dyDescent="0.2">
      <c r="S321" s="47"/>
      <c r="U321" s="47"/>
      <c r="AA321" s="47"/>
    </row>
    <row r="322" spans="19:27" x14ac:dyDescent="0.2">
      <c r="S322" s="47"/>
      <c r="U322" s="47"/>
      <c r="AA322" s="47"/>
    </row>
    <row r="323" spans="19:27" x14ac:dyDescent="0.2">
      <c r="S323" s="47"/>
      <c r="U323" s="47"/>
      <c r="AA323" s="47"/>
    </row>
    <row r="324" spans="19:27" x14ac:dyDescent="0.2">
      <c r="S324" s="47"/>
      <c r="U324" s="47"/>
      <c r="AA324" s="47"/>
    </row>
    <row r="325" spans="19:27" x14ac:dyDescent="0.2">
      <c r="S325" s="47"/>
      <c r="U325" s="47"/>
      <c r="AA325" s="47"/>
    </row>
    <row r="326" spans="19:27" x14ac:dyDescent="0.2">
      <c r="S326" s="47"/>
      <c r="U326" s="47"/>
      <c r="AA326" s="47"/>
    </row>
    <row r="327" spans="19:27" x14ac:dyDescent="0.2">
      <c r="S327" s="47"/>
      <c r="U327" s="47"/>
      <c r="AA327" s="47"/>
    </row>
    <row r="328" spans="19:27" x14ac:dyDescent="0.2">
      <c r="S328" s="47"/>
      <c r="U328" s="47"/>
      <c r="AA328" s="47"/>
    </row>
    <row r="329" spans="19:27" x14ac:dyDescent="0.2">
      <c r="S329" s="47"/>
      <c r="U329" s="47"/>
      <c r="AA329" s="47"/>
    </row>
    <row r="330" spans="19:27" x14ac:dyDescent="0.2">
      <c r="S330" s="47"/>
      <c r="U330" s="47"/>
      <c r="AA330" s="47"/>
    </row>
    <row r="331" spans="19:27" x14ac:dyDescent="0.2">
      <c r="S331" s="47"/>
      <c r="U331" s="47"/>
      <c r="AA331" s="47"/>
    </row>
    <row r="332" spans="19:27" x14ac:dyDescent="0.2">
      <c r="S332" s="47"/>
      <c r="U332" s="47"/>
      <c r="AA332" s="47"/>
    </row>
    <row r="333" spans="19:27" x14ac:dyDescent="0.2">
      <c r="S333" s="47"/>
      <c r="U333" s="47"/>
      <c r="AA333" s="47"/>
    </row>
    <row r="334" spans="19:27" x14ac:dyDescent="0.2">
      <c r="S334" s="47"/>
      <c r="U334" s="47"/>
      <c r="AA334" s="47"/>
    </row>
    <row r="335" spans="19:27" x14ac:dyDescent="0.2">
      <c r="S335" s="47"/>
      <c r="U335" s="47"/>
      <c r="AA335" s="47"/>
    </row>
    <row r="336" spans="19:27" x14ac:dyDescent="0.2">
      <c r="S336" s="47"/>
      <c r="U336" s="47"/>
      <c r="AA336" s="47"/>
    </row>
    <row r="337" spans="19:27" x14ac:dyDescent="0.2">
      <c r="S337" s="47"/>
      <c r="U337" s="47"/>
      <c r="AA337" s="47"/>
    </row>
    <row r="338" spans="19:27" x14ac:dyDescent="0.2">
      <c r="S338" s="47"/>
      <c r="U338" s="47"/>
      <c r="AA338" s="47"/>
    </row>
    <row r="339" spans="19:27" x14ac:dyDescent="0.2">
      <c r="S339" s="47"/>
      <c r="U339" s="47"/>
      <c r="AA339" s="47"/>
    </row>
    <row r="340" spans="19:27" x14ac:dyDescent="0.2">
      <c r="S340" s="47"/>
      <c r="U340" s="47"/>
      <c r="AA340" s="47"/>
    </row>
    <row r="341" spans="19:27" x14ac:dyDescent="0.2">
      <c r="S341" s="47"/>
      <c r="U341" s="47"/>
      <c r="AA341" s="47"/>
    </row>
    <row r="342" spans="19:27" x14ac:dyDescent="0.2">
      <c r="S342" s="47"/>
      <c r="U342" s="47"/>
      <c r="AA342" s="47"/>
    </row>
    <row r="343" spans="19:27" x14ac:dyDescent="0.2">
      <c r="S343" s="47"/>
      <c r="U343" s="47"/>
      <c r="AA343" s="47"/>
    </row>
    <row r="344" spans="19:27" x14ac:dyDescent="0.2">
      <c r="S344" s="47"/>
      <c r="U344" s="47"/>
      <c r="AA344" s="47"/>
    </row>
    <row r="345" spans="19:27" x14ac:dyDescent="0.2">
      <c r="S345" s="47"/>
      <c r="U345" s="47"/>
      <c r="AA345" s="47"/>
    </row>
    <row r="346" spans="19:27" x14ac:dyDescent="0.2">
      <c r="S346" s="47"/>
      <c r="U346" s="47"/>
      <c r="AA346" s="47"/>
    </row>
    <row r="347" spans="19:27" x14ac:dyDescent="0.2">
      <c r="S347" s="47"/>
      <c r="U347" s="47"/>
      <c r="AA347" s="47"/>
    </row>
    <row r="348" spans="19:27" x14ac:dyDescent="0.2">
      <c r="S348" s="47"/>
      <c r="U348" s="47"/>
      <c r="AA348" s="47"/>
    </row>
    <row r="349" spans="19:27" x14ac:dyDescent="0.2">
      <c r="S349" s="47"/>
      <c r="U349" s="47"/>
      <c r="AA349" s="47"/>
    </row>
    <row r="350" spans="19:27" x14ac:dyDescent="0.2">
      <c r="S350" s="47"/>
      <c r="U350" s="47"/>
      <c r="AA350" s="47"/>
    </row>
    <row r="351" spans="19:27" x14ac:dyDescent="0.2">
      <c r="S351" s="47"/>
      <c r="U351" s="47"/>
      <c r="AA351" s="47"/>
    </row>
    <row r="352" spans="19:27" x14ac:dyDescent="0.2">
      <c r="S352" s="47"/>
      <c r="U352" s="47"/>
      <c r="AA352" s="47"/>
    </row>
    <row r="353" spans="19:27" x14ac:dyDescent="0.2">
      <c r="S353" s="47"/>
      <c r="U353" s="47"/>
      <c r="AA353" s="47"/>
    </row>
    <row r="354" spans="19:27" x14ac:dyDescent="0.2">
      <c r="S354" s="47"/>
      <c r="U354" s="47"/>
      <c r="AA354" s="47"/>
    </row>
    <row r="355" spans="19:27" x14ac:dyDescent="0.2">
      <c r="S355" s="47"/>
      <c r="U355" s="47"/>
      <c r="AA355" s="47"/>
    </row>
    <row r="356" spans="19:27" x14ac:dyDescent="0.2">
      <c r="S356" s="47"/>
      <c r="U356" s="47"/>
      <c r="AA356" s="47"/>
    </row>
    <row r="357" spans="19:27" x14ac:dyDescent="0.2">
      <c r="S357" s="47"/>
      <c r="U357" s="47"/>
      <c r="AA357" s="47"/>
    </row>
    <row r="358" spans="19:27" x14ac:dyDescent="0.2">
      <c r="S358" s="47"/>
      <c r="U358" s="47"/>
      <c r="AA358" s="47"/>
    </row>
    <row r="359" spans="19:27" x14ac:dyDescent="0.2">
      <c r="S359" s="47"/>
      <c r="U359" s="47"/>
      <c r="AA359" s="47"/>
    </row>
    <row r="360" spans="19:27" x14ac:dyDescent="0.2">
      <c r="S360" s="47"/>
      <c r="U360" s="47"/>
      <c r="AA360" s="47"/>
    </row>
    <row r="361" spans="19:27" x14ac:dyDescent="0.2">
      <c r="S361" s="47"/>
      <c r="U361" s="47"/>
      <c r="AA361" s="47"/>
    </row>
    <row r="362" spans="19:27" x14ac:dyDescent="0.2">
      <c r="S362" s="47"/>
      <c r="U362" s="47"/>
      <c r="AA362" s="47"/>
    </row>
    <row r="363" spans="19:27" x14ac:dyDescent="0.2">
      <c r="S363" s="47"/>
      <c r="U363" s="47"/>
      <c r="AA363" s="47"/>
    </row>
    <row r="364" spans="19:27" x14ac:dyDescent="0.2">
      <c r="S364" s="47"/>
      <c r="U364" s="47"/>
      <c r="AA364" s="47"/>
    </row>
    <row r="365" spans="19:27" x14ac:dyDescent="0.2">
      <c r="S365" s="47"/>
      <c r="U365" s="47"/>
      <c r="AA365" s="47"/>
    </row>
    <row r="366" spans="19:27" x14ac:dyDescent="0.2">
      <c r="S366" s="47"/>
      <c r="U366" s="47"/>
      <c r="AA366" s="47"/>
    </row>
    <row r="367" spans="19:27" x14ac:dyDescent="0.2">
      <c r="S367" s="47"/>
      <c r="U367" s="47"/>
      <c r="AA367" s="47"/>
    </row>
    <row r="368" spans="19:27" x14ac:dyDescent="0.2">
      <c r="S368" s="47"/>
      <c r="U368" s="47"/>
      <c r="AA368" s="47"/>
    </row>
    <row r="369" spans="19:27" x14ac:dyDescent="0.2">
      <c r="S369" s="47"/>
      <c r="U369" s="47"/>
      <c r="AA369" s="47"/>
    </row>
    <row r="370" spans="19:27" x14ac:dyDescent="0.2">
      <c r="S370" s="47"/>
      <c r="U370" s="47"/>
      <c r="AA370" s="47"/>
    </row>
    <row r="371" spans="19:27" x14ac:dyDescent="0.2">
      <c r="S371" s="47"/>
      <c r="U371" s="47"/>
      <c r="AA371" s="47"/>
    </row>
    <row r="372" spans="19:27" x14ac:dyDescent="0.2">
      <c r="S372" s="47"/>
      <c r="U372" s="47"/>
      <c r="AA372" s="47"/>
    </row>
    <row r="373" spans="19:27" x14ac:dyDescent="0.2">
      <c r="S373" s="47"/>
      <c r="U373" s="47"/>
      <c r="AA373" s="47"/>
    </row>
    <row r="374" spans="19:27" x14ac:dyDescent="0.2">
      <c r="S374" s="47"/>
      <c r="U374" s="47"/>
      <c r="AA374" s="47"/>
    </row>
    <row r="375" spans="19:27" x14ac:dyDescent="0.2">
      <c r="S375" s="47"/>
      <c r="U375" s="47"/>
      <c r="AA375" s="47"/>
    </row>
    <row r="376" spans="19:27" x14ac:dyDescent="0.2">
      <c r="S376" s="47"/>
      <c r="U376" s="47"/>
      <c r="AA376" s="47"/>
    </row>
    <row r="377" spans="19:27" x14ac:dyDescent="0.2">
      <c r="S377" s="47"/>
      <c r="U377" s="47"/>
      <c r="AA377" s="47"/>
    </row>
    <row r="378" spans="19:27" x14ac:dyDescent="0.2">
      <c r="S378" s="47"/>
      <c r="U378" s="47"/>
      <c r="AA378" s="47"/>
    </row>
    <row r="379" spans="19:27" x14ac:dyDescent="0.2">
      <c r="S379" s="47"/>
      <c r="U379" s="47"/>
      <c r="AA379" s="47"/>
    </row>
    <row r="380" spans="19:27" x14ac:dyDescent="0.2">
      <c r="S380" s="47"/>
      <c r="U380" s="47"/>
      <c r="AA380" s="47"/>
    </row>
    <row r="381" spans="19:27" x14ac:dyDescent="0.2">
      <c r="S381" s="47"/>
      <c r="U381" s="47"/>
      <c r="AA381" s="47"/>
    </row>
    <row r="382" spans="19:27" x14ac:dyDescent="0.2">
      <c r="S382" s="47"/>
      <c r="U382" s="47"/>
      <c r="AA382" s="47"/>
    </row>
    <row r="383" spans="19:27" x14ac:dyDescent="0.2">
      <c r="S383" s="47"/>
      <c r="U383" s="47"/>
      <c r="AA383" s="47"/>
    </row>
    <row r="384" spans="19:27" x14ac:dyDescent="0.2">
      <c r="S384" s="47"/>
      <c r="U384" s="47"/>
      <c r="AA384" s="47"/>
    </row>
    <row r="385" spans="19:27" x14ac:dyDescent="0.2">
      <c r="S385" s="47"/>
      <c r="U385" s="47"/>
      <c r="AA385" s="47"/>
    </row>
    <row r="386" spans="19:27" x14ac:dyDescent="0.2">
      <c r="S386" s="47"/>
      <c r="U386" s="47"/>
      <c r="AA386" s="47"/>
    </row>
    <row r="387" spans="19:27" x14ac:dyDescent="0.2">
      <c r="S387" s="47"/>
      <c r="U387" s="47"/>
      <c r="AA387" s="47"/>
    </row>
    <row r="388" spans="19:27" x14ac:dyDescent="0.2">
      <c r="S388" s="47"/>
      <c r="U388" s="47"/>
      <c r="AA388" s="47"/>
    </row>
    <row r="389" spans="19:27" x14ac:dyDescent="0.2">
      <c r="S389" s="47"/>
      <c r="U389" s="47"/>
      <c r="AA389" s="47"/>
    </row>
    <row r="390" spans="19:27" x14ac:dyDescent="0.2">
      <c r="S390" s="47"/>
      <c r="U390" s="47"/>
      <c r="AA390" s="47"/>
    </row>
    <row r="391" spans="19:27" x14ac:dyDescent="0.2">
      <c r="S391" s="47"/>
      <c r="U391" s="47"/>
      <c r="AA391" s="47"/>
    </row>
    <row r="392" spans="19:27" x14ac:dyDescent="0.2">
      <c r="S392" s="47"/>
      <c r="U392" s="47"/>
      <c r="AA392" s="47"/>
    </row>
    <row r="393" spans="19:27" x14ac:dyDescent="0.2">
      <c r="S393" s="47"/>
      <c r="U393" s="47"/>
      <c r="AA393" s="47"/>
    </row>
    <row r="394" spans="19:27" x14ac:dyDescent="0.2">
      <c r="S394" s="47"/>
      <c r="U394" s="47"/>
      <c r="AA394" s="47"/>
    </row>
    <row r="395" spans="19:27" x14ac:dyDescent="0.2">
      <c r="S395" s="47"/>
      <c r="U395" s="47"/>
      <c r="AA395" s="47"/>
    </row>
    <row r="396" spans="19:27" x14ac:dyDescent="0.2">
      <c r="S396" s="47"/>
      <c r="U396" s="47"/>
      <c r="AA396" s="47"/>
    </row>
    <row r="397" spans="19:27" x14ac:dyDescent="0.2">
      <c r="S397" s="47"/>
      <c r="U397" s="47"/>
      <c r="AA397" s="47"/>
    </row>
    <row r="398" spans="19:27" x14ac:dyDescent="0.2">
      <c r="S398" s="47"/>
      <c r="U398" s="47"/>
      <c r="AA398" s="47"/>
    </row>
    <row r="399" spans="19:27" x14ac:dyDescent="0.2">
      <c r="S399" s="47"/>
      <c r="U399" s="47"/>
      <c r="AA399" s="47"/>
    </row>
    <row r="400" spans="19:27" x14ac:dyDescent="0.2">
      <c r="S400" s="47"/>
      <c r="U400" s="47"/>
      <c r="AA400" s="47"/>
    </row>
    <row r="401" spans="19:27" x14ac:dyDescent="0.2">
      <c r="S401" s="47"/>
      <c r="U401" s="47"/>
      <c r="AA401" s="47"/>
    </row>
    <row r="402" spans="19:27" x14ac:dyDescent="0.2">
      <c r="S402" s="47"/>
      <c r="U402" s="47"/>
      <c r="AA402" s="47"/>
    </row>
    <row r="403" spans="19:27" x14ac:dyDescent="0.2">
      <c r="S403" s="47"/>
      <c r="U403" s="47"/>
      <c r="AA403" s="47"/>
    </row>
    <row r="404" spans="19:27" x14ac:dyDescent="0.2">
      <c r="S404" s="47"/>
      <c r="U404" s="47"/>
      <c r="AA404" s="47"/>
    </row>
    <row r="405" spans="19:27" x14ac:dyDescent="0.2">
      <c r="S405" s="47"/>
      <c r="U405" s="47"/>
      <c r="AA405" s="47"/>
    </row>
    <row r="406" spans="19:27" x14ac:dyDescent="0.2">
      <c r="S406" s="47"/>
      <c r="U406" s="47"/>
      <c r="AA406" s="47"/>
    </row>
    <row r="407" spans="19:27" x14ac:dyDescent="0.2">
      <c r="S407" s="47"/>
      <c r="U407" s="47"/>
      <c r="AA407" s="47"/>
    </row>
    <row r="408" spans="19:27" x14ac:dyDescent="0.2">
      <c r="S408" s="47"/>
      <c r="U408" s="47"/>
      <c r="AA408" s="47"/>
    </row>
    <row r="409" spans="19:27" x14ac:dyDescent="0.2">
      <c r="S409" s="47"/>
      <c r="U409" s="47"/>
      <c r="AA409" s="47"/>
    </row>
    <row r="410" spans="19:27" x14ac:dyDescent="0.2">
      <c r="S410" s="47"/>
      <c r="U410" s="47"/>
      <c r="AA410" s="47"/>
    </row>
    <row r="411" spans="19:27" x14ac:dyDescent="0.2">
      <c r="S411" s="47"/>
      <c r="U411" s="47"/>
      <c r="AA411" s="47"/>
    </row>
    <row r="412" spans="19:27" x14ac:dyDescent="0.2">
      <c r="S412" s="47"/>
      <c r="U412" s="47"/>
      <c r="AA412" s="47"/>
    </row>
    <row r="413" spans="19:27" x14ac:dyDescent="0.2">
      <c r="S413" s="47"/>
      <c r="U413" s="47"/>
      <c r="AA413" s="47"/>
    </row>
    <row r="414" spans="19:27" x14ac:dyDescent="0.2">
      <c r="S414" s="47"/>
      <c r="U414" s="47"/>
      <c r="AA414" s="47"/>
    </row>
    <row r="415" spans="19:27" x14ac:dyDescent="0.2">
      <c r="S415" s="47"/>
      <c r="U415" s="47"/>
      <c r="AA415" s="47"/>
    </row>
    <row r="416" spans="19:27" x14ac:dyDescent="0.2">
      <c r="S416" s="47"/>
      <c r="U416" s="47"/>
      <c r="AA416" s="47"/>
    </row>
    <row r="417" spans="19:27" x14ac:dyDescent="0.2">
      <c r="S417" s="47"/>
      <c r="U417" s="47"/>
      <c r="AA417" s="47"/>
    </row>
    <row r="418" spans="19:27" x14ac:dyDescent="0.2">
      <c r="S418" s="47"/>
      <c r="U418" s="47"/>
      <c r="AA418" s="47"/>
    </row>
    <row r="419" spans="19:27" x14ac:dyDescent="0.2">
      <c r="S419" s="47"/>
      <c r="U419" s="47"/>
      <c r="AA419" s="47"/>
    </row>
    <row r="420" spans="19:27" x14ac:dyDescent="0.2">
      <c r="S420" s="47"/>
      <c r="U420" s="47"/>
      <c r="AA420" s="47"/>
    </row>
    <row r="421" spans="19:27" x14ac:dyDescent="0.2">
      <c r="S421" s="47"/>
      <c r="U421" s="47"/>
      <c r="AA421" s="47"/>
    </row>
    <row r="422" spans="19:27" x14ac:dyDescent="0.2">
      <c r="S422" s="47"/>
      <c r="U422" s="47"/>
      <c r="AA422" s="47"/>
    </row>
    <row r="423" spans="19:27" x14ac:dyDescent="0.2">
      <c r="S423" s="47"/>
      <c r="U423" s="47"/>
      <c r="AA423" s="47"/>
    </row>
    <row r="424" spans="19:27" x14ac:dyDescent="0.2">
      <c r="S424" s="47"/>
      <c r="U424" s="47"/>
      <c r="AA424" s="47"/>
    </row>
    <row r="425" spans="19:27" x14ac:dyDescent="0.2">
      <c r="S425" s="47"/>
      <c r="U425" s="47"/>
      <c r="AA425" s="47"/>
    </row>
    <row r="426" spans="19:27" x14ac:dyDescent="0.2">
      <c r="S426" s="47"/>
      <c r="U426" s="47"/>
      <c r="AA426" s="47"/>
    </row>
    <row r="427" spans="19:27" x14ac:dyDescent="0.2">
      <c r="S427" s="47"/>
      <c r="U427" s="47"/>
      <c r="AA427" s="47"/>
    </row>
    <row r="428" spans="19:27" x14ac:dyDescent="0.2">
      <c r="S428" s="47"/>
      <c r="U428" s="47"/>
      <c r="AA428" s="47"/>
    </row>
    <row r="429" spans="19:27" x14ac:dyDescent="0.2">
      <c r="S429" s="47"/>
      <c r="U429" s="47"/>
      <c r="AA429" s="47"/>
    </row>
    <row r="430" spans="19:27" x14ac:dyDescent="0.2">
      <c r="S430" s="47"/>
      <c r="U430" s="47"/>
      <c r="AA430" s="47"/>
    </row>
    <row r="431" spans="19:27" x14ac:dyDescent="0.2">
      <c r="S431" s="47"/>
      <c r="U431" s="47"/>
      <c r="AA431" s="47"/>
    </row>
    <row r="432" spans="19:27" x14ac:dyDescent="0.2">
      <c r="S432" s="47"/>
      <c r="U432" s="47"/>
      <c r="AA432" s="47"/>
    </row>
    <row r="433" spans="19:27" x14ac:dyDescent="0.2">
      <c r="S433" s="47"/>
      <c r="U433" s="47"/>
      <c r="AA433" s="47"/>
    </row>
    <row r="434" spans="19:27" x14ac:dyDescent="0.2">
      <c r="S434" s="47"/>
      <c r="U434" s="47"/>
      <c r="AA434" s="47"/>
    </row>
    <row r="435" spans="19:27" x14ac:dyDescent="0.2">
      <c r="S435" s="47"/>
      <c r="U435" s="47"/>
      <c r="AA435" s="47"/>
    </row>
    <row r="436" spans="19:27" x14ac:dyDescent="0.2">
      <c r="S436" s="47"/>
      <c r="U436" s="47"/>
      <c r="AA436" s="47"/>
    </row>
    <row r="437" spans="19:27" x14ac:dyDescent="0.2">
      <c r="S437" s="47"/>
      <c r="U437" s="47"/>
      <c r="AA437" s="47"/>
    </row>
    <row r="438" spans="19:27" x14ac:dyDescent="0.2">
      <c r="S438" s="47"/>
      <c r="U438" s="47"/>
      <c r="AA438" s="47"/>
    </row>
    <row r="439" spans="19:27" x14ac:dyDescent="0.2">
      <c r="S439" s="47"/>
      <c r="U439" s="47"/>
      <c r="AA439" s="47"/>
    </row>
    <row r="440" spans="19:27" x14ac:dyDescent="0.2">
      <c r="S440" s="47"/>
      <c r="U440" s="47"/>
      <c r="AA440" s="47"/>
    </row>
    <row r="441" spans="19:27" x14ac:dyDescent="0.2">
      <c r="S441" s="47"/>
      <c r="U441" s="47"/>
      <c r="AA441" s="47"/>
    </row>
    <row r="442" spans="19:27" x14ac:dyDescent="0.2">
      <c r="S442" s="47"/>
      <c r="U442" s="47"/>
      <c r="AA442" s="47"/>
    </row>
    <row r="443" spans="19:27" x14ac:dyDescent="0.2">
      <c r="S443" s="47"/>
      <c r="U443" s="47"/>
      <c r="AA443" s="47"/>
    </row>
    <row r="444" spans="19:27" x14ac:dyDescent="0.2">
      <c r="S444" s="47"/>
      <c r="U444" s="47"/>
      <c r="AA444" s="47"/>
    </row>
    <row r="445" spans="19:27" x14ac:dyDescent="0.2">
      <c r="S445" s="47"/>
      <c r="U445" s="47"/>
      <c r="AA445" s="47"/>
    </row>
    <row r="446" spans="19:27" x14ac:dyDescent="0.2">
      <c r="S446" s="47"/>
      <c r="U446" s="47"/>
      <c r="AA446" s="47"/>
    </row>
    <row r="447" spans="19:27" x14ac:dyDescent="0.2">
      <c r="S447" s="47"/>
      <c r="U447" s="47"/>
      <c r="AA447" s="47"/>
    </row>
    <row r="448" spans="19:27" x14ac:dyDescent="0.2">
      <c r="S448" s="47"/>
      <c r="U448" s="47"/>
      <c r="AA448" s="47"/>
    </row>
    <row r="449" spans="19:27" x14ac:dyDescent="0.2">
      <c r="S449" s="47"/>
      <c r="U449" s="47"/>
      <c r="AA449" s="47"/>
    </row>
    <row r="450" spans="19:27" x14ac:dyDescent="0.2">
      <c r="S450" s="47"/>
      <c r="U450" s="47"/>
      <c r="AA450" s="47"/>
    </row>
    <row r="451" spans="19:27" x14ac:dyDescent="0.2">
      <c r="S451" s="47"/>
      <c r="U451" s="47"/>
      <c r="AA451" s="47"/>
    </row>
    <row r="452" spans="19:27" x14ac:dyDescent="0.2">
      <c r="S452" s="47"/>
      <c r="U452" s="47"/>
      <c r="AA452" s="47"/>
    </row>
    <row r="453" spans="19:27" x14ac:dyDescent="0.2">
      <c r="S453" s="47"/>
      <c r="U453" s="47"/>
      <c r="AA453" s="47"/>
    </row>
    <row r="454" spans="19:27" x14ac:dyDescent="0.2">
      <c r="S454" s="47"/>
      <c r="U454" s="47"/>
      <c r="AA454" s="47"/>
    </row>
    <row r="455" spans="19:27" x14ac:dyDescent="0.2">
      <c r="S455" s="47"/>
      <c r="U455" s="47"/>
      <c r="AA455" s="47"/>
    </row>
    <row r="456" spans="19:27" x14ac:dyDescent="0.2">
      <c r="S456" s="47"/>
      <c r="U456" s="47"/>
      <c r="AA456" s="47"/>
    </row>
    <row r="457" spans="19:27" x14ac:dyDescent="0.2">
      <c r="S457" s="47"/>
      <c r="U457" s="47"/>
      <c r="AA457" s="47"/>
    </row>
    <row r="458" spans="19:27" x14ac:dyDescent="0.2">
      <c r="S458" s="47"/>
      <c r="U458" s="47"/>
      <c r="AA458" s="47"/>
    </row>
    <row r="459" spans="19:27" x14ac:dyDescent="0.2">
      <c r="S459" s="47"/>
      <c r="U459" s="47"/>
      <c r="AA459" s="47"/>
    </row>
    <row r="460" spans="19:27" x14ac:dyDescent="0.2">
      <c r="S460" s="47"/>
      <c r="U460" s="47"/>
      <c r="AA460" s="47"/>
    </row>
    <row r="461" spans="19:27" x14ac:dyDescent="0.2">
      <c r="S461" s="47"/>
      <c r="U461" s="47"/>
      <c r="AA461" s="47"/>
    </row>
    <row r="462" spans="19:27" x14ac:dyDescent="0.2">
      <c r="S462" s="47"/>
      <c r="U462" s="47"/>
      <c r="AA462" s="47"/>
    </row>
    <row r="463" spans="19:27" x14ac:dyDescent="0.2">
      <c r="S463" s="47"/>
      <c r="U463" s="47"/>
      <c r="AA463" s="47"/>
    </row>
    <row r="464" spans="19:27" x14ac:dyDescent="0.2">
      <c r="S464" s="47"/>
      <c r="U464" s="47"/>
      <c r="AA464" s="47"/>
    </row>
    <row r="465" spans="19:27" x14ac:dyDescent="0.2">
      <c r="S465" s="47"/>
      <c r="U465" s="47"/>
      <c r="AA465" s="47"/>
    </row>
    <row r="466" spans="19:27" x14ac:dyDescent="0.2">
      <c r="S466" s="47"/>
      <c r="U466" s="47"/>
      <c r="AA466" s="47"/>
    </row>
    <row r="467" spans="19:27" x14ac:dyDescent="0.2">
      <c r="S467" s="47"/>
      <c r="U467" s="47"/>
      <c r="AA467" s="47"/>
    </row>
    <row r="468" spans="19:27" x14ac:dyDescent="0.2">
      <c r="S468" s="47"/>
      <c r="U468" s="47"/>
      <c r="AA468" s="47"/>
    </row>
    <row r="469" spans="19:27" x14ac:dyDescent="0.2">
      <c r="S469" s="47"/>
      <c r="U469" s="47"/>
      <c r="AA469" s="47"/>
    </row>
    <row r="470" spans="19:27" x14ac:dyDescent="0.2">
      <c r="S470" s="47"/>
      <c r="U470" s="47"/>
      <c r="AA470" s="47"/>
    </row>
    <row r="471" spans="19:27" x14ac:dyDescent="0.2">
      <c r="S471" s="47"/>
      <c r="U471" s="47"/>
      <c r="AA471" s="47"/>
    </row>
    <row r="472" spans="19:27" x14ac:dyDescent="0.2">
      <c r="S472" s="47"/>
      <c r="U472" s="47"/>
      <c r="AA472" s="47"/>
    </row>
    <row r="473" spans="19:27" x14ac:dyDescent="0.2">
      <c r="S473" s="47"/>
      <c r="U473" s="47"/>
      <c r="AA473" s="47"/>
    </row>
    <row r="474" spans="19:27" x14ac:dyDescent="0.2">
      <c r="S474" s="47"/>
      <c r="U474" s="47"/>
      <c r="AA474" s="47"/>
    </row>
    <row r="475" spans="19:27" x14ac:dyDescent="0.2">
      <c r="S475" s="47"/>
      <c r="U475" s="47"/>
      <c r="AA475" s="47"/>
    </row>
    <row r="476" spans="19:27" x14ac:dyDescent="0.2">
      <c r="S476" s="47"/>
      <c r="U476" s="47"/>
      <c r="AA476" s="47"/>
    </row>
    <row r="477" spans="19:27" x14ac:dyDescent="0.2">
      <c r="S477" s="47"/>
      <c r="U477" s="47"/>
      <c r="AA477" s="47"/>
    </row>
    <row r="478" spans="19:27" x14ac:dyDescent="0.2">
      <c r="S478" s="47"/>
      <c r="U478" s="47"/>
      <c r="AA478" s="47"/>
    </row>
    <row r="479" spans="19:27" x14ac:dyDescent="0.2">
      <c r="S479" s="47"/>
      <c r="U479" s="47"/>
      <c r="AA479" s="47"/>
    </row>
    <row r="480" spans="19:27" x14ac:dyDescent="0.2">
      <c r="S480" s="47"/>
      <c r="U480" s="47"/>
      <c r="AA480" s="47"/>
    </row>
    <row r="481" spans="19:27" x14ac:dyDescent="0.2">
      <c r="S481" s="47"/>
      <c r="U481" s="47"/>
      <c r="AA481" s="47"/>
    </row>
    <row r="482" spans="19:27" x14ac:dyDescent="0.2">
      <c r="S482" s="47"/>
      <c r="U482" s="47"/>
      <c r="AA482" s="47"/>
    </row>
    <row r="483" spans="19:27" x14ac:dyDescent="0.2">
      <c r="S483" s="47"/>
      <c r="U483" s="47"/>
      <c r="AA483" s="47"/>
    </row>
    <row r="484" spans="19:27" x14ac:dyDescent="0.2">
      <c r="S484" s="47"/>
      <c r="U484" s="47"/>
      <c r="AA484" s="47"/>
    </row>
    <row r="485" spans="19:27" x14ac:dyDescent="0.2">
      <c r="S485" s="47"/>
      <c r="U485" s="47"/>
      <c r="AA485" s="47"/>
    </row>
    <row r="486" spans="19:27" x14ac:dyDescent="0.2">
      <c r="S486" s="47"/>
      <c r="U486" s="47"/>
      <c r="AA486" s="47"/>
    </row>
    <row r="487" spans="19:27" x14ac:dyDescent="0.2">
      <c r="S487" s="47"/>
      <c r="U487" s="47"/>
      <c r="AA487" s="47"/>
    </row>
    <row r="488" spans="19:27" x14ac:dyDescent="0.2">
      <c r="S488" s="47"/>
      <c r="U488" s="47"/>
      <c r="AA488" s="47"/>
    </row>
    <row r="489" spans="19:27" x14ac:dyDescent="0.2">
      <c r="S489" s="47"/>
      <c r="U489" s="47"/>
      <c r="AA489" s="47"/>
    </row>
    <row r="490" spans="19:27" x14ac:dyDescent="0.2">
      <c r="S490" s="47"/>
      <c r="U490" s="47"/>
      <c r="AA490" s="47"/>
    </row>
    <row r="491" spans="19:27" x14ac:dyDescent="0.2">
      <c r="S491" s="47"/>
      <c r="U491" s="47"/>
      <c r="AA491" s="47"/>
    </row>
    <row r="492" spans="19:27" x14ac:dyDescent="0.2">
      <c r="S492" s="47"/>
      <c r="U492" s="47"/>
      <c r="AA492" s="47"/>
    </row>
    <row r="493" spans="19:27" x14ac:dyDescent="0.2">
      <c r="S493" s="47"/>
      <c r="U493" s="47"/>
      <c r="AA493" s="47"/>
    </row>
    <row r="494" spans="19:27" x14ac:dyDescent="0.2">
      <c r="S494" s="47"/>
      <c r="U494" s="47"/>
      <c r="AA494" s="47"/>
    </row>
    <row r="495" spans="19:27" x14ac:dyDescent="0.2">
      <c r="S495" s="47"/>
      <c r="U495" s="47"/>
      <c r="AA495" s="47"/>
    </row>
    <row r="496" spans="19:27" x14ac:dyDescent="0.2">
      <c r="S496" s="47"/>
      <c r="U496" s="47"/>
      <c r="AA496" s="47"/>
    </row>
    <row r="497" spans="19:27" x14ac:dyDescent="0.2">
      <c r="S497" s="47"/>
      <c r="U497" s="47"/>
      <c r="AA497" s="47"/>
    </row>
    <row r="498" spans="19:27" x14ac:dyDescent="0.2">
      <c r="S498" s="47"/>
      <c r="U498" s="47"/>
      <c r="AA498" s="47"/>
    </row>
    <row r="499" spans="19:27" x14ac:dyDescent="0.2">
      <c r="S499" s="47"/>
      <c r="U499" s="47"/>
      <c r="AA499" s="47"/>
    </row>
    <row r="500" spans="19:27" x14ac:dyDescent="0.2">
      <c r="S500" s="47"/>
      <c r="U500" s="47"/>
      <c r="AA500" s="47"/>
    </row>
    <row r="501" spans="19:27" x14ac:dyDescent="0.2">
      <c r="S501" s="47"/>
      <c r="U501" s="47"/>
      <c r="AA501" s="47"/>
    </row>
    <row r="502" spans="19:27" x14ac:dyDescent="0.2">
      <c r="S502" s="47"/>
      <c r="U502" s="47"/>
      <c r="AA502" s="47"/>
    </row>
    <row r="503" spans="19:27" x14ac:dyDescent="0.2">
      <c r="S503" s="47"/>
      <c r="U503" s="47"/>
      <c r="AA503" s="47"/>
    </row>
    <row r="504" spans="19:27" x14ac:dyDescent="0.2">
      <c r="S504" s="47"/>
      <c r="U504" s="47"/>
      <c r="AA504" s="47"/>
    </row>
    <row r="505" spans="19:27" x14ac:dyDescent="0.2">
      <c r="S505" s="47"/>
      <c r="U505" s="47"/>
      <c r="AA505" s="47"/>
    </row>
    <row r="506" spans="19:27" x14ac:dyDescent="0.2">
      <c r="S506" s="47"/>
      <c r="U506" s="47"/>
      <c r="AA506" s="47"/>
    </row>
    <row r="507" spans="19:27" x14ac:dyDescent="0.2">
      <c r="S507" s="47"/>
      <c r="U507" s="47"/>
      <c r="AA507" s="47"/>
    </row>
    <row r="508" spans="19:27" x14ac:dyDescent="0.2">
      <c r="S508" s="47"/>
      <c r="U508" s="47"/>
      <c r="AA508" s="47"/>
    </row>
    <row r="509" spans="19:27" x14ac:dyDescent="0.2">
      <c r="S509" s="47"/>
      <c r="U509" s="47"/>
      <c r="AA509" s="47"/>
    </row>
    <row r="510" spans="19:27" x14ac:dyDescent="0.2">
      <c r="S510" s="47"/>
      <c r="U510" s="47"/>
      <c r="AA510" s="47"/>
    </row>
    <row r="511" spans="19:27" x14ac:dyDescent="0.2">
      <c r="S511" s="47"/>
      <c r="U511" s="47"/>
      <c r="AA511" s="47"/>
    </row>
    <row r="512" spans="19:27" x14ac:dyDescent="0.2">
      <c r="S512" s="47"/>
      <c r="U512" s="47"/>
      <c r="AA512" s="47"/>
    </row>
    <row r="513" spans="19:27" x14ac:dyDescent="0.2">
      <c r="S513" s="47"/>
      <c r="U513" s="47"/>
      <c r="AA513" s="47"/>
    </row>
    <row r="514" spans="19:27" x14ac:dyDescent="0.2">
      <c r="S514" s="47"/>
      <c r="U514" s="47"/>
      <c r="AA514" s="47"/>
    </row>
    <row r="515" spans="19:27" x14ac:dyDescent="0.2">
      <c r="S515" s="47"/>
      <c r="U515" s="47"/>
      <c r="AA515" s="47"/>
    </row>
    <row r="516" spans="19:27" x14ac:dyDescent="0.2">
      <c r="S516" s="47"/>
      <c r="U516" s="47"/>
      <c r="AA516" s="47"/>
    </row>
    <row r="517" spans="19:27" x14ac:dyDescent="0.2">
      <c r="S517" s="47"/>
      <c r="U517" s="47"/>
      <c r="AA517" s="47"/>
    </row>
    <row r="518" spans="19:27" x14ac:dyDescent="0.2">
      <c r="S518" s="47"/>
      <c r="U518" s="47"/>
      <c r="AA518" s="47"/>
    </row>
    <row r="519" spans="19:27" x14ac:dyDescent="0.2">
      <c r="S519" s="47"/>
      <c r="U519" s="47"/>
      <c r="AA519" s="47"/>
    </row>
    <row r="520" spans="19:27" x14ac:dyDescent="0.2">
      <c r="S520" s="47"/>
      <c r="U520" s="47"/>
      <c r="AA520" s="47"/>
    </row>
    <row r="521" spans="19:27" x14ac:dyDescent="0.2">
      <c r="S521" s="47"/>
      <c r="U521" s="47"/>
      <c r="AA521" s="47"/>
    </row>
    <row r="522" spans="19:27" x14ac:dyDescent="0.2">
      <c r="S522" s="47"/>
      <c r="U522" s="47"/>
      <c r="AA522" s="47"/>
    </row>
    <row r="523" spans="19:27" x14ac:dyDescent="0.2">
      <c r="S523" s="47"/>
      <c r="U523" s="47"/>
      <c r="AA523" s="47"/>
    </row>
    <row r="524" spans="19:27" x14ac:dyDescent="0.2">
      <c r="S524" s="47"/>
      <c r="U524" s="47"/>
      <c r="AA524" s="47"/>
    </row>
    <row r="525" spans="19:27" x14ac:dyDescent="0.2">
      <c r="S525" s="47"/>
      <c r="U525" s="47"/>
      <c r="AA525" s="47"/>
    </row>
    <row r="526" spans="19:27" x14ac:dyDescent="0.2">
      <c r="S526" s="47"/>
      <c r="U526" s="47"/>
      <c r="AA526" s="47"/>
    </row>
    <row r="527" spans="19:27" x14ac:dyDescent="0.2">
      <c r="S527" s="47"/>
      <c r="U527" s="47"/>
      <c r="AA527" s="47"/>
    </row>
    <row r="528" spans="19:27" x14ac:dyDescent="0.2">
      <c r="S528" s="47"/>
      <c r="U528" s="47"/>
      <c r="AA528" s="47"/>
    </row>
    <row r="529" spans="19:27" x14ac:dyDescent="0.2">
      <c r="S529" s="47"/>
      <c r="U529" s="47"/>
      <c r="AA529" s="47"/>
    </row>
    <row r="530" spans="19:27" x14ac:dyDescent="0.2">
      <c r="S530" s="47"/>
      <c r="U530" s="47"/>
      <c r="AA530" s="47"/>
    </row>
    <row r="531" spans="19:27" x14ac:dyDescent="0.2">
      <c r="S531" s="47"/>
      <c r="U531" s="47"/>
      <c r="AA531" s="47"/>
    </row>
    <row r="532" spans="19:27" x14ac:dyDescent="0.2">
      <c r="S532" s="47"/>
      <c r="U532" s="47"/>
      <c r="AA532" s="47"/>
    </row>
    <row r="533" spans="19:27" x14ac:dyDescent="0.2">
      <c r="S533" s="47"/>
      <c r="U533" s="47"/>
      <c r="AA533" s="47"/>
    </row>
    <row r="534" spans="19:27" x14ac:dyDescent="0.2">
      <c r="S534" s="47"/>
      <c r="U534" s="47"/>
      <c r="AA534" s="47"/>
    </row>
    <row r="535" spans="19:27" x14ac:dyDescent="0.2">
      <c r="S535" s="47"/>
      <c r="U535" s="47"/>
      <c r="AA535" s="47"/>
    </row>
    <row r="536" spans="19:27" x14ac:dyDescent="0.2">
      <c r="S536" s="47"/>
      <c r="U536" s="47"/>
      <c r="AA536" s="47"/>
    </row>
    <row r="537" spans="19:27" x14ac:dyDescent="0.2">
      <c r="S537" s="47"/>
      <c r="U537" s="47"/>
      <c r="AA537" s="47"/>
    </row>
    <row r="538" spans="19:27" x14ac:dyDescent="0.2">
      <c r="S538" s="47"/>
      <c r="U538" s="47"/>
      <c r="AA538" s="47"/>
    </row>
    <row r="539" spans="19:27" x14ac:dyDescent="0.2">
      <c r="S539" s="47"/>
      <c r="U539" s="47"/>
      <c r="AA539" s="47"/>
    </row>
    <row r="540" spans="19:27" x14ac:dyDescent="0.2">
      <c r="S540" s="47"/>
      <c r="U540" s="47"/>
      <c r="AA540" s="47"/>
    </row>
    <row r="541" spans="19:27" x14ac:dyDescent="0.2">
      <c r="S541" s="47"/>
      <c r="U541" s="47"/>
      <c r="AA541" s="47"/>
    </row>
    <row r="542" spans="19:27" x14ac:dyDescent="0.2">
      <c r="S542" s="47"/>
      <c r="U542" s="47"/>
      <c r="AA542" s="47"/>
    </row>
    <row r="543" spans="19:27" x14ac:dyDescent="0.2">
      <c r="S543" s="47"/>
      <c r="U543" s="47"/>
      <c r="AA543" s="47"/>
    </row>
    <row r="544" spans="19:27" x14ac:dyDescent="0.2">
      <c r="S544" s="47"/>
      <c r="U544" s="47"/>
      <c r="AA544" s="47"/>
    </row>
    <row r="545" spans="19:27" x14ac:dyDescent="0.2">
      <c r="S545" s="47"/>
      <c r="U545" s="47"/>
      <c r="AA545" s="47"/>
    </row>
    <row r="546" spans="19:27" x14ac:dyDescent="0.2">
      <c r="S546" s="47"/>
      <c r="U546" s="47"/>
      <c r="AA546" s="47"/>
    </row>
    <row r="547" spans="19:27" x14ac:dyDescent="0.2">
      <c r="S547" s="47"/>
      <c r="U547" s="47"/>
      <c r="AA547" s="47"/>
    </row>
    <row r="548" spans="19:27" x14ac:dyDescent="0.2">
      <c r="S548" s="47"/>
      <c r="U548" s="47"/>
      <c r="AA548" s="47"/>
    </row>
    <row r="549" spans="19:27" x14ac:dyDescent="0.2">
      <c r="S549" s="47"/>
      <c r="U549" s="47"/>
      <c r="AA549" s="47"/>
    </row>
    <row r="550" spans="19:27" x14ac:dyDescent="0.2">
      <c r="S550" s="47"/>
      <c r="U550" s="47"/>
      <c r="AA550" s="47"/>
    </row>
    <row r="551" spans="19:27" x14ac:dyDescent="0.2">
      <c r="S551" s="47"/>
      <c r="U551" s="47"/>
      <c r="AA551" s="47"/>
    </row>
    <row r="552" spans="19:27" x14ac:dyDescent="0.2">
      <c r="S552" s="47"/>
      <c r="U552" s="47"/>
      <c r="AA552" s="47"/>
    </row>
    <row r="553" spans="19:27" x14ac:dyDescent="0.2">
      <c r="S553" s="47"/>
      <c r="U553" s="47"/>
      <c r="AA553" s="47"/>
    </row>
    <row r="554" spans="19:27" x14ac:dyDescent="0.2">
      <c r="S554" s="47"/>
      <c r="U554" s="47"/>
      <c r="AA554" s="47"/>
    </row>
    <row r="555" spans="19:27" x14ac:dyDescent="0.2">
      <c r="S555" s="47"/>
      <c r="U555" s="47"/>
      <c r="AA555" s="47"/>
    </row>
    <row r="556" spans="19:27" x14ac:dyDescent="0.2">
      <c r="S556" s="47"/>
      <c r="U556" s="47"/>
      <c r="AA556" s="47"/>
    </row>
    <row r="557" spans="19:27" x14ac:dyDescent="0.2">
      <c r="S557" s="47"/>
      <c r="U557" s="47"/>
      <c r="AA557" s="47"/>
    </row>
    <row r="558" spans="19:27" x14ac:dyDescent="0.2">
      <c r="S558" s="47"/>
      <c r="U558" s="47"/>
      <c r="AA558" s="47"/>
    </row>
    <row r="559" spans="19:27" x14ac:dyDescent="0.2">
      <c r="S559" s="47"/>
      <c r="U559" s="47"/>
      <c r="AA559" s="47"/>
    </row>
    <row r="560" spans="19:27" x14ac:dyDescent="0.2">
      <c r="S560" s="47"/>
      <c r="U560" s="47"/>
      <c r="AA560" s="47"/>
    </row>
    <row r="561" spans="19:27" x14ac:dyDescent="0.2">
      <c r="S561" s="47"/>
      <c r="U561" s="47"/>
      <c r="AA561" s="47"/>
    </row>
    <row r="562" spans="19:27" x14ac:dyDescent="0.2">
      <c r="S562" s="47"/>
      <c r="U562" s="47"/>
      <c r="AA562" s="47"/>
    </row>
    <row r="563" spans="19:27" x14ac:dyDescent="0.2">
      <c r="S563" s="47"/>
      <c r="U563" s="47"/>
      <c r="AA563" s="47"/>
    </row>
    <row r="564" spans="19:27" x14ac:dyDescent="0.2">
      <c r="S564" s="47"/>
      <c r="U564" s="47"/>
      <c r="AA564" s="47"/>
    </row>
    <row r="565" spans="19:27" x14ac:dyDescent="0.2">
      <c r="S565" s="47"/>
      <c r="U565" s="47"/>
      <c r="AA565" s="47"/>
    </row>
    <row r="566" spans="19:27" x14ac:dyDescent="0.2">
      <c r="S566" s="47"/>
      <c r="U566" s="47"/>
      <c r="AA566" s="47"/>
    </row>
    <row r="567" spans="19:27" x14ac:dyDescent="0.2">
      <c r="S567" s="47"/>
      <c r="U567" s="47"/>
      <c r="AA567" s="47"/>
    </row>
    <row r="568" spans="19:27" x14ac:dyDescent="0.2">
      <c r="S568" s="47"/>
      <c r="U568" s="47"/>
      <c r="AA568" s="47"/>
    </row>
    <row r="569" spans="19:27" x14ac:dyDescent="0.2">
      <c r="S569" s="47"/>
      <c r="U569" s="47"/>
      <c r="AA569" s="47"/>
    </row>
    <row r="570" spans="19:27" x14ac:dyDescent="0.2">
      <c r="S570" s="47"/>
      <c r="U570" s="47"/>
      <c r="AA570" s="47"/>
    </row>
    <row r="571" spans="19:27" x14ac:dyDescent="0.2">
      <c r="S571" s="47"/>
      <c r="U571" s="47"/>
      <c r="AA571" s="47"/>
    </row>
    <row r="572" spans="19:27" x14ac:dyDescent="0.2">
      <c r="S572" s="47"/>
      <c r="U572" s="47"/>
      <c r="AA572" s="47"/>
    </row>
    <row r="573" spans="19:27" x14ac:dyDescent="0.2">
      <c r="S573" s="47"/>
      <c r="U573" s="47"/>
      <c r="AA573" s="47"/>
    </row>
    <row r="574" spans="19:27" x14ac:dyDescent="0.2">
      <c r="S574" s="47"/>
      <c r="U574" s="47"/>
      <c r="AA574" s="47"/>
    </row>
    <row r="575" spans="19:27" x14ac:dyDescent="0.2">
      <c r="S575" s="47"/>
      <c r="U575" s="47"/>
      <c r="AA575" s="47"/>
    </row>
    <row r="576" spans="19:27" x14ac:dyDescent="0.2">
      <c r="S576" s="47"/>
      <c r="U576" s="47"/>
      <c r="AA576" s="47"/>
    </row>
    <row r="577" spans="19:27" x14ac:dyDescent="0.2">
      <c r="S577" s="47"/>
      <c r="U577" s="47"/>
      <c r="AA577" s="47"/>
    </row>
    <row r="578" spans="19:27" x14ac:dyDescent="0.2">
      <c r="S578" s="47"/>
      <c r="U578" s="47"/>
      <c r="AA578" s="47"/>
    </row>
    <row r="579" spans="19:27" x14ac:dyDescent="0.2">
      <c r="S579" s="47"/>
      <c r="U579" s="47"/>
      <c r="AA579" s="47"/>
    </row>
    <row r="580" spans="19:27" x14ac:dyDescent="0.2">
      <c r="S580" s="47"/>
      <c r="U580" s="47"/>
      <c r="AA580" s="47"/>
    </row>
    <row r="581" spans="19:27" x14ac:dyDescent="0.2">
      <c r="S581" s="47"/>
      <c r="U581" s="47"/>
      <c r="AA581" s="47"/>
    </row>
    <row r="582" spans="19:27" x14ac:dyDescent="0.2">
      <c r="S582" s="47"/>
      <c r="U582" s="47"/>
      <c r="AA582" s="47"/>
    </row>
    <row r="583" spans="19:27" x14ac:dyDescent="0.2">
      <c r="S583" s="47"/>
      <c r="U583" s="47"/>
      <c r="AA583" s="47"/>
    </row>
    <row r="584" spans="19:27" x14ac:dyDescent="0.2">
      <c r="S584" s="47"/>
      <c r="U584" s="47"/>
      <c r="AA584" s="47"/>
    </row>
    <row r="585" spans="19:27" x14ac:dyDescent="0.2">
      <c r="S585" s="47"/>
      <c r="U585" s="47"/>
      <c r="AA585" s="47"/>
    </row>
    <row r="586" spans="19:27" x14ac:dyDescent="0.2">
      <c r="S586" s="47"/>
      <c r="U586" s="47"/>
      <c r="AA586" s="47"/>
    </row>
    <row r="587" spans="19:27" x14ac:dyDescent="0.2">
      <c r="S587" s="47"/>
      <c r="U587" s="47"/>
      <c r="AA587" s="47"/>
    </row>
    <row r="588" spans="19:27" x14ac:dyDescent="0.2">
      <c r="S588" s="47"/>
      <c r="U588" s="47"/>
      <c r="AA588" s="47"/>
    </row>
    <row r="589" spans="19:27" x14ac:dyDescent="0.2">
      <c r="S589" s="47"/>
      <c r="U589" s="47"/>
      <c r="AA589" s="47"/>
    </row>
    <row r="590" spans="19:27" x14ac:dyDescent="0.2">
      <c r="S590" s="47"/>
      <c r="U590" s="47"/>
      <c r="AA590" s="47"/>
    </row>
    <row r="591" spans="19:27" x14ac:dyDescent="0.2">
      <c r="S591" s="47"/>
      <c r="U591" s="47"/>
      <c r="AA591" s="47"/>
    </row>
    <row r="592" spans="19:27" x14ac:dyDescent="0.2">
      <c r="S592" s="47"/>
      <c r="U592" s="47"/>
      <c r="AA592" s="47"/>
    </row>
    <row r="593" spans="19:27" x14ac:dyDescent="0.2">
      <c r="S593" s="47"/>
      <c r="U593" s="47"/>
      <c r="AA593" s="47"/>
    </row>
    <row r="594" spans="19:27" x14ac:dyDescent="0.2">
      <c r="S594" s="47"/>
      <c r="U594" s="47"/>
      <c r="AA594" s="47"/>
    </row>
    <row r="595" spans="19:27" x14ac:dyDescent="0.2">
      <c r="S595" s="47"/>
      <c r="U595" s="47"/>
      <c r="AA595" s="47"/>
    </row>
    <row r="596" spans="19:27" x14ac:dyDescent="0.2">
      <c r="S596" s="47"/>
      <c r="U596" s="47"/>
      <c r="AA596" s="47"/>
    </row>
    <row r="597" spans="19:27" x14ac:dyDescent="0.2">
      <c r="S597" s="47"/>
      <c r="U597" s="47"/>
      <c r="AA597" s="47"/>
    </row>
    <row r="598" spans="19:27" x14ac:dyDescent="0.2">
      <c r="S598" s="47"/>
      <c r="U598" s="47"/>
      <c r="AA598" s="47"/>
    </row>
    <row r="599" spans="19:27" x14ac:dyDescent="0.2">
      <c r="S599" s="47"/>
      <c r="U599" s="47"/>
      <c r="AA599" s="47"/>
    </row>
    <row r="600" spans="19:27" x14ac:dyDescent="0.2">
      <c r="S600" s="47"/>
      <c r="U600" s="47"/>
      <c r="AA600" s="47"/>
    </row>
    <row r="601" spans="19:27" x14ac:dyDescent="0.2">
      <c r="S601" s="47"/>
      <c r="U601" s="47"/>
      <c r="AA601" s="47"/>
    </row>
    <row r="602" spans="19:27" x14ac:dyDescent="0.2">
      <c r="S602" s="47"/>
      <c r="U602" s="47"/>
      <c r="AA602" s="47"/>
    </row>
    <row r="603" spans="19:27" x14ac:dyDescent="0.2">
      <c r="S603" s="47"/>
      <c r="U603" s="47"/>
      <c r="AA603" s="47"/>
    </row>
    <row r="604" spans="19:27" x14ac:dyDescent="0.2">
      <c r="S604" s="47"/>
      <c r="U604" s="47"/>
      <c r="AA604" s="47"/>
    </row>
    <row r="605" spans="19:27" x14ac:dyDescent="0.2">
      <c r="S605" s="47"/>
      <c r="U605" s="47"/>
      <c r="AA605" s="47"/>
    </row>
    <row r="606" spans="19:27" x14ac:dyDescent="0.2">
      <c r="S606" s="47"/>
      <c r="U606" s="47"/>
      <c r="AA606" s="47"/>
    </row>
    <row r="607" spans="19:27" x14ac:dyDescent="0.2">
      <c r="S607" s="47"/>
      <c r="U607" s="47"/>
      <c r="AA607" s="47"/>
    </row>
    <row r="608" spans="19:27" x14ac:dyDescent="0.2">
      <c r="S608" s="47"/>
      <c r="U608" s="47"/>
      <c r="AA608" s="47"/>
    </row>
    <row r="609" spans="19:27" x14ac:dyDescent="0.2">
      <c r="S609" s="47"/>
      <c r="U609" s="47"/>
      <c r="AA609" s="47"/>
    </row>
    <row r="610" spans="19:27" x14ac:dyDescent="0.2">
      <c r="S610" s="47"/>
      <c r="U610" s="47"/>
      <c r="AA610" s="47"/>
    </row>
    <row r="611" spans="19:27" x14ac:dyDescent="0.2">
      <c r="S611" s="47"/>
      <c r="U611" s="47"/>
      <c r="AA611" s="47"/>
    </row>
    <row r="612" spans="19:27" x14ac:dyDescent="0.2">
      <c r="S612" s="47"/>
      <c r="U612" s="47"/>
      <c r="AA612" s="47"/>
    </row>
    <row r="613" spans="19:27" x14ac:dyDescent="0.2">
      <c r="S613" s="47"/>
      <c r="U613" s="47"/>
      <c r="AA613" s="47"/>
    </row>
    <row r="614" spans="19:27" x14ac:dyDescent="0.2">
      <c r="S614" s="47"/>
      <c r="U614" s="47"/>
      <c r="AA614" s="47"/>
    </row>
    <row r="615" spans="19:27" x14ac:dyDescent="0.2">
      <c r="S615" s="47"/>
      <c r="U615" s="47"/>
      <c r="AA615" s="47"/>
    </row>
    <row r="616" spans="19:27" x14ac:dyDescent="0.2">
      <c r="S616" s="47"/>
      <c r="U616" s="47"/>
      <c r="AA616" s="47"/>
    </row>
    <row r="617" spans="19:27" x14ac:dyDescent="0.2">
      <c r="S617" s="47"/>
      <c r="U617" s="47"/>
      <c r="AA617" s="47"/>
    </row>
    <row r="618" spans="19:27" x14ac:dyDescent="0.2">
      <c r="S618" s="47"/>
      <c r="U618" s="47"/>
      <c r="AA618" s="47"/>
    </row>
    <row r="619" spans="19:27" x14ac:dyDescent="0.2">
      <c r="S619" s="47"/>
      <c r="U619" s="47"/>
      <c r="AA619" s="47"/>
    </row>
    <row r="620" spans="19:27" x14ac:dyDescent="0.2">
      <c r="S620" s="47"/>
      <c r="U620" s="47"/>
      <c r="AA620" s="47"/>
    </row>
    <row r="621" spans="19:27" x14ac:dyDescent="0.2">
      <c r="S621" s="47"/>
      <c r="U621" s="47"/>
      <c r="AA621" s="47"/>
    </row>
    <row r="622" spans="19:27" x14ac:dyDescent="0.2">
      <c r="S622" s="47"/>
      <c r="U622" s="47"/>
      <c r="AA622" s="47"/>
    </row>
    <row r="623" spans="19:27" x14ac:dyDescent="0.2">
      <c r="S623" s="47"/>
      <c r="U623" s="47"/>
      <c r="AA623" s="47"/>
    </row>
    <row r="624" spans="19:27" x14ac:dyDescent="0.2">
      <c r="S624" s="47"/>
      <c r="U624" s="47"/>
      <c r="AA624" s="47"/>
    </row>
    <row r="625" spans="19:27" x14ac:dyDescent="0.2">
      <c r="S625" s="47"/>
      <c r="U625" s="47"/>
      <c r="AA625" s="47"/>
    </row>
    <row r="626" spans="19:27" x14ac:dyDescent="0.2">
      <c r="S626" s="47"/>
      <c r="U626" s="47"/>
      <c r="AA626" s="47"/>
    </row>
    <row r="627" spans="19:27" x14ac:dyDescent="0.2">
      <c r="S627" s="47"/>
      <c r="U627" s="47"/>
      <c r="AA627" s="47"/>
    </row>
    <row r="628" spans="19:27" x14ac:dyDescent="0.2">
      <c r="S628" s="47"/>
      <c r="U628" s="47"/>
      <c r="AA628" s="47"/>
    </row>
    <row r="629" spans="19:27" x14ac:dyDescent="0.2">
      <c r="S629" s="47"/>
      <c r="U629" s="47"/>
      <c r="AA629" s="47"/>
    </row>
    <row r="630" spans="19:27" x14ac:dyDescent="0.2">
      <c r="S630" s="47"/>
      <c r="U630" s="47"/>
      <c r="AA630" s="47"/>
    </row>
    <row r="631" spans="19:27" x14ac:dyDescent="0.2">
      <c r="S631" s="47"/>
      <c r="U631" s="47"/>
      <c r="AA631" s="47"/>
    </row>
    <row r="632" spans="19:27" x14ac:dyDescent="0.2">
      <c r="S632" s="47"/>
      <c r="U632" s="47"/>
      <c r="AA632" s="47"/>
    </row>
    <row r="633" spans="19:27" x14ac:dyDescent="0.2">
      <c r="S633" s="47"/>
      <c r="U633" s="47"/>
      <c r="AA633" s="47"/>
    </row>
    <row r="634" spans="19:27" x14ac:dyDescent="0.2">
      <c r="S634" s="47"/>
      <c r="U634" s="47"/>
      <c r="AA634" s="47"/>
    </row>
    <row r="635" spans="19:27" x14ac:dyDescent="0.2">
      <c r="S635" s="47"/>
      <c r="U635" s="47"/>
      <c r="AA635" s="47"/>
    </row>
    <row r="636" spans="19:27" x14ac:dyDescent="0.2">
      <c r="S636" s="47"/>
      <c r="U636" s="47"/>
      <c r="AA636" s="47"/>
    </row>
    <row r="637" spans="19:27" x14ac:dyDescent="0.2">
      <c r="S637" s="47"/>
      <c r="U637" s="47"/>
      <c r="AA637" s="47"/>
    </row>
    <row r="638" spans="19:27" x14ac:dyDescent="0.2">
      <c r="S638" s="47"/>
      <c r="U638" s="47"/>
      <c r="AA638" s="47"/>
    </row>
    <row r="639" spans="19:27" x14ac:dyDescent="0.2">
      <c r="S639" s="47"/>
      <c r="U639" s="47"/>
      <c r="AA639" s="47"/>
    </row>
    <row r="640" spans="19:27" x14ac:dyDescent="0.2">
      <c r="S640" s="47"/>
      <c r="U640" s="47"/>
      <c r="AA640" s="47"/>
    </row>
    <row r="641" spans="19:27" x14ac:dyDescent="0.2">
      <c r="S641" s="47"/>
      <c r="U641" s="47"/>
      <c r="AA641" s="47"/>
    </row>
    <row r="642" spans="19:27" x14ac:dyDescent="0.2">
      <c r="S642" s="47"/>
      <c r="U642" s="47"/>
      <c r="AA642" s="47"/>
    </row>
    <row r="643" spans="19:27" x14ac:dyDescent="0.2">
      <c r="S643" s="47"/>
      <c r="U643" s="47"/>
      <c r="AA643" s="47"/>
    </row>
    <row r="644" spans="19:27" x14ac:dyDescent="0.2">
      <c r="S644" s="47"/>
      <c r="U644" s="47"/>
      <c r="AA644" s="47"/>
    </row>
    <row r="645" spans="19:27" x14ac:dyDescent="0.2">
      <c r="S645" s="47"/>
      <c r="U645" s="47"/>
      <c r="AA645" s="47"/>
    </row>
    <row r="646" spans="19:27" x14ac:dyDescent="0.2">
      <c r="S646" s="47"/>
      <c r="U646" s="47"/>
      <c r="AA646" s="47"/>
    </row>
    <row r="647" spans="19:27" x14ac:dyDescent="0.2">
      <c r="S647" s="47"/>
      <c r="U647" s="47"/>
      <c r="AA647" s="47"/>
    </row>
    <row r="648" spans="19:27" x14ac:dyDescent="0.2">
      <c r="S648" s="47"/>
      <c r="U648" s="47"/>
      <c r="AA648" s="47"/>
    </row>
    <row r="649" spans="19:27" x14ac:dyDescent="0.2">
      <c r="S649" s="47"/>
      <c r="U649" s="47"/>
      <c r="AA649" s="47"/>
    </row>
    <row r="650" spans="19:27" x14ac:dyDescent="0.2">
      <c r="S650" s="47"/>
      <c r="U650" s="47"/>
      <c r="AA650" s="47"/>
    </row>
    <row r="651" spans="19:27" x14ac:dyDescent="0.2">
      <c r="S651" s="47"/>
      <c r="U651" s="47"/>
      <c r="AA651" s="47"/>
    </row>
    <row r="652" spans="19:27" x14ac:dyDescent="0.2">
      <c r="S652" s="47"/>
      <c r="U652" s="47"/>
      <c r="AA652" s="47"/>
    </row>
    <row r="653" spans="19:27" x14ac:dyDescent="0.2">
      <c r="S653" s="47"/>
      <c r="U653" s="47"/>
      <c r="AA653" s="47"/>
    </row>
    <row r="654" spans="19:27" x14ac:dyDescent="0.2">
      <c r="S654" s="47"/>
      <c r="U654" s="47"/>
      <c r="AA654" s="47"/>
    </row>
    <row r="655" spans="19:27" x14ac:dyDescent="0.2">
      <c r="S655" s="47"/>
      <c r="U655" s="47"/>
      <c r="AA655" s="47"/>
    </row>
    <row r="656" spans="19:27" x14ac:dyDescent="0.2">
      <c r="S656" s="47"/>
      <c r="U656" s="47"/>
      <c r="AA656" s="47"/>
    </row>
    <row r="657" spans="19:27" x14ac:dyDescent="0.2">
      <c r="S657" s="47"/>
      <c r="U657" s="47"/>
      <c r="AA657" s="47"/>
    </row>
    <row r="658" spans="19:27" x14ac:dyDescent="0.2">
      <c r="S658" s="47"/>
      <c r="U658" s="47"/>
      <c r="AA658" s="47"/>
    </row>
    <row r="659" spans="19:27" x14ac:dyDescent="0.2">
      <c r="S659" s="47"/>
      <c r="U659" s="47"/>
      <c r="AA659" s="47"/>
    </row>
    <row r="660" spans="19:27" x14ac:dyDescent="0.2">
      <c r="S660" s="47"/>
      <c r="U660" s="47"/>
      <c r="AA660" s="47"/>
    </row>
    <row r="661" spans="19:27" x14ac:dyDescent="0.2">
      <c r="S661" s="47"/>
      <c r="U661" s="47"/>
      <c r="AA661" s="47"/>
    </row>
    <row r="662" spans="19:27" x14ac:dyDescent="0.2">
      <c r="S662" s="47"/>
      <c r="U662" s="47"/>
      <c r="AA662" s="47"/>
    </row>
    <row r="663" spans="19:27" x14ac:dyDescent="0.2">
      <c r="S663" s="47"/>
      <c r="U663" s="47"/>
      <c r="AA663" s="47"/>
    </row>
    <row r="664" spans="19:27" x14ac:dyDescent="0.2">
      <c r="S664" s="47"/>
      <c r="U664" s="47"/>
      <c r="AA664" s="47"/>
    </row>
    <row r="665" spans="19:27" x14ac:dyDescent="0.2">
      <c r="S665" s="47"/>
      <c r="U665" s="47"/>
      <c r="AA665" s="47"/>
    </row>
    <row r="666" spans="19:27" x14ac:dyDescent="0.2">
      <c r="S666" s="47"/>
      <c r="U666" s="47"/>
      <c r="AA666" s="47"/>
    </row>
    <row r="667" spans="19:27" x14ac:dyDescent="0.2">
      <c r="S667" s="47"/>
      <c r="U667" s="47"/>
      <c r="AA667" s="47"/>
    </row>
    <row r="668" spans="19:27" x14ac:dyDescent="0.2">
      <c r="S668" s="47"/>
      <c r="U668" s="47"/>
      <c r="AA668" s="47"/>
    </row>
    <row r="669" spans="19:27" x14ac:dyDescent="0.2">
      <c r="S669" s="47"/>
      <c r="U669" s="47"/>
      <c r="AA669" s="47"/>
    </row>
    <row r="670" spans="19:27" x14ac:dyDescent="0.2">
      <c r="S670" s="47"/>
      <c r="U670" s="47"/>
      <c r="AA670" s="47"/>
    </row>
    <row r="671" spans="19:27" x14ac:dyDescent="0.2">
      <c r="S671" s="47"/>
      <c r="U671" s="47"/>
      <c r="AA671" s="47"/>
    </row>
    <row r="672" spans="19:27" x14ac:dyDescent="0.2">
      <c r="S672" s="47"/>
      <c r="U672" s="47"/>
      <c r="AA672" s="47"/>
    </row>
    <row r="673" spans="19:27" x14ac:dyDescent="0.2">
      <c r="S673" s="47"/>
      <c r="U673" s="47"/>
      <c r="AA673" s="47"/>
    </row>
    <row r="674" spans="19:27" x14ac:dyDescent="0.2">
      <c r="S674" s="47"/>
      <c r="U674" s="47"/>
      <c r="AA674" s="47"/>
    </row>
    <row r="675" spans="19:27" x14ac:dyDescent="0.2">
      <c r="S675" s="47"/>
      <c r="U675" s="47"/>
      <c r="AA675" s="47"/>
    </row>
    <row r="676" spans="19:27" x14ac:dyDescent="0.2">
      <c r="S676" s="47"/>
      <c r="U676" s="47"/>
      <c r="AA676" s="47"/>
    </row>
    <row r="677" spans="19:27" x14ac:dyDescent="0.2">
      <c r="S677" s="47"/>
      <c r="U677" s="47"/>
      <c r="AA677" s="47"/>
    </row>
    <row r="678" spans="19:27" x14ac:dyDescent="0.2">
      <c r="S678" s="47"/>
      <c r="U678" s="47"/>
      <c r="AA678" s="47"/>
    </row>
    <row r="679" spans="19:27" x14ac:dyDescent="0.2">
      <c r="S679" s="47"/>
      <c r="U679" s="47"/>
      <c r="AA679" s="47"/>
    </row>
    <row r="680" spans="19:27" x14ac:dyDescent="0.2">
      <c r="S680" s="47"/>
      <c r="U680" s="47"/>
      <c r="AA680" s="47"/>
    </row>
    <row r="681" spans="19:27" x14ac:dyDescent="0.2">
      <c r="S681" s="47"/>
      <c r="U681" s="47"/>
      <c r="AA681" s="47"/>
    </row>
    <row r="682" spans="19:27" x14ac:dyDescent="0.2">
      <c r="S682" s="47"/>
      <c r="U682" s="47"/>
      <c r="AA682" s="47"/>
    </row>
    <row r="683" spans="19:27" x14ac:dyDescent="0.2">
      <c r="S683" s="47"/>
      <c r="U683" s="47"/>
      <c r="AA683" s="47"/>
    </row>
    <row r="684" spans="19:27" x14ac:dyDescent="0.2">
      <c r="S684" s="47"/>
      <c r="U684" s="47"/>
      <c r="AA684" s="47"/>
    </row>
    <row r="685" spans="19:27" x14ac:dyDescent="0.2">
      <c r="S685" s="47"/>
      <c r="U685" s="47"/>
      <c r="AA685" s="47"/>
    </row>
    <row r="686" spans="19:27" x14ac:dyDescent="0.2">
      <c r="S686" s="47"/>
      <c r="U686" s="47"/>
      <c r="AA686" s="47"/>
    </row>
    <row r="687" spans="19:27" x14ac:dyDescent="0.2">
      <c r="S687" s="47"/>
      <c r="U687" s="47"/>
      <c r="AA687" s="47"/>
    </row>
    <row r="688" spans="19:27" x14ac:dyDescent="0.2">
      <c r="S688" s="47"/>
      <c r="U688" s="47"/>
      <c r="AA688" s="47"/>
    </row>
    <row r="689" spans="19:27" x14ac:dyDescent="0.2">
      <c r="S689" s="47"/>
      <c r="U689" s="47"/>
      <c r="AA689" s="47"/>
    </row>
    <row r="690" spans="19:27" x14ac:dyDescent="0.2">
      <c r="S690" s="47"/>
      <c r="U690" s="47"/>
      <c r="AA690" s="47"/>
    </row>
    <row r="691" spans="19:27" x14ac:dyDescent="0.2">
      <c r="S691" s="47"/>
      <c r="U691" s="47"/>
      <c r="AA691" s="47"/>
    </row>
    <row r="692" spans="19:27" x14ac:dyDescent="0.2">
      <c r="S692" s="47"/>
      <c r="U692" s="47"/>
      <c r="AA692" s="47"/>
    </row>
    <row r="693" spans="19:27" x14ac:dyDescent="0.2">
      <c r="S693" s="47"/>
      <c r="U693" s="47"/>
      <c r="AA693" s="47"/>
    </row>
    <row r="694" spans="19:27" x14ac:dyDescent="0.2">
      <c r="S694" s="47"/>
      <c r="U694" s="47"/>
      <c r="AA694" s="47"/>
    </row>
    <row r="695" spans="19:27" x14ac:dyDescent="0.2">
      <c r="S695" s="47"/>
      <c r="U695" s="47"/>
      <c r="AA695" s="47"/>
    </row>
    <row r="696" spans="19:27" x14ac:dyDescent="0.2">
      <c r="S696" s="47"/>
      <c r="U696" s="47"/>
      <c r="AA696" s="47"/>
    </row>
    <row r="697" spans="19:27" x14ac:dyDescent="0.2">
      <c r="S697" s="47"/>
      <c r="U697" s="47"/>
      <c r="AA697" s="47"/>
    </row>
    <row r="698" spans="19:27" x14ac:dyDescent="0.2">
      <c r="S698" s="47"/>
      <c r="U698" s="47"/>
      <c r="AA698" s="47"/>
    </row>
    <row r="699" spans="19:27" x14ac:dyDescent="0.2">
      <c r="S699" s="47"/>
      <c r="U699" s="47"/>
      <c r="AA699" s="47"/>
    </row>
    <row r="700" spans="19:27" x14ac:dyDescent="0.2">
      <c r="S700" s="47"/>
      <c r="U700" s="47"/>
      <c r="AA700" s="47"/>
    </row>
    <row r="701" spans="19:27" x14ac:dyDescent="0.2">
      <c r="S701" s="47"/>
      <c r="U701" s="47"/>
      <c r="AA701" s="47"/>
    </row>
    <row r="702" spans="19:27" x14ac:dyDescent="0.2">
      <c r="S702" s="47"/>
      <c r="U702" s="47"/>
      <c r="AA702" s="47"/>
    </row>
    <row r="703" spans="19:27" x14ac:dyDescent="0.2">
      <c r="S703" s="47"/>
      <c r="U703" s="47"/>
      <c r="AA703" s="47"/>
    </row>
    <row r="704" spans="19:27" x14ac:dyDescent="0.2">
      <c r="S704" s="47"/>
      <c r="U704" s="47"/>
      <c r="AA704" s="47"/>
    </row>
    <row r="705" spans="19:27" x14ac:dyDescent="0.2">
      <c r="S705" s="47"/>
      <c r="U705" s="47"/>
      <c r="AA705" s="47"/>
    </row>
    <row r="706" spans="19:27" x14ac:dyDescent="0.2">
      <c r="S706" s="47"/>
      <c r="U706" s="47"/>
      <c r="AA706" s="47"/>
    </row>
    <row r="707" spans="19:27" x14ac:dyDescent="0.2">
      <c r="S707" s="47"/>
      <c r="U707" s="47"/>
      <c r="AA707" s="47"/>
    </row>
    <row r="708" spans="19:27" x14ac:dyDescent="0.2">
      <c r="S708" s="47"/>
      <c r="U708" s="47"/>
      <c r="AA708" s="47"/>
    </row>
    <row r="709" spans="19:27" x14ac:dyDescent="0.2">
      <c r="S709" s="47"/>
      <c r="U709" s="47"/>
      <c r="AA709" s="47"/>
    </row>
    <row r="710" spans="19:27" x14ac:dyDescent="0.2">
      <c r="S710" s="47"/>
      <c r="U710" s="47"/>
      <c r="AA710" s="47"/>
    </row>
    <row r="711" spans="19:27" x14ac:dyDescent="0.2">
      <c r="S711" s="47"/>
      <c r="U711" s="47"/>
      <c r="AA711" s="47"/>
    </row>
    <row r="712" spans="19:27" x14ac:dyDescent="0.2">
      <c r="S712" s="47"/>
      <c r="U712" s="47"/>
      <c r="AA712" s="47"/>
    </row>
    <row r="713" spans="19:27" x14ac:dyDescent="0.2">
      <c r="S713" s="47"/>
      <c r="U713" s="47"/>
      <c r="AA713" s="47"/>
    </row>
    <row r="714" spans="19:27" x14ac:dyDescent="0.2">
      <c r="S714" s="47"/>
      <c r="U714" s="47"/>
      <c r="AA714" s="47"/>
    </row>
    <row r="715" spans="19:27" x14ac:dyDescent="0.2">
      <c r="S715" s="47"/>
      <c r="U715" s="47"/>
      <c r="AA715" s="47"/>
    </row>
    <row r="716" spans="19:27" x14ac:dyDescent="0.2">
      <c r="S716" s="47"/>
      <c r="U716" s="47"/>
      <c r="AA716" s="47"/>
    </row>
    <row r="717" spans="19:27" x14ac:dyDescent="0.2">
      <c r="S717" s="47"/>
      <c r="U717" s="47"/>
      <c r="AA717" s="47"/>
    </row>
    <row r="718" spans="19:27" x14ac:dyDescent="0.2">
      <c r="S718" s="47"/>
      <c r="U718" s="47"/>
      <c r="AA718" s="47"/>
    </row>
    <row r="719" spans="19:27" x14ac:dyDescent="0.2">
      <c r="S719" s="47"/>
      <c r="U719" s="47"/>
      <c r="AA719" s="47"/>
    </row>
    <row r="720" spans="19:27" x14ac:dyDescent="0.2">
      <c r="S720" s="47"/>
      <c r="U720" s="47"/>
      <c r="AA720" s="47"/>
    </row>
    <row r="721" spans="19:27" x14ac:dyDescent="0.2">
      <c r="S721" s="47"/>
      <c r="U721" s="47"/>
      <c r="AA721" s="47"/>
    </row>
    <row r="722" spans="19:27" x14ac:dyDescent="0.2">
      <c r="S722" s="47"/>
      <c r="U722" s="47"/>
      <c r="AA722" s="47"/>
    </row>
    <row r="723" spans="19:27" x14ac:dyDescent="0.2">
      <c r="S723" s="47"/>
      <c r="U723" s="47"/>
      <c r="AA723" s="47"/>
    </row>
    <row r="724" spans="19:27" x14ac:dyDescent="0.2">
      <c r="S724" s="47"/>
      <c r="U724" s="47"/>
      <c r="AA724" s="47"/>
    </row>
    <row r="725" spans="19:27" x14ac:dyDescent="0.2">
      <c r="S725" s="47"/>
      <c r="U725" s="47"/>
      <c r="AA725" s="47"/>
    </row>
    <row r="726" spans="19:27" x14ac:dyDescent="0.2">
      <c r="S726" s="47"/>
      <c r="U726" s="47"/>
      <c r="AA726" s="47"/>
    </row>
    <row r="727" spans="19:27" x14ac:dyDescent="0.2">
      <c r="S727" s="47"/>
      <c r="U727" s="47"/>
      <c r="AA727" s="47"/>
    </row>
    <row r="728" spans="19:27" x14ac:dyDescent="0.2">
      <c r="S728" s="47"/>
      <c r="U728" s="47"/>
      <c r="AA728" s="47"/>
    </row>
    <row r="729" spans="19:27" x14ac:dyDescent="0.2">
      <c r="S729" s="47"/>
      <c r="U729" s="47"/>
      <c r="AA729" s="47"/>
    </row>
    <row r="730" spans="19:27" x14ac:dyDescent="0.2">
      <c r="S730" s="47"/>
      <c r="U730" s="47"/>
      <c r="AA730" s="47"/>
    </row>
    <row r="731" spans="19:27" x14ac:dyDescent="0.2">
      <c r="S731" s="47"/>
      <c r="U731" s="47"/>
      <c r="AA731" s="47"/>
    </row>
    <row r="732" spans="19:27" x14ac:dyDescent="0.2">
      <c r="S732" s="47"/>
      <c r="U732" s="47"/>
      <c r="AA732" s="47"/>
    </row>
    <row r="733" spans="19:27" x14ac:dyDescent="0.2">
      <c r="S733" s="47"/>
      <c r="U733" s="47"/>
      <c r="AA733" s="47"/>
    </row>
    <row r="734" spans="19:27" x14ac:dyDescent="0.2">
      <c r="S734" s="47"/>
      <c r="U734" s="47"/>
      <c r="AA734" s="47"/>
    </row>
    <row r="735" spans="19:27" x14ac:dyDescent="0.2">
      <c r="S735" s="47"/>
      <c r="U735" s="47"/>
      <c r="AA735" s="47"/>
    </row>
    <row r="736" spans="19:27" x14ac:dyDescent="0.2">
      <c r="S736" s="47"/>
      <c r="U736" s="47"/>
      <c r="AA736" s="47"/>
    </row>
    <row r="737" spans="19:27" x14ac:dyDescent="0.2">
      <c r="S737" s="47"/>
      <c r="U737" s="47"/>
      <c r="AA737" s="47"/>
    </row>
    <row r="738" spans="19:27" x14ac:dyDescent="0.2">
      <c r="S738" s="47"/>
      <c r="U738" s="47"/>
      <c r="AA738" s="47"/>
    </row>
    <row r="739" spans="19:27" x14ac:dyDescent="0.2">
      <c r="S739" s="47"/>
      <c r="U739" s="47"/>
      <c r="AA739" s="47"/>
    </row>
    <row r="740" spans="19:27" x14ac:dyDescent="0.2">
      <c r="S740" s="47"/>
      <c r="U740" s="47"/>
      <c r="AA740" s="47"/>
    </row>
    <row r="741" spans="19:27" x14ac:dyDescent="0.2">
      <c r="S741" s="47"/>
      <c r="U741" s="47"/>
      <c r="AA741" s="47"/>
    </row>
    <row r="742" spans="19:27" x14ac:dyDescent="0.2">
      <c r="S742" s="47"/>
      <c r="U742" s="47"/>
      <c r="AA742" s="47"/>
    </row>
    <row r="743" spans="19:27" x14ac:dyDescent="0.2">
      <c r="S743" s="47"/>
      <c r="U743" s="47"/>
      <c r="AA743" s="47"/>
    </row>
    <row r="744" spans="19:27" x14ac:dyDescent="0.2">
      <c r="S744" s="47"/>
      <c r="U744" s="47"/>
      <c r="AA744" s="47"/>
    </row>
    <row r="745" spans="19:27" x14ac:dyDescent="0.2">
      <c r="S745" s="47"/>
      <c r="U745" s="47"/>
      <c r="AA745" s="47"/>
    </row>
    <row r="746" spans="19:27" x14ac:dyDescent="0.2">
      <c r="S746" s="47"/>
      <c r="U746" s="47"/>
      <c r="AA746" s="47"/>
    </row>
    <row r="747" spans="19:27" x14ac:dyDescent="0.2">
      <c r="S747" s="47"/>
      <c r="U747" s="47"/>
      <c r="AA747" s="47"/>
    </row>
    <row r="748" spans="19:27" x14ac:dyDescent="0.2">
      <c r="S748" s="47"/>
      <c r="U748" s="47"/>
      <c r="AA748" s="47"/>
    </row>
    <row r="749" spans="19:27" x14ac:dyDescent="0.2">
      <c r="S749" s="47"/>
      <c r="U749" s="47"/>
      <c r="AA749" s="47"/>
    </row>
    <row r="750" spans="19:27" x14ac:dyDescent="0.2">
      <c r="S750" s="47"/>
      <c r="U750" s="47"/>
      <c r="AA750" s="47"/>
    </row>
    <row r="751" spans="19:27" x14ac:dyDescent="0.2">
      <c r="S751" s="47"/>
      <c r="U751" s="47"/>
      <c r="AA751" s="47"/>
    </row>
    <row r="752" spans="19:27" x14ac:dyDescent="0.2">
      <c r="S752" s="47"/>
      <c r="U752" s="47"/>
      <c r="AA752" s="47"/>
    </row>
    <row r="753" spans="19:27" x14ac:dyDescent="0.2">
      <c r="S753" s="47"/>
      <c r="U753" s="47"/>
      <c r="AA753" s="47"/>
    </row>
    <row r="754" spans="19:27" x14ac:dyDescent="0.2">
      <c r="S754" s="47"/>
      <c r="U754" s="47"/>
      <c r="AA754" s="47"/>
    </row>
    <row r="755" spans="19:27" x14ac:dyDescent="0.2">
      <c r="S755" s="47"/>
      <c r="U755" s="47"/>
      <c r="AA755" s="47"/>
    </row>
    <row r="756" spans="19:27" x14ac:dyDescent="0.2">
      <c r="S756" s="47"/>
      <c r="U756" s="47"/>
      <c r="AA756" s="47"/>
    </row>
    <row r="757" spans="19:27" x14ac:dyDescent="0.2">
      <c r="S757" s="47"/>
      <c r="U757" s="47"/>
      <c r="AA757" s="47"/>
    </row>
    <row r="758" spans="19:27" x14ac:dyDescent="0.2">
      <c r="S758" s="47"/>
      <c r="U758" s="47"/>
      <c r="AA758" s="47"/>
    </row>
    <row r="759" spans="19:27" x14ac:dyDescent="0.2">
      <c r="S759" s="47"/>
      <c r="U759" s="47"/>
      <c r="AA759" s="47"/>
    </row>
    <row r="760" spans="19:27" x14ac:dyDescent="0.2">
      <c r="S760" s="47"/>
      <c r="U760" s="47"/>
      <c r="AA760" s="47"/>
    </row>
    <row r="761" spans="19:27" x14ac:dyDescent="0.2">
      <c r="S761" s="47"/>
      <c r="U761" s="47"/>
      <c r="AA761" s="47"/>
    </row>
    <row r="762" spans="19:27" x14ac:dyDescent="0.2">
      <c r="S762" s="47"/>
      <c r="U762" s="47"/>
      <c r="AA762" s="47"/>
    </row>
    <row r="763" spans="19:27" x14ac:dyDescent="0.2">
      <c r="S763" s="47"/>
      <c r="U763" s="47"/>
      <c r="AA763" s="47"/>
    </row>
    <row r="764" spans="19:27" x14ac:dyDescent="0.2">
      <c r="S764" s="47"/>
      <c r="U764" s="47"/>
      <c r="AA764" s="47"/>
    </row>
    <row r="765" spans="19:27" x14ac:dyDescent="0.2">
      <c r="S765" s="47"/>
      <c r="U765" s="47"/>
      <c r="AA765" s="47"/>
    </row>
    <row r="766" spans="19:27" x14ac:dyDescent="0.2">
      <c r="S766" s="47"/>
      <c r="U766" s="47"/>
      <c r="AA766" s="47"/>
    </row>
    <row r="767" spans="19:27" x14ac:dyDescent="0.2">
      <c r="S767" s="47"/>
      <c r="U767" s="47"/>
      <c r="AA767" s="47"/>
    </row>
    <row r="768" spans="19:27" x14ac:dyDescent="0.2">
      <c r="S768" s="47"/>
      <c r="U768" s="47"/>
      <c r="AA768" s="47"/>
    </row>
    <row r="769" spans="19:27" x14ac:dyDescent="0.2">
      <c r="S769" s="47"/>
      <c r="U769" s="47"/>
      <c r="AA769" s="47"/>
    </row>
    <row r="770" spans="19:27" x14ac:dyDescent="0.2">
      <c r="S770" s="47"/>
      <c r="U770" s="47"/>
      <c r="AA770" s="47"/>
    </row>
    <row r="771" spans="19:27" x14ac:dyDescent="0.2">
      <c r="S771" s="47"/>
      <c r="U771" s="47"/>
      <c r="AA771" s="47"/>
    </row>
    <row r="772" spans="19:27" x14ac:dyDescent="0.2">
      <c r="S772" s="47"/>
      <c r="U772" s="47"/>
      <c r="AA772" s="47"/>
    </row>
    <row r="773" spans="19:27" x14ac:dyDescent="0.2">
      <c r="S773" s="47"/>
      <c r="U773" s="47"/>
      <c r="AA773" s="47"/>
    </row>
    <row r="774" spans="19:27" x14ac:dyDescent="0.2">
      <c r="S774" s="47"/>
      <c r="U774" s="47"/>
      <c r="AA774" s="47"/>
    </row>
    <row r="775" spans="19:27" x14ac:dyDescent="0.2">
      <c r="S775" s="47"/>
      <c r="U775" s="47"/>
      <c r="AA775" s="47"/>
    </row>
    <row r="776" spans="19:27" x14ac:dyDescent="0.2">
      <c r="S776" s="47"/>
      <c r="U776" s="47"/>
      <c r="AA776" s="47"/>
    </row>
    <row r="777" spans="19:27" x14ac:dyDescent="0.2">
      <c r="S777" s="47"/>
      <c r="U777" s="47"/>
      <c r="AA777" s="47"/>
    </row>
    <row r="778" spans="19:27" x14ac:dyDescent="0.2">
      <c r="S778" s="47"/>
      <c r="U778" s="47"/>
      <c r="AA778" s="47"/>
    </row>
    <row r="779" spans="19:27" x14ac:dyDescent="0.2">
      <c r="S779" s="47"/>
      <c r="U779" s="47"/>
      <c r="AA779" s="47"/>
    </row>
    <row r="780" spans="19:27" x14ac:dyDescent="0.2">
      <c r="S780" s="47"/>
      <c r="U780" s="47"/>
      <c r="AA780" s="47"/>
    </row>
    <row r="781" spans="19:27" x14ac:dyDescent="0.2">
      <c r="S781" s="47"/>
      <c r="U781" s="47"/>
      <c r="AA781" s="47"/>
    </row>
    <row r="782" spans="19:27" x14ac:dyDescent="0.2">
      <c r="S782" s="47"/>
      <c r="U782" s="47"/>
      <c r="AA782" s="47"/>
    </row>
    <row r="783" spans="19:27" x14ac:dyDescent="0.2">
      <c r="S783" s="47"/>
      <c r="U783" s="47"/>
      <c r="AA783" s="47"/>
    </row>
    <row r="784" spans="19:27" x14ac:dyDescent="0.2">
      <c r="S784" s="47"/>
      <c r="U784" s="47"/>
      <c r="AA784" s="47"/>
    </row>
    <row r="785" spans="19:27" x14ac:dyDescent="0.2">
      <c r="S785" s="47"/>
      <c r="U785" s="47"/>
      <c r="AA785" s="47"/>
    </row>
    <row r="786" spans="19:27" x14ac:dyDescent="0.2">
      <c r="S786" s="47"/>
      <c r="U786" s="47"/>
      <c r="AA786" s="47"/>
    </row>
    <row r="787" spans="19:27" x14ac:dyDescent="0.2">
      <c r="S787" s="47"/>
      <c r="U787" s="47"/>
      <c r="AA787" s="47"/>
    </row>
    <row r="788" spans="19:27" x14ac:dyDescent="0.2">
      <c r="S788" s="47"/>
      <c r="U788" s="47"/>
      <c r="AA788" s="47"/>
    </row>
    <row r="789" spans="19:27" x14ac:dyDescent="0.2">
      <c r="S789" s="47"/>
      <c r="U789" s="47"/>
      <c r="AA789" s="47"/>
    </row>
    <row r="790" spans="19:27" x14ac:dyDescent="0.2">
      <c r="S790" s="47"/>
      <c r="U790" s="47"/>
      <c r="AA790" s="47"/>
    </row>
    <row r="791" spans="19:27" x14ac:dyDescent="0.2">
      <c r="S791" s="47"/>
      <c r="U791" s="47"/>
      <c r="AA791" s="47"/>
    </row>
    <row r="792" spans="19:27" x14ac:dyDescent="0.2">
      <c r="S792" s="47"/>
      <c r="U792" s="47"/>
      <c r="AA792" s="47"/>
    </row>
    <row r="793" spans="19:27" x14ac:dyDescent="0.2">
      <c r="S793" s="47"/>
      <c r="U793" s="47"/>
      <c r="AA793" s="47"/>
    </row>
    <row r="794" spans="19:27" x14ac:dyDescent="0.2">
      <c r="S794" s="47"/>
      <c r="U794" s="47"/>
      <c r="AA794" s="47"/>
    </row>
    <row r="795" spans="19:27" x14ac:dyDescent="0.2">
      <c r="S795" s="47"/>
      <c r="U795" s="47"/>
      <c r="AA795" s="47"/>
    </row>
    <row r="796" spans="19:27" x14ac:dyDescent="0.2">
      <c r="S796" s="47"/>
      <c r="U796" s="47"/>
      <c r="AA796" s="47"/>
    </row>
    <row r="797" spans="19:27" x14ac:dyDescent="0.2">
      <c r="S797" s="47"/>
      <c r="U797" s="47"/>
      <c r="AA797" s="47"/>
    </row>
    <row r="798" spans="19:27" x14ac:dyDescent="0.2">
      <c r="S798" s="47"/>
      <c r="U798" s="47"/>
      <c r="AA798" s="47"/>
    </row>
    <row r="799" spans="19:27" x14ac:dyDescent="0.2">
      <c r="S799" s="47"/>
      <c r="U799" s="47"/>
      <c r="AA799" s="47"/>
    </row>
    <row r="800" spans="19:27" x14ac:dyDescent="0.2">
      <c r="S800" s="47"/>
      <c r="U800" s="47"/>
      <c r="AA800" s="47"/>
    </row>
    <row r="801" spans="19:27" x14ac:dyDescent="0.2">
      <c r="S801" s="47"/>
      <c r="U801" s="47"/>
      <c r="AA801" s="47"/>
    </row>
    <row r="802" spans="19:27" x14ac:dyDescent="0.2">
      <c r="S802" s="47"/>
      <c r="U802" s="47"/>
      <c r="AA802" s="47"/>
    </row>
    <row r="803" spans="19:27" x14ac:dyDescent="0.2">
      <c r="S803" s="47"/>
      <c r="U803" s="47"/>
      <c r="AA803" s="47"/>
    </row>
    <row r="804" spans="19:27" x14ac:dyDescent="0.2">
      <c r="S804" s="47"/>
      <c r="U804" s="47"/>
      <c r="AA804" s="47"/>
    </row>
    <row r="805" spans="19:27" x14ac:dyDescent="0.2">
      <c r="S805" s="47"/>
      <c r="U805" s="47"/>
      <c r="AA805" s="47"/>
    </row>
    <row r="806" spans="19:27" x14ac:dyDescent="0.2">
      <c r="S806" s="47"/>
      <c r="U806" s="47"/>
      <c r="AA806" s="47"/>
    </row>
    <row r="807" spans="19:27" x14ac:dyDescent="0.2">
      <c r="S807" s="47"/>
      <c r="U807" s="47"/>
      <c r="AA807" s="47"/>
    </row>
    <row r="808" spans="19:27" x14ac:dyDescent="0.2">
      <c r="S808" s="47"/>
      <c r="U808" s="47"/>
      <c r="AA808" s="47"/>
    </row>
    <row r="809" spans="19:27" x14ac:dyDescent="0.2">
      <c r="S809" s="47"/>
      <c r="U809" s="47"/>
      <c r="AA809" s="47"/>
    </row>
    <row r="810" spans="19:27" x14ac:dyDescent="0.2">
      <c r="S810" s="47"/>
      <c r="U810" s="47"/>
      <c r="AA810" s="47"/>
    </row>
    <row r="811" spans="19:27" x14ac:dyDescent="0.2">
      <c r="S811" s="47"/>
      <c r="U811" s="47"/>
      <c r="AA811" s="47"/>
    </row>
    <row r="812" spans="19:27" x14ac:dyDescent="0.2">
      <c r="S812" s="47"/>
      <c r="U812" s="47"/>
      <c r="AA812" s="47"/>
    </row>
    <row r="813" spans="19:27" x14ac:dyDescent="0.2">
      <c r="S813" s="47"/>
      <c r="U813" s="47"/>
      <c r="AA813" s="47"/>
    </row>
    <row r="814" spans="19:27" x14ac:dyDescent="0.2">
      <c r="S814" s="47"/>
      <c r="U814" s="47"/>
      <c r="AA814" s="47"/>
    </row>
    <row r="815" spans="19:27" x14ac:dyDescent="0.2">
      <c r="S815" s="47"/>
      <c r="U815" s="47"/>
      <c r="AA815" s="47"/>
    </row>
    <row r="816" spans="19:27" x14ac:dyDescent="0.2">
      <c r="S816" s="47"/>
      <c r="U816" s="47"/>
      <c r="AA816" s="47"/>
    </row>
    <row r="817" spans="19:27" x14ac:dyDescent="0.2">
      <c r="S817" s="47"/>
      <c r="U817" s="47"/>
      <c r="AA817" s="47"/>
    </row>
    <row r="818" spans="19:27" x14ac:dyDescent="0.2">
      <c r="S818" s="47"/>
      <c r="U818" s="47"/>
      <c r="AA818" s="47"/>
    </row>
    <row r="819" spans="19:27" x14ac:dyDescent="0.2">
      <c r="S819" s="47"/>
      <c r="U819" s="47"/>
      <c r="AA819" s="47"/>
    </row>
    <row r="820" spans="19:27" x14ac:dyDescent="0.2">
      <c r="S820" s="47"/>
      <c r="U820" s="47"/>
      <c r="AA820" s="47"/>
    </row>
    <row r="821" spans="19:27" x14ac:dyDescent="0.2">
      <c r="S821" s="47"/>
      <c r="U821" s="47"/>
      <c r="AA821" s="47"/>
    </row>
    <row r="822" spans="19:27" x14ac:dyDescent="0.2">
      <c r="S822" s="47"/>
      <c r="U822" s="47"/>
      <c r="AA822" s="47"/>
    </row>
    <row r="823" spans="19:27" x14ac:dyDescent="0.2">
      <c r="S823" s="47"/>
      <c r="U823" s="47"/>
      <c r="AA823" s="47"/>
    </row>
    <row r="824" spans="19:27" x14ac:dyDescent="0.2">
      <c r="S824" s="47"/>
      <c r="U824" s="47"/>
      <c r="AA824" s="47"/>
    </row>
    <row r="825" spans="19:27" x14ac:dyDescent="0.2">
      <c r="S825" s="47"/>
      <c r="U825" s="47"/>
      <c r="AA825" s="47"/>
    </row>
    <row r="826" spans="19:27" x14ac:dyDescent="0.2">
      <c r="S826" s="47"/>
      <c r="U826" s="47"/>
      <c r="AA826" s="47"/>
    </row>
    <row r="827" spans="19:27" x14ac:dyDescent="0.2">
      <c r="S827" s="47"/>
      <c r="U827" s="47"/>
      <c r="AA827" s="47"/>
    </row>
    <row r="828" spans="19:27" x14ac:dyDescent="0.2">
      <c r="S828" s="47"/>
      <c r="U828" s="47"/>
      <c r="AA828" s="47"/>
    </row>
    <row r="829" spans="19:27" x14ac:dyDescent="0.2">
      <c r="S829" s="47"/>
      <c r="U829" s="47"/>
      <c r="AA829" s="47"/>
    </row>
    <row r="830" spans="19:27" x14ac:dyDescent="0.2">
      <c r="S830" s="47"/>
      <c r="U830" s="47"/>
      <c r="AA830" s="47"/>
    </row>
    <row r="831" spans="19:27" x14ac:dyDescent="0.2">
      <c r="S831" s="47"/>
      <c r="U831" s="47"/>
      <c r="AA831" s="47"/>
    </row>
    <row r="832" spans="19:27" x14ac:dyDescent="0.2">
      <c r="S832" s="47"/>
      <c r="U832" s="47"/>
      <c r="AA832" s="47"/>
    </row>
    <row r="833" spans="19:27" x14ac:dyDescent="0.2">
      <c r="S833" s="47"/>
      <c r="U833" s="47"/>
      <c r="AA833" s="47"/>
    </row>
    <row r="834" spans="19:27" x14ac:dyDescent="0.2">
      <c r="S834" s="47"/>
      <c r="U834" s="47"/>
      <c r="AA834" s="47"/>
    </row>
    <row r="835" spans="19:27" x14ac:dyDescent="0.2">
      <c r="S835" s="47"/>
      <c r="U835" s="47"/>
      <c r="AA835" s="47"/>
    </row>
    <row r="836" spans="19:27" x14ac:dyDescent="0.2">
      <c r="S836" s="47"/>
      <c r="U836" s="47"/>
      <c r="AA836" s="47"/>
    </row>
    <row r="837" spans="19:27" x14ac:dyDescent="0.2">
      <c r="S837" s="47"/>
      <c r="U837" s="47"/>
      <c r="AA837" s="47"/>
    </row>
    <row r="838" spans="19:27" x14ac:dyDescent="0.2">
      <c r="S838" s="47"/>
      <c r="U838" s="47"/>
      <c r="AA838" s="47"/>
    </row>
    <row r="839" spans="19:27" x14ac:dyDescent="0.2">
      <c r="S839" s="47"/>
      <c r="U839" s="47"/>
      <c r="AA839" s="47"/>
    </row>
    <row r="840" spans="19:27" x14ac:dyDescent="0.2">
      <c r="S840" s="47"/>
      <c r="U840" s="47"/>
      <c r="AA840" s="47"/>
    </row>
    <row r="841" spans="19:27" x14ac:dyDescent="0.2">
      <c r="S841" s="47"/>
      <c r="U841" s="47"/>
      <c r="AA841" s="47"/>
    </row>
    <row r="842" spans="19:27" x14ac:dyDescent="0.2">
      <c r="S842" s="47"/>
      <c r="U842" s="47"/>
      <c r="AA842" s="47"/>
    </row>
    <row r="843" spans="19:27" x14ac:dyDescent="0.2">
      <c r="S843" s="47"/>
      <c r="U843" s="47"/>
      <c r="AA843" s="47"/>
    </row>
    <row r="844" spans="19:27" x14ac:dyDescent="0.2">
      <c r="S844" s="47"/>
      <c r="U844" s="47"/>
      <c r="AA844" s="47"/>
    </row>
    <row r="845" spans="19:27" x14ac:dyDescent="0.2">
      <c r="S845" s="47"/>
      <c r="U845" s="47"/>
      <c r="AA845" s="47"/>
    </row>
    <row r="846" spans="19:27" x14ac:dyDescent="0.2">
      <c r="S846" s="47"/>
      <c r="U846" s="47"/>
      <c r="AA846" s="47"/>
    </row>
    <row r="847" spans="19:27" x14ac:dyDescent="0.2">
      <c r="S847" s="47"/>
      <c r="U847" s="47"/>
      <c r="AA847" s="47"/>
    </row>
    <row r="848" spans="19:27" x14ac:dyDescent="0.2">
      <c r="S848" s="47"/>
      <c r="U848" s="47"/>
      <c r="AA848" s="47"/>
    </row>
    <row r="849" spans="19:27" x14ac:dyDescent="0.2">
      <c r="S849" s="47"/>
      <c r="U849" s="47"/>
      <c r="AA849" s="47"/>
    </row>
    <row r="850" spans="19:27" x14ac:dyDescent="0.2">
      <c r="S850" s="47"/>
      <c r="U850" s="47"/>
      <c r="AA850" s="47"/>
    </row>
    <row r="851" spans="19:27" x14ac:dyDescent="0.2">
      <c r="S851" s="47"/>
      <c r="U851" s="47"/>
      <c r="AA851" s="47"/>
    </row>
    <row r="852" spans="19:27" x14ac:dyDescent="0.2">
      <c r="S852" s="47"/>
      <c r="U852" s="47"/>
      <c r="AA852" s="47"/>
    </row>
    <row r="853" spans="19:27" x14ac:dyDescent="0.2">
      <c r="S853" s="47"/>
      <c r="U853" s="47"/>
      <c r="AA853" s="47"/>
    </row>
    <row r="854" spans="19:27" x14ac:dyDescent="0.2">
      <c r="S854" s="47"/>
      <c r="U854" s="47"/>
      <c r="AA854" s="47"/>
    </row>
    <row r="855" spans="19:27" x14ac:dyDescent="0.2">
      <c r="S855" s="47"/>
      <c r="U855" s="47"/>
      <c r="AA855" s="47"/>
    </row>
    <row r="856" spans="19:27" x14ac:dyDescent="0.2">
      <c r="S856" s="47"/>
      <c r="U856" s="47"/>
      <c r="AA856" s="47"/>
    </row>
    <row r="857" spans="19:27" x14ac:dyDescent="0.2">
      <c r="S857" s="47"/>
      <c r="U857" s="47"/>
      <c r="AA857" s="47"/>
    </row>
    <row r="858" spans="19:27" x14ac:dyDescent="0.2">
      <c r="S858" s="47"/>
      <c r="U858" s="47"/>
      <c r="AA858" s="47"/>
    </row>
    <row r="859" spans="19:27" x14ac:dyDescent="0.2">
      <c r="S859" s="47"/>
      <c r="U859" s="47"/>
      <c r="AA859" s="47"/>
    </row>
    <row r="860" spans="19:27" x14ac:dyDescent="0.2">
      <c r="S860" s="47"/>
      <c r="U860" s="47"/>
      <c r="AA860" s="47"/>
    </row>
    <row r="861" spans="19:27" x14ac:dyDescent="0.2">
      <c r="S861" s="47"/>
      <c r="U861" s="47"/>
      <c r="AA861" s="47"/>
    </row>
    <row r="862" spans="19:27" x14ac:dyDescent="0.2">
      <c r="S862" s="47"/>
      <c r="U862" s="47"/>
      <c r="AA862" s="47"/>
    </row>
    <row r="863" spans="19:27" x14ac:dyDescent="0.2">
      <c r="S863" s="47"/>
      <c r="U863" s="47"/>
      <c r="AA863" s="47"/>
    </row>
    <row r="864" spans="19:27" x14ac:dyDescent="0.2">
      <c r="S864" s="47"/>
      <c r="U864" s="47"/>
      <c r="AA864" s="47"/>
    </row>
    <row r="865" spans="19:27" x14ac:dyDescent="0.2">
      <c r="S865" s="47"/>
      <c r="U865" s="47"/>
      <c r="AA865" s="47"/>
    </row>
    <row r="866" spans="19:27" x14ac:dyDescent="0.2">
      <c r="S866" s="47"/>
      <c r="U866" s="47"/>
      <c r="AA866" s="47"/>
    </row>
    <row r="867" spans="19:27" x14ac:dyDescent="0.2">
      <c r="S867" s="47"/>
      <c r="U867" s="47"/>
      <c r="AA867" s="47"/>
    </row>
    <row r="868" spans="19:27" x14ac:dyDescent="0.2">
      <c r="S868" s="47"/>
      <c r="U868" s="47"/>
      <c r="AA868" s="47"/>
    </row>
    <row r="869" spans="19:27" x14ac:dyDescent="0.2">
      <c r="S869" s="47"/>
      <c r="U869" s="47"/>
      <c r="AA869" s="47"/>
    </row>
    <row r="870" spans="19:27" x14ac:dyDescent="0.2">
      <c r="S870" s="47"/>
      <c r="U870" s="47"/>
      <c r="AA870" s="47"/>
    </row>
    <row r="871" spans="19:27" x14ac:dyDescent="0.2">
      <c r="S871" s="47"/>
      <c r="U871" s="47"/>
      <c r="AA871" s="47"/>
    </row>
    <row r="872" spans="19:27" x14ac:dyDescent="0.2">
      <c r="S872" s="47"/>
      <c r="U872" s="47"/>
      <c r="AA872" s="47"/>
    </row>
    <row r="873" spans="19:27" x14ac:dyDescent="0.2">
      <c r="S873" s="47"/>
      <c r="U873" s="47"/>
      <c r="AA873" s="47"/>
    </row>
    <row r="874" spans="19:27" x14ac:dyDescent="0.2">
      <c r="S874" s="47"/>
      <c r="U874" s="47"/>
      <c r="AA874" s="47"/>
    </row>
    <row r="875" spans="19:27" x14ac:dyDescent="0.2">
      <c r="S875" s="47"/>
      <c r="U875" s="47"/>
      <c r="AA875" s="47"/>
    </row>
    <row r="876" spans="19:27" x14ac:dyDescent="0.2">
      <c r="S876" s="47"/>
      <c r="U876" s="47"/>
      <c r="AA876" s="47"/>
    </row>
    <row r="877" spans="19:27" x14ac:dyDescent="0.2">
      <c r="S877" s="47"/>
      <c r="U877" s="47"/>
      <c r="AA877" s="47"/>
    </row>
    <row r="878" spans="19:27" x14ac:dyDescent="0.2">
      <c r="S878" s="47"/>
      <c r="U878" s="47"/>
      <c r="AA878" s="47"/>
    </row>
    <row r="879" spans="19:27" x14ac:dyDescent="0.2">
      <c r="S879" s="47"/>
      <c r="U879" s="47"/>
      <c r="AA879" s="47"/>
    </row>
    <row r="880" spans="19:27" x14ac:dyDescent="0.2">
      <c r="S880" s="47"/>
      <c r="U880" s="47"/>
      <c r="AA880" s="47"/>
    </row>
    <row r="881" spans="19:27" x14ac:dyDescent="0.2">
      <c r="S881" s="47"/>
      <c r="U881" s="47"/>
      <c r="AA881" s="47"/>
    </row>
    <row r="882" spans="19:27" x14ac:dyDescent="0.2">
      <c r="S882" s="47"/>
      <c r="U882" s="47"/>
      <c r="AA882" s="47"/>
    </row>
    <row r="883" spans="19:27" x14ac:dyDescent="0.2">
      <c r="S883" s="47"/>
      <c r="U883" s="47"/>
      <c r="AA883" s="47"/>
    </row>
    <row r="884" spans="19:27" x14ac:dyDescent="0.2">
      <c r="S884" s="47"/>
      <c r="U884" s="47"/>
      <c r="AA884" s="47"/>
    </row>
    <row r="885" spans="19:27" x14ac:dyDescent="0.2">
      <c r="S885" s="47"/>
      <c r="U885" s="47"/>
      <c r="AA885" s="47"/>
    </row>
    <row r="886" spans="19:27" x14ac:dyDescent="0.2">
      <c r="S886" s="47"/>
      <c r="U886" s="47"/>
      <c r="AA886" s="47"/>
    </row>
    <row r="887" spans="19:27" x14ac:dyDescent="0.2">
      <c r="S887" s="47"/>
      <c r="U887" s="47"/>
      <c r="AA887" s="47"/>
    </row>
    <row r="888" spans="19:27" x14ac:dyDescent="0.2">
      <c r="S888" s="47"/>
      <c r="U888" s="47"/>
      <c r="AA888" s="47"/>
    </row>
    <row r="889" spans="19:27" x14ac:dyDescent="0.2">
      <c r="S889" s="47"/>
      <c r="U889" s="47"/>
      <c r="AA889" s="47"/>
    </row>
    <row r="890" spans="19:27" x14ac:dyDescent="0.2">
      <c r="S890" s="47"/>
      <c r="U890" s="47"/>
      <c r="AA890" s="47"/>
    </row>
    <row r="891" spans="19:27" x14ac:dyDescent="0.2">
      <c r="S891" s="47"/>
      <c r="U891" s="47"/>
      <c r="AA891" s="47"/>
    </row>
    <row r="892" spans="19:27" x14ac:dyDescent="0.2">
      <c r="S892" s="47"/>
      <c r="U892" s="47"/>
      <c r="AA892" s="47"/>
    </row>
    <row r="893" spans="19:27" x14ac:dyDescent="0.2">
      <c r="S893" s="47"/>
      <c r="U893" s="47"/>
      <c r="AA893" s="47"/>
    </row>
    <row r="894" spans="19:27" x14ac:dyDescent="0.2">
      <c r="S894" s="47"/>
      <c r="U894" s="47"/>
      <c r="AA894" s="47"/>
    </row>
    <row r="895" spans="19:27" x14ac:dyDescent="0.2">
      <c r="S895" s="47"/>
      <c r="U895" s="47"/>
      <c r="AA895" s="47"/>
    </row>
    <row r="896" spans="19:27" x14ac:dyDescent="0.2">
      <c r="S896" s="47"/>
      <c r="U896" s="47"/>
      <c r="AA896" s="47"/>
    </row>
    <row r="897" spans="19:27" x14ac:dyDescent="0.2">
      <c r="S897" s="47"/>
      <c r="U897" s="47"/>
      <c r="AA897" s="47"/>
    </row>
    <row r="898" spans="19:27" x14ac:dyDescent="0.2">
      <c r="S898" s="47"/>
      <c r="U898" s="47"/>
      <c r="AA898" s="47"/>
    </row>
    <row r="899" spans="19:27" x14ac:dyDescent="0.2">
      <c r="S899" s="47"/>
      <c r="U899" s="47"/>
      <c r="AA899" s="47"/>
    </row>
    <row r="900" spans="19:27" x14ac:dyDescent="0.2">
      <c r="S900" s="47"/>
      <c r="U900" s="47"/>
      <c r="AA900" s="47"/>
    </row>
    <row r="901" spans="19:27" x14ac:dyDescent="0.2">
      <c r="S901" s="47"/>
      <c r="U901" s="47"/>
      <c r="AA901" s="47"/>
    </row>
    <row r="902" spans="19:27" x14ac:dyDescent="0.2">
      <c r="S902" s="47"/>
      <c r="U902" s="47"/>
      <c r="AA902" s="47"/>
    </row>
    <row r="903" spans="19:27" x14ac:dyDescent="0.2">
      <c r="S903" s="47"/>
      <c r="U903" s="47"/>
      <c r="AA903" s="47"/>
    </row>
    <row r="904" spans="19:27" x14ac:dyDescent="0.2">
      <c r="S904" s="47"/>
      <c r="U904" s="47"/>
      <c r="AA904" s="47"/>
    </row>
    <row r="905" spans="19:27" x14ac:dyDescent="0.2">
      <c r="S905" s="47"/>
      <c r="U905" s="47"/>
      <c r="AA905" s="47"/>
    </row>
    <row r="906" spans="19:27" x14ac:dyDescent="0.2">
      <c r="S906" s="47"/>
      <c r="U906" s="47"/>
      <c r="AA906" s="47"/>
    </row>
    <row r="907" spans="19:27" x14ac:dyDescent="0.2">
      <c r="S907" s="47"/>
      <c r="U907" s="47"/>
      <c r="AA907" s="47"/>
    </row>
    <row r="908" spans="19:27" x14ac:dyDescent="0.2">
      <c r="S908" s="47"/>
      <c r="U908" s="47"/>
      <c r="AA908" s="47"/>
    </row>
    <row r="909" spans="19:27" x14ac:dyDescent="0.2">
      <c r="S909" s="47"/>
      <c r="U909" s="47"/>
      <c r="AA909" s="47"/>
    </row>
    <row r="910" spans="19:27" x14ac:dyDescent="0.2">
      <c r="S910" s="47"/>
      <c r="U910" s="47"/>
      <c r="AA910" s="47"/>
    </row>
    <row r="911" spans="19:27" x14ac:dyDescent="0.2">
      <c r="S911" s="47"/>
      <c r="U911" s="47"/>
      <c r="AA911" s="47"/>
    </row>
    <row r="912" spans="19:27" x14ac:dyDescent="0.2">
      <c r="S912" s="47"/>
      <c r="U912" s="47"/>
      <c r="AA912" s="47"/>
    </row>
    <row r="913" spans="19:27" x14ac:dyDescent="0.2">
      <c r="S913" s="47"/>
      <c r="U913" s="47"/>
      <c r="AA913" s="47"/>
    </row>
    <row r="914" spans="19:27" x14ac:dyDescent="0.2">
      <c r="S914" s="47"/>
      <c r="U914" s="47"/>
      <c r="AA914" s="47"/>
    </row>
    <row r="915" spans="19:27" x14ac:dyDescent="0.2">
      <c r="S915" s="47"/>
      <c r="U915" s="47"/>
      <c r="AA915" s="47"/>
    </row>
    <row r="916" spans="19:27" x14ac:dyDescent="0.2">
      <c r="S916" s="47"/>
      <c r="U916" s="47"/>
      <c r="AA916" s="47"/>
    </row>
    <row r="917" spans="19:27" x14ac:dyDescent="0.2">
      <c r="S917" s="47"/>
      <c r="U917" s="47"/>
      <c r="AA917" s="47"/>
    </row>
    <row r="918" spans="19:27" x14ac:dyDescent="0.2">
      <c r="S918" s="47"/>
      <c r="U918" s="47"/>
      <c r="AA918" s="47"/>
    </row>
    <row r="919" spans="19:27" x14ac:dyDescent="0.2">
      <c r="S919" s="47"/>
      <c r="U919" s="47"/>
      <c r="AA919" s="47"/>
    </row>
    <row r="920" spans="19:27" x14ac:dyDescent="0.2">
      <c r="S920" s="47"/>
      <c r="U920" s="47"/>
      <c r="AA920" s="47"/>
    </row>
    <row r="921" spans="19:27" x14ac:dyDescent="0.2">
      <c r="S921" s="47"/>
      <c r="U921" s="47"/>
      <c r="AA921" s="47"/>
    </row>
    <row r="922" spans="19:27" x14ac:dyDescent="0.2">
      <c r="S922" s="47"/>
      <c r="U922" s="47"/>
      <c r="AA922" s="47"/>
    </row>
    <row r="923" spans="19:27" x14ac:dyDescent="0.2">
      <c r="S923" s="47"/>
      <c r="U923" s="47"/>
      <c r="AA923" s="47"/>
    </row>
    <row r="924" spans="19:27" x14ac:dyDescent="0.2">
      <c r="S924" s="47"/>
      <c r="U924" s="47"/>
      <c r="AA924" s="47"/>
    </row>
    <row r="925" spans="19:27" x14ac:dyDescent="0.2">
      <c r="S925" s="47"/>
      <c r="U925" s="47"/>
      <c r="AA925" s="47"/>
    </row>
    <row r="926" spans="19:27" x14ac:dyDescent="0.2">
      <c r="S926" s="47"/>
      <c r="U926" s="47"/>
      <c r="AA926" s="47"/>
    </row>
    <row r="927" spans="19:27" x14ac:dyDescent="0.2">
      <c r="S927" s="47"/>
      <c r="U927" s="47"/>
      <c r="AA927" s="47"/>
    </row>
    <row r="928" spans="19:27" x14ac:dyDescent="0.2">
      <c r="S928" s="47"/>
      <c r="U928" s="47"/>
      <c r="AA928" s="47"/>
    </row>
    <row r="929" spans="19:27" x14ac:dyDescent="0.2">
      <c r="S929" s="47"/>
      <c r="U929" s="47"/>
      <c r="AA929" s="47"/>
    </row>
    <row r="930" spans="19:27" x14ac:dyDescent="0.2">
      <c r="S930" s="47"/>
      <c r="U930" s="47"/>
      <c r="AA930" s="47"/>
    </row>
    <row r="931" spans="19:27" x14ac:dyDescent="0.2">
      <c r="S931" s="47"/>
      <c r="U931" s="47"/>
      <c r="AA931" s="47"/>
    </row>
    <row r="932" spans="19:27" x14ac:dyDescent="0.2">
      <c r="S932" s="47"/>
      <c r="U932" s="47"/>
      <c r="AA932" s="47"/>
    </row>
    <row r="933" spans="19:27" x14ac:dyDescent="0.2">
      <c r="S933" s="47"/>
      <c r="U933" s="47"/>
      <c r="AA933" s="47"/>
    </row>
    <row r="934" spans="19:27" x14ac:dyDescent="0.2">
      <c r="S934" s="47"/>
      <c r="U934" s="47"/>
      <c r="AA934" s="47"/>
    </row>
    <row r="935" spans="19:27" x14ac:dyDescent="0.2">
      <c r="S935" s="47"/>
      <c r="U935" s="47"/>
      <c r="AA935" s="47"/>
    </row>
    <row r="936" spans="19:27" x14ac:dyDescent="0.2">
      <c r="S936" s="47"/>
      <c r="U936" s="47"/>
      <c r="AA936" s="47"/>
    </row>
    <row r="937" spans="19:27" x14ac:dyDescent="0.2">
      <c r="S937" s="47"/>
      <c r="U937" s="47"/>
      <c r="AA937" s="47"/>
    </row>
    <row r="938" spans="19:27" x14ac:dyDescent="0.2">
      <c r="S938" s="47"/>
      <c r="U938" s="47"/>
      <c r="AA938" s="47"/>
    </row>
    <row r="939" spans="19:27" x14ac:dyDescent="0.2">
      <c r="S939" s="47"/>
      <c r="U939" s="47"/>
      <c r="AA939" s="47"/>
    </row>
    <row r="940" spans="19:27" x14ac:dyDescent="0.2">
      <c r="S940" s="47"/>
      <c r="U940" s="47"/>
      <c r="AA940" s="47"/>
    </row>
    <row r="941" spans="19:27" x14ac:dyDescent="0.2">
      <c r="S941" s="47"/>
      <c r="U941" s="47"/>
      <c r="AA941" s="47"/>
    </row>
    <row r="942" spans="19:27" x14ac:dyDescent="0.2">
      <c r="S942" s="47"/>
      <c r="U942" s="47"/>
      <c r="AA942" s="47"/>
    </row>
    <row r="943" spans="19:27" x14ac:dyDescent="0.2">
      <c r="S943" s="47"/>
      <c r="U943" s="47"/>
      <c r="AA943" s="47"/>
    </row>
    <row r="944" spans="19:27" x14ac:dyDescent="0.2">
      <c r="S944" s="47"/>
      <c r="U944" s="47"/>
      <c r="AA944" s="47"/>
    </row>
    <row r="945" spans="19:27" x14ac:dyDescent="0.2">
      <c r="S945" s="47"/>
      <c r="U945" s="47"/>
      <c r="AA945" s="47"/>
    </row>
    <row r="946" spans="19:27" x14ac:dyDescent="0.2">
      <c r="S946" s="47"/>
      <c r="U946" s="47"/>
      <c r="AA946" s="47"/>
    </row>
    <row r="947" spans="19:27" x14ac:dyDescent="0.2">
      <c r="S947" s="47"/>
      <c r="U947" s="47"/>
      <c r="AA947" s="47"/>
    </row>
    <row r="948" spans="19:27" x14ac:dyDescent="0.2">
      <c r="S948" s="47"/>
      <c r="U948" s="47"/>
      <c r="AA948" s="47"/>
    </row>
    <row r="949" spans="19:27" x14ac:dyDescent="0.2">
      <c r="S949" s="47"/>
      <c r="U949" s="47"/>
      <c r="AA949" s="47"/>
    </row>
    <row r="950" spans="19:27" x14ac:dyDescent="0.2">
      <c r="S950" s="47"/>
      <c r="U950" s="47"/>
      <c r="AA950" s="47"/>
    </row>
    <row r="951" spans="19:27" x14ac:dyDescent="0.2">
      <c r="S951" s="47"/>
      <c r="U951" s="47"/>
      <c r="AA951" s="47"/>
    </row>
    <row r="952" spans="19:27" x14ac:dyDescent="0.2">
      <c r="S952" s="47"/>
      <c r="U952" s="47"/>
      <c r="AA952" s="47"/>
    </row>
    <row r="953" spans="19:27" x14ac:dyDescent="0.2">
      <c r="S953" s="47"/>
      <c r="U953" s="47"/>
      <c r="AA953" s="47"/>
    </row>
    <row r="954" spans="19:27" x14ac:dyDescent="0.2">
      <c r="S954" s="47"/>
      <c r="U954" s="47"/>
      <c r="AA954" s="47"/>
    </row>
    <row r="955" spans="19:27" x14ac:dyDescent="0.2">
      <c r="S955" s="47"/>
      <c r="U955" s="47"/>
      <c r="AA955" s="47"/>
    </row>
    <row r="956" spans="19:27" x14ac:dyDescent="0.2">
      <c r="S956" s="47"/>
      <c r="U956" s="47"/>
      <c r="AA956" s="47"/>
    </row>
    <row r="957" spans="19:27" x14ac:dyDescent="0.2">
      <c r="S957" s="47"/>
      <c r="U957" s="47"/>
      <c r="AA957" s="47"/>
    </row>
    <row r="958" spans="19:27" x14ac:dyDescent="0.2">
      <c r="S958" s="47"/>
      <c r="U958" s="47"/>
      <c r="AA958" s="47"/>
    </row>
    <row r="959" spans="19:27" x14ac:dyDescent="0.2">
      <c r="S959" s="47"/>
      <c r="U959" s="47"/>
      <c r="AA959" s="47"/>
    </row>
    <row r="960" spans="19:27" x14ac:dyDescent="0.2">
      <c r="S960" s="47"/>
      <c r="U960" s="47"/>
      <c r="AA960" s="47"/>
    </row>
    <row r="961" spans="19:27" x14ac:dyDescent="0.2">
      <c r="S961" s="47"/>
      <c r="U961" s="47"/>
      <c r="AA961" s="47"/>
    </row>
    <row r="962" spans="19:27" x14ac:dyDescent="0.2">
      <c r="S962" s="47"/>
      <c r="U962" s="47"/>
      <c r="AA962" s="47"/>
    </row>
    <row r="963" spans="19:27" x14ac:dyDescent="0.2">
      <c r="S963" s="47"/>
      <c r="U963" s="47"/>
      <c r="AA963" s="47"/>
    </row>
    <row r="964" spans="19:27" x14ac:dyDescent="0.2">
      <c r="S964" s="47"/>
      <c r="U964" s="47"/>
      <c r="AA964" s="47"/>
    </row>
    <row r="965" spans="19:27" x14ac:dyDescent="0.2">
      <c r="S965" s="47"/>
      <c r="U965" s="47"/>
      <c r="AA965" s="47"/>
    </row>
    <row r="966" spans="19:27" x14ac:dyDescent="0.2">
      <c r="S966" s="47"/>
      <c r="U966" s="47"/>
      <c r="AA966" s="47"/>
    </row>
    <row r="967" spans="19:27" x14ac:dyDescent="0.2">
      <c r="S967" s="47"/>
      <c r="U967" s="47"/>
      <c r="AA967" s="47"/>
    </row>
    <row r="968" spans="19:27" x14ac:dyDescent="0.2">
      <c r="S968" s="47"/>
      <c r="U968" s="47"/>
      <c r="AA968" s="47"/>
    </row>
    <row r="969" spans="19:27" x14ac:dyDescent="0.2">
      <c r="S969" s="47"/>
      <c r="U969" s="47"/>
      <c r="AA969" s="47"/>
    </row>
    <row r="970" spans="19:27" x14ac:dyDescent="0.2">
      <c r="S970" s="47"/>
      <c r="U970" s="47"/>
      <c r="AA970" s="47"/>
    </row>
    <row r="971" spans="19:27" x14ac:dyDescent="0.2">
      <c r="S971" s="47"/>
      <c r="U971" s="47"/>
      <c r="AA971" s="47"/>
    </row>
    <row r="972" spans="19:27" x14ac:dyDescent="0.2">
      <c r="S972" s="47"/>
      <c r="U972" s="47"/>
      <c r="AA972" s="47"/>
    </row>
    <row r="973" spans="19:27" x14ac:dyDescent="0.2">
      <c r="S973" s="47"/>
      <c r="U973" s="47"/>
      <c r="AA973" s="47"/>
    </row>
    <row r="974" spans="19:27" x14ac:dyDescent="0.2">
      <c r="S974" s="47"/>
      <c r="U974" s="47"/>
      <c r="AA974" s="47"/>
    </row>
    <row r="975" spans="19:27" x14ac:dyDescent="0.2">
      <c r="S975" s="47"/>
      <c r="U975" s="47"/>
      <c r="AA975" s="47"/>
    </row>
    <row r="976" spans="19:27" x14ac:dyDescent="0.2">
      <c r="S976" s="47"/>
      <c r="U976" s="47"/>
      <c r="AA976" s="47"/>
    </row>
    <row r="977" spans="19:27" x14ac:dyDescent="0.2">
      <c r="S977" s="47"/>
      <c r="U977" s="47"/>
      <c r="AA977" s="47"/>
    </row>
    <row r="978" spans="19:27" x14ac:dyDescent="0.2">
      <c r="S978" s="47"/>
      <c r="U978" s="47"/>
      <c r="AA978" s="47"/>
    </row>
    <row r="979" spans="19:27" x14ac:dyDescent="0.2">
      <c r="S979" s="47"/>
      <c r="U979" s="47"/>
      <c r="AA979" s="47"/>
    </row>
    <row r="980" spans="19:27" x14ac:dyDescent="0.2">
      <c r="S980" s="47"/>
      <c r="U980" s="47"/>
      <c r="AA980" s="47"/>
    </row>
    <row r="981" spans="19:27" x14ac:dyDescent="0.2">
      <c r="S981" s="47"/>
      <c r="U981" s="47"/>
      <c r="AA981" s="47"/>
    </row>
    <row r="982" spans="19:27" x14ac:dyDescent="0.2">
      <c r="S982" s="47"/>
      <c r="U982" s="47"/>
      <c r="AA982" s="47"/>
    </row>
    <row r="983" spans="19:27" x14ac:dyDescent="0.2">
      <c r="S983" s="47"/>
      <c r="U983" s="47"/>
      <c r="AA983" s="47"/>
    </row>
    <row r="984" spans="19:27" x14ac:dyDescent="0.2">
      <c r="S984" s="47"/>
      <c r="U984" s="47"/>
      <c r="AA984" s="47"/>
    </row>
    <row r="985" spans="19:27" x14ac:dyDescent="0.2">
      <c r="S985" s="47"/>
      <c r="U985" s="47"/>
      <c r="AA985" s="47"/>
    </row>
    <row r="986" spans="19:27" x14ac:dyDescent="0.2">
      <c r="S986" s="47"/>
      <c r="U986" s="47"/>
      <c r="AA986" s="47"/>
    </row>
    <row r="987" spans="19:27" x14ac:dyDescent="0.2">
      <c r="S987" s="47"/>
      <c r="U987" s="47"/>
      <c r="AA987" s="47"/>
    </row>
    <row r="988" spans="19:27" x14ac:dyDescent="0.2">
      <c r="S988" s="47"/>
      <c r="U988" s="47"/>
      <c r="AA988" s="47"/>
    </row>
    <row r="989" spans="19:27" x14ac:dyDescent="0.2">
      <c r="S989" s="47"/>
      <c r="U989" s="47"/>
      <c r="AA989" s="47"/>
    </row>
    <row r="990" spans="19:27" x14ac:dyDescent="0.2">
      <c r="S990" s="47"/>
      <c r="U990" s="47"/>
      <c r="AA990" s="47"/>
    </row>
    <row r="991" spans="19:27" x14ac:dyDescent="0.2">
      <c r="S991" s="47"/>
      <c r="U991" s="47"/>
      <c r="AA991" s="47"/>
    </row>
    <row r="992" spans="19:27" x14ac:dyDescent="0.2">
      <c r="S992" s="47"/>
      <c r="U992" s="47"/>
      <c r="AA992" s="47"/>
    </row>
    <row r="993" spans="19:27" x14ac:dyDescent="0.2">
      <c r="S993" s="47"/>
      <c r="U993" s="47"/>
      <c r="AA993" s="47"/>
    </row>
    <row r="994" spans="19:27" x14ac:dyDescent="0.2">
      <c r="S994" s="47"/>
      <c r="U994" s="47"/>
      <c r="AA994" s="47"/>
    </row>
    <row r="995" spans="19:27" x14ac:dyDescent="0.2">
      <c r="S995" s="47"/>
      <c r="U995" s="47"/>
      <c r="AA995" s="47"/>
    </row>
    <row r="996" spans="19:27" x14ac:dyDescent="0.2">
      <c r="S996" s="47"/>
      <c r="U996" s="47"/>
      <c r="AA996" s="47"/>
    </row>
    <row r="997" spans="19:27" x14ac:dyDescent="0.2">
      <c r="S997" s="47"/>
      <c r="U997" s="47"/>
      <c r="AA997" s="47"/>
    </row>
    <row r="998" spans="19:27" x14ac:dyDescent="0.2">
      <c r="S998" s="47"/>
      <c r="U998" s="47"/>
      <c r="AA998" s="47"/>
    </row>
    <row r="999" spans="19:27" x14ac:dyDescent="0.2">
      <c r="S999" s="47"/>
      <c r="U999" s="47"/>
      <c r="AA999" s="47"/>
    </row>
    <row r="1000" spans="19:27" x14ac:dyDescent="0.2">
      <c r="S1000" s="47"/>
      <c r="U1000" s="47"/>
      <c r="AA1000" s="47"/>
    </row>
  </sheetData>
  <autoFilter ref="A1:AC1000"/>
  <mergeCells count="1">
    <mergeCell ref="K2:L2"/>
  </mergeCells>
  <conditionalFormatting sqref="K2 M2">
    <cfRule type="cellIs" dxfId="253" priority="2" operator="equal">
      <formula>"COPY FORMULAS DOWN !!!"</formula>
    </cfRule>
  </conditionalFormatting>
  <conditionalFormatting sqref="K2:M2">
    <cfRule type="cellIs" dxfId="252" priority="1" operator="equal">
      <formula>"OK"</formula>
    </cfRule>
  </conditionalFormatting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H22"/>
  <sheetViews>
    <sheetView showGridLines="0" topLeftCell="A10" zoomScaleNormal="100" workbookViewId="0">
      <selection activeCell="B33" sqref="B33:B34"/>
    </sheetView>
  </sheetViews>
  <sheetFormatPr defaultRowHeight="11.25" outlineLevelRow="1" x14ac:dyDescent="0.2"/>
  <cols>
    <col min="2" max="2" width="100.1640625" bestFit="1" customWidth="1"/>
    <col min="3" max="3" width="17.83203125" bestFit="1" customWidth="1"/>
    <col min="5" max="5" width="14.1640625" bestFit="1" customWidth="1"/>
    <col min="6" max="6" width="14.1640625" customWidth="1"/>
  </cols>
  <sheetData>
    <row r="1" spans="2:6" hidden="1" outlineLevel="1" x14ac:dyDescent="0.2"/>
    <row r="2" spans="2:6" ht="15" hidden="1" outlineLevel="1" x14ac:dyDescent="0.25">
      <c r="B2" s="56" t="s">
        <v>405</v>
      </c>
      <c r="C2" s="71">
        <f t="array" ref="C2">SUM(('Adjusted Ageing by Customer'!$D$9:$D$300&gt;0)*('Adjusted Ageing by Customer'!$D$9:$D$300))</f>
        <v>90554810.819999978</v>
      </c>
      <c r="F2" s="9"/>
    </row>
    <row r="3" spans="2:6" ht="15" hidden="1" outlineLevel="1" x14ac:dyDescent="0.25">
      <c r="B3" s="56" t="s">
        <v>406</v>
      </c>
      <c r="C3" s="194">
        <f>'Adjusted Ageing by Customer'!AA5+'Adjusted Ageing by Customer'!Y5</f>
        <v>85942.5</v>
      </c>
      <c r="F3" s="9"/>
    </row>
    <row r="4" spans="2:6" ht="15" hidden="1" outlineLevel="1" x14ac:dyDescent="0.25">
      <c r="B4" s="57" t="s">
        <v>407</v>
      </c>
      <c r="C4" s="72">
        <f>C2-C3</f>
        <v>90468868.319999978</v>
      </c>
      <c r="F4" s="9"/>
    </row>
    <row r="5" spans="2:6" ht="15" hidden="1" outlineLevel="1" x14ac:dyDescent="0.25">
      <c r="B5" s="56" t="s">
        <v>408</v>
      </c>
      <c r="C5" s="70">
        <f>SUM('Data for wholesale'!G5:K5)+'Data for wholesale'!E3</f>
        <v>6435253.8100000005</v>
      </c>
      <c r="F5" s="9"/>
    </row>
    <row r="6" spans="2:6" ht="15" hidden="1" outlineLevel="1" x14ac:dyDescent="0.25">
      <c r="B6" s="57" t="s">
        <v>409</v>
      </c>
      <c r="C6" s="73">
        <f>C2-C5</f>
        <v>84119557.009999976</v>
      </c>
      <c r="F6" s="9"/>
    </row>
    <row r="7" spans="2:6" ht="15" hidden="1" outlineLevel="1" x14ac:dyDescent="0.25">
      <c r="B7" s="56" t="s">
        <v>410</v>
      </c>
      <c r="C7" s="194">
        <f>'Data for wholesale'!K5+'Data for wholesale'!E3</f>
        <v>4420411.2300000004</v>
      </c>
      <c r="F7" s="9"/>
    </row>
    <row r="8" spans="2:6" ht="15" hidden="1" outlineLevel="1" x14ac:dyDescent="0.25">
      <c r="B8" s="56" t="s">
        <v>411</v>
      </c>
      <c r="C8" s="70"/>
      <c r="F8" s="9"/>
    </row>
    <row r="9" spans="2:6" ht="15" hidden="1" outlineLevel="1" x14ac:dyDescent="0.25">
      <c r="B9" s="57" t="s">
        <v>412</v>
      </c>
      <c r="C9" s="72">
        <f>C7+C8</f>
        <v>4420411.2300000004</v>
      </c>
      <c r="F9" s="9"/>
    </row>
    <row r="10" spans="2:6" collapsed="1" x14ac:dyDescent="0.2">
      <c r="F10" s="9"/>
    </row>
    <row r="14" spans="2:6" ht="15" x14ac:dyDescent="0.25">
      <c r="B14" s="56" t="s">
        <v>405</v>
      </c>
      <c r="C14" s="71">
        <f>SUM('DATA 2'!$AJ$9:$AJ$300)</f>
        <v>90554810.820000008</v>
      </c>
      <c r="F14" s="9"/>
    </row>
    <row r="15" spans="2:6" ht="15" x14ac:dyDescent="0.25">
      <c r="B15" s="56" t="s">
        <v>406</v>
      </c>
      <c r="C15" s="194">
        <f>-'[1]AR Provision'!$E$15</f>
        <v>2480401.3119999999</v>
      </c>
      <c r="F15" s="9"/>
    </row>
    <row r="16" spans="2:6" ht="15" x14ac:dyDescent="0.25">
      <c r="B16" s="57" t="s">
        <v>407</v>
      </c>
      <c r="C16" s="72">
        <f>C14-C15</f>
        <v>88074409.508000001</v>
      </c>
      <c r="F16" s="9"/>
    </row>
    <row r="17" spans="2:8" ht="15" x14ac:dyDescent="0.25">
      <c r="B17" s="56" t="s">
        <v>408</v>
      </c>
      <c r="C17" s="70">
        <f>SUM('DATA 2'!W5,'DATA 2'!Y5,'DATA 2'!AA5,'DATA 2'!AC5,'DATA 2'!AE5,'DATA 2'!AG5)-C15</f>
        <v>3697655.0380000006</v>
      </c>
      <c r="E17" s="196"/>
      <c r="F17" s="9"/>
      <c r="G17" s="357"/>
      <c r="H17" s="9"/>
    </row>
    <row r="18" spans="2:8" ht="15" x14ac:dyDescent="0.25">
      <c r="B18" s="57" t="s">
        <v>409</v>
      </c>
      <c r="C18" s="73">
        <f>C14-C17</f>
        <v>86857155.782000005</v>
      </c>
      <c r="F18" s="9"/>
    </row>
    <row r="19" spans="2:8" ht="15" x14ac:dyDescent="0.25">
      <c r="B19" s="56" t="s">
        <v>410</v>
      </c>
      <c r="C19" s="194">
        <f>C15</f>
        <v>2480401.3119999999</v>
      </c>
      <c r="F19" s="9"/>
    </row>
    <row r="20" spans="2:8" ht="15" x14ac:dyDescent="0.25">
      <c r="B20" s="56" t="s">
        <v>411</v>
      </c>
      <c r="C20" s="70"/>
      <c r="F20" s="9"/>
    </row>
    <row r="21" spans="2:8" ht="15" x14ac:dyDescent="0.25">
      <c r="B21" s="57" t="s">
        <v>412</v>
      </c>
      <c r="C21" s="72">
        <f>C19+C20</f>
        <v>2480401.3119999999</v>
      </c>
      <c r="F21" s="9"/>
    </row>
    <row r="22" spans="2:8" x14ac:dyDescent="0.2">
      <c r="F22" s="9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AK1000"/>
  <sheetViews>
    <sheetView showGridLines="0" zoomScale="93" zoomScaleNormal="93" workbookViewId="0">
      <pane xSplit="1" ySplit="8" topLeftCell="B66" activePane="bottomRight" state="frozen"/>
      <selection pane="topRight" activeCell="B1" sqref="B1"/>
      <selection pane="bottomLeft" activeCell="A9" sqref="A9"/>
      <selection pane="bottomRight" activeCell="Y74" sqref="Y74"/>
    </sheetView>
  </sheetViews>
  <sheetFormatPr defaultRowHeight="11.25" outlineLevelCol="1" x14ac:dyDescent="0.2"/>
  <cols>
    <col min="1" max="1" width="49.83203125" bestFit="1" customWidth="1"/>
    <col min="2" max="2" width="26.6640625" customWidth="1"/>
    <col min="3" max="3" width="12" style="227" customWidth="1"/>
    <col min="4" max="4" width="6.33203125" style="230" customWidth="1"/>
    <col min="5" max="5" width="6.5" style="230" customWidth="1"/>
    <col min="6" max="6" width="4.5" style="230" customWidth="1"/>
    <col min="7" max="7" width="15.6640625" style="227" customWidth="1" outlineLevel="1"/>
    <col min="8" max="8" width="14.6640625" style="227" customWidth="1" outlineLevel="1"/>
    <col min="9" max="9" width="13.6640625" style="227" customWidth="1" outlineLevel="1"/>
    <col min="10" max="10" width="16" style="227" customWidth="1" outlineLevel="1"/>
    <col min="11" max="11" width="13" style="227" customWidth="1" outlineLevel="1"/>
    <col min="12" max="12" width="13.83203125" style="227" customWidth="1" outlineLevel="1"/>
    <col min="13" max="13" width="14.6640625" style="227" customWidth="1" outlineLevel="1"/>
    <col min="14" max="14" width="15.6640625" style="227" customWidth="1" outlineLevel="1"/>
    <col min="15" max="15" width="14.5" style="227" customWidth="1" outlineLevel="1"/>
    <col min="16" max="16" width="14.83203125" customWidth="1"/>
    <col min="17" max="19" width="5.5" customWidth="1"/>
    <col min="20" max="20" width="10.1640625" customWidth="1"/>
    <col min="21" max="21" width="18" style="227" bestFit="1" customWidth="1"/>
    <col min="22" max="22" width="11.5" style="227" hidden="1" customWidth="1" outlineLevel="1"/>
    <col min="23" max="23" width="13.6640625" style="227" bestFit="1" customWidth="1" collapsed="1"/>
    <col min="24" max="24" width="11.5" style="227" hidden="1" customWidth="1" outlineLevel="1"/>
    <col min="25" max="25" width="13.6640625" style="227" bestFit="1" customWidth="1" collapsed="1"/>
    <col min="26" max="26" width="11.5" style="227" hidden="1" customWidth="1" outlineLevel="1"/>
    <col min="27" max="27" width="16" style="227" bestFit="1" customWidth="1" collapsed="1"/>
    <col min="28" max="28" width="11.5" style="227" hidden="1" customWidth="1" outlineLevel="1"/>
    <col min="29" max="29" width="12.83203125" style="227" bestFit="1" customWidth="1" collapsed="1"/>
    <col min="30" max="30" width="11.5" style="227" hidden="1" customWidth="1" outlineLevel="1"/>
    <col min="31" max="31" width="12.83203125" style="227" bestFit="1" customWidth="1" collapsed="1"/>
    <col min="32" max="32" width="11.5" style="227" hidden="1" customWidth="1" outlineLevel="1"/>
    <col min="33" max="33" width="13.1640625" style="227" bestFit="1" customWidth="1" collapsed="1"/>
    <col min="34" max="34" width="14.1640625" style="227" bestFit="1" customWidth="1"/>
    <col min="35" max="36" width="14.5" style="227" customWidth="1"/>
    <col min="37" max="37" width="13.5" customWidth="1"/>
  </cols>
  <sheetData>
    <row r="1" spans="1:37" x14ac:dyDescent="0.2">
      <c r="K1" s="228">
        <f t="array" ref="K1">MATCH(TRUE,ISBLANK(A9:A5000),0)</f>
        <v>89</v>
      </c>
      <c r="L1" s="227">
        <f t="array" ref="L1">MATCH(TRUE,ISBLANK(G9:G5000),0)</f>
        <v>94</v>
      </c>
      <c r="M1" s="227">
        <f t="array" ref="M1">MATCH(TRUE,ISBLANK(H9:H5000),0)</f>
        <v>94</v>
      </c>
      <c r="N1" s="227">
        <f t="array" ref="N1">MATCH(TRUE,ISBLANK(I9:I5000),0)</f>
        <v>94</v>
      </c>
    </row>
    <row r="2" spans="1:37" x14ac:dyDescent="0.2">
      <c r="A2" s="7" t="s">
        <v>5</v>
      </c>
      <c r="B2" t="s">
        <v>1022</v>
      </c>
      <c r="G2" s="242" t="s">
        <v>394</v>
      </c>
      <c r="K2" s="397" t="str">
        <f>IF(K1&gt;L1,"COPY FORMULAS DOWN !!!","OK")</f>
        <v>OK</v>
      </c>
      <c r="L2" s="397"/>
      <c r="M2" s="249"/>
      <c r="N2" s="249"/>
      <c r="O2" s="249"/>
    </row>
    <row r="3" spans="1:37" x14ac:dyDescent="0.2">
      <c r="A3" s="7" t="s">
        <v>366</v>
      </c>
      <c r="B3" t="s">
        <v>1022</v>
      </c>
    </row>
    <row r="4" spans="1:37" x14ac:dyDescent="0.2">
      <c r="A4" s="7" t="s">
        <v>367</v>
      </c>
      <c r="B4" t="s">
        <v>1022</v>
      </c>
      <c r="O4" s="263">
        <f>-O5+C5</f>
        <v>0</v>
      </c>
    </row>
    <row r="5" spans="1:37" x14ac:dyDescent="0.2">
      <c r="A5" s="7" t="s">
        <v>335</v>
      </c>
      <c r="B5" t="s">
        <v>1022</v>
      </c>
      <c r="C5" s="250">
        <f>SUM(C9:C5000)</f>
        <v>42645983.779999986</v>
      </c>
      <c r="D5" s="230">
        <f>'Источник &gt;&gt;'!G82-'DATA 2'!C5</f>
        <v>0</v>
      </c>
      <c r="G5" s="251">
        <f>SUM(G9:G5000)</f>
        <v>201561262.52000001</v>
      </c>
      <c r="H5" s="251">
        <f>SUM(H9:H5000)</f>
        <v>6879.23</v>
      </c>
      <c r="I5" s="251">
        <f>SUM(I9:I5000)</f>
        <v>567010</v>
      </c>
      <c r="J5" s="251">
        <f>SUM(J9:J5000)</f>
        <v>1260546.5899999999</v>
      </c>
      <c r="K5" s="251">
        <f t="shared" ref="K5:L5" si="0">SUM(K9:K5000)</f>
        <v>180406.76</v>
      </c>
      <c r="L5" s="240">
        <f t="shared" si="0"/>
        <v>4420411.2300000004</v>
      </c>
      <c r="M5" s="240">
        <f t="shared" ref="M5:N5" si="1">SUM(M9:M5000)</f>
        <v>91300.51</v>
      </c>
      <c r="N5" s="240">
        <f t="shared" si="1"/>
        <v>-165441833.06</v>
      </c>
      <c r="O5" s="262">
        <f>SUM(O9:O5000)</f>
        <v>42645983.780000001</v>
      </c>
      <c r="P5" s="263">
        <f>'Источник &gt;&gt;'!G82-'DATA 2'!O5</f>
        <v>0</v>
      </c>
      <c r="T5" t="b">
        <f>O5=SUM(U5,W5,Y5,AA5,AC5,AH5,AE5,AG5)</f>
        <v>1</v>
      </c>
      <c r="U5" s="240">
        <f t="shared" ref="U5" si="2">SUM(U9:U5000)</f>
        <v>84376754.470000014</v>
      </c>
      <c r="V5" s="240"/>
      <c r="W5" s="240">
        <f t="shared" ref="W5" si="3">SUM(W9:W5000)</f>
        <v>6879.23</v>
      </c>
      <c r="X5" s="240"/>
      <c r="Y5" s="240">
        <f t="shared" ref="Y5" si="4">SUM(Y9:Y5000)</f>
        <v>567010</v>
      </c>
      <c r="Z5" s="240"/>
      <c r="AA5" s="240">
        <f t="shared" ref="AA5" si="5">SUM(AA9:AA5000)</f>
        <v>1091088.43</v>
      </c>
      <c r="AB5" s="240"/>
      <c r="AC5" s="240">
        <f t="shared" ref="AC5:AH5" si="6">SUM(AC9:AC5000)</f>
        <v>180405.96000000002</v>
      </c>
      <c r="AD5" s="240"/>
      <c r="AE5" s="240">
        <f t="shared" ref="AE5:AG5" si="7">SUM(AE9:AE5000)</f>
        <v>4241372.2300000004</v>
      </c>
      <c r="AF5" s="240"/>
      <c r="AG5" s="240">
        <f t="shared" si="7"/>
        <v>91300.5</v>
      </c>
      <c r="AH5" s="240">
        <f t="shared" si="6"/>
        <v>-47908827.039999999</v>
      </c>
      <c r="AI5" s="262">
        <f>SUM(AI9:AI5000)</f>
        <v>42645983.780000001</v>
      </c>
      <c r="AJ5" s="338">
        <f>SUM(AJ9:AJ5000)</f>
        <v>90554810.820000008</v>
      </c>
    </row>
    <row r="6" spans="1:37" x14ac:dyDescent="0.2">
      <c r="A6" s="35" t="s">
        <v>1016</v>
      </c>
      <c r="B6" s="35"/>
      <c r="C6" s="242"/>
      <c r="D6" s="252"/>
      <c r="E6" s="252"/>
      <c r="F6" s="252"/>
      <c r="G6" s="235">
        <f>GETPIVOTDATA("Итого",'Источник &gt;&gt;'!$A$1,"Сумма депозита","Positive")-'DATA 2'!G5-'DATA 2'!H5-'DATA 2'!I5-'DATA 2'!J5-'DATA 2'!K5-'DATA 2'!L5-'DATA 2'!M5</f>
        <v>-7.6688593253493309E-9</v>
      </c>
      <c r="H6" s="235"/>
      <c r="I6" s="235"/>
      <c r="J6" s="235"/>
      <c r="K6" s="235"/>
      <c r="L6" s="235"/>
      <c r="M6" s="235"/>
      <c r="N6" s="235">
        <f>GETPIVOTDATA("Итого",'Источник &gt;&gt;'!$A$1,"Сумма депозита","Negative")-'DATA 2'!N5</f>
        <v>0</v>
      </c>
      <c r="AI6" s="235">
        <f>'Источник &gt;&gt;'!G82-'DATA 2'!AI5</f>
        <v>0</v>
      </c>
      <c r="AJ6" s="227">
        <f>'AR Provision'!C15-'DATA 2'!AJ5</f>
        <v>0</v>
      </c>
    </row>
    <row r="7" spans="1:37" s="35" customFormat="1" x14ac:dyDescent="0.2">
      <c r="A7" s="47" t="s">
        <v>368</v>
      </c>
      <c r="B7" s="47"/>
      <c r="C7" s="231"/>
      <c r="D7" s="230"/>
      <c r="E7" s="230"/>
      <c r="F7" s="230"/>
      <c r="G7" s="242" t="s">
        <v>389</v>
      </c>
      <c r="H7" s="242"/>
      <c r="I7" s="242"/>
      <c r="J7" s="242"/>
      <c r="K7" s="242"/>
      <c r="L7" s="242"/>
      <c r="M7" s="242"/>
      <c r="N7" s="242"/>
      <c r="O7" s="242"/>
      <c r="U7" s="242" t="s">
        <v>390</v>
      </c>
      <c r="V7" s="242"/>
      <c r="W7" s="242"/>
      <c r="X7" s="242"/>
      <c r="Y7" s="242"/>
      <c r="Z7" s="242"/>
      <c r="AA7" s="242"/>
      <c r="AB7" s="242"/>
      <c r="AC7" s="242"/>
      <c r="AD7" s="242"/>
      <c r="AE7" s="242"/>
      <c r="AF7" s="242"/>
      <c r="AG7" s="242"/>
      <c r="AH7" s="242"/>
      <c r="AI7" s="242"/>
      <c r="AJ7" s="242"/>
    </row>
    <row r="8" spans="1:37" s="49" customFormat="1" ht="22.5" x14ac:dyDescent="0.2">
      <c r="A8" s="149" t="s">
        <v>3</v>
      </c>
      <c r="B8" s="7" t="s">
        <v>7</v>
      </c>
      <c r="C8" s="17" t="s">
        <v>1021</v>
      </c>
      <c r="D8" s="230"/>
      <c r="E8" s="230"/>
      <c r="F8" s="253"/>
      <c r="G8" s="243" t="s">
        <v>365</v>
      </c>
      <c r="H8" s="229" t="s">
        <v>351</v>
      </c>
      <c r="I8" s="229" t="s">
        <v>352</v>
      </c>
      <c r="J8" s="229" t="s">
        <v>353</v>
      </c>
      <c r="K8" s="229" t="s">
        <v>354</v>
      </c>
      <c r="L8" s="229" t="s">
        <v>355</v>
      </c>
      <c r="M8" s="229" t="s">
        <v>356</v>
      </c>
      <c r="N8" s="245" t="s">
        <v>385</v>
      </c>
      <c r="O8" s="245" t="s">
        <v>391</v>
      </c>
      <c r="P8" s="152" t="s">
        <v>831</v>
      </c>
      <c r="U8" s="243" t="s">
        <v>365</v>
      </c>
      <c r="V8" s="244" t="s">
        <v>388</v>
      </c>
      <c r="W8" s="245" t="s">
        <v>351</v>
      </c>
      <c r="X8" s="244" t="s">
        <v>388</v>
      </c>
      <c r="Y8" s="245" t="s">
        <v>352</v>
      </c>
      <c r="Z8" s="244" t="s">
        <v>388</v>
      </c>
      <c r="AA8" s="245" t="s">
        <v>353</v>
      </c>
      <c r="AB8" s="244" t="s">
        <v>388</v>
      </c>
      <c r="AC8" s="243" t="s">
        <v>354</v>
      </c>
      <c r="AD8" s="244" t="s">
        <v>388</v>
      </c>
      <c r="AE8" s="243" t="s">
        <v>355</v>
      </c>
      <c r="AF8" s="244" t="s">
        <v>388</v>
      </c>
      <c r="AG8" s="243" t="s">
        <v>356</v>
      </c>
      <c r="AH8" s="245" t="s">
        <v>387</v>
      </c>
      <c r="AI8" s="245" t="s">
        <v>1194</v>
      </c>
      <c r="AJ8" s="246" t="s">
        <v>828</v>
      </c>
      <c r="AK8" s="172" t="s">
        <v>831</v>
      </c>
    </row>
    <row r="9" spans="1:37" x14ac:dyDescent="0.2">
      <c r="A9" s="47" t="s">
        <v>33</v>
      </c>
      <c r="C9" s="231">
        <v>-34032</v>
      </c>
      <c r="G9" s="254">
        <f t="array" ref="G9">SUM(('Отчет по покупателям УТ'!$G$6:$G$5000='DATA 2'!G$8)*('Отчет по покупателям УТ'!$M$6:$M$5000='DATA 2'!$A9)*('Отчет по покупателям УТ'!$K$6:$K$5000))</f>
        <v>0</v>
      </c>
      <c r="H9" s="254">
        <f t="array" ref="H9">SUM(('Отчет по покупателям УТ'!$G$6:$G$5000='DATA 2'!H$8)*('Отчет по покупателям УТ'!$M$6:$M$5000='DATA 2'!$A9)*('Отчет по покупателям УТ'!$K$6:$K$5000))</f>
        <v>0</v>
      </c>
      <c r="I9" s="254">
        <f t="array" ref="I9">SUM(('Отчет по покупателям УТ'!$G$6:$G$5000='DATA 2'!I$8)*('Отчет по покупателям УТ'!$M$6:$M$5000='DATA 2'!$A9)*('Отчет по покупателям УТ'!$K$6:$K$5000))</f>
        <v>0</v>
      </c>
      <c r="J9" s="254">
        <f t="array" ref="J9">SUM(('Отчет по покупателям УТ'!$G$6:$G$5000='DATA 2'!J$8)*('Отчет по покупателям УТ'!$M$6:$M$5000='DATA 2'!$A9)*('Отчет по покупателям УТ'!$K$6:$K$5000))</f>
        <v>0</v>
      </c>
      <c r="K9" s="254">
        <f t="array" ref="K9">SUM(('Отчет по покупателям УТ'!$G$6:$G$5000='DATA 2'!K$8)*('Отчет по покупателям УТ'!$M$6:$M$5000='DATA 2'!$A9)*('Отчет по покупателям УТ'!$K$6:$K$5000))</f>
        <v>0</v>
      </c>
      <c r="L9" s="254">
        <f t="array" ref="L9">SUM(('Отчет по покупателям УТ'!$G$6:$G$5000='DATA 2'!L$8)*('Отчет по покупателям УТ'!$M$6:$M$5000='DATA 2'!$A9)*('Отчет по покупателям УТ'!$K$6:$K$5000))</f>
        <v>0</v>
      </c>
      <c r="M9" s="254">
        <f t="array" ref="M9">SUM(('Отчет по покупателям УТ'!$G$6:$G$5000='DATA 2'!M$8)*('Отчет по покупателям УТ'!$M$6:$M$5000='DATA 2'!$A9)*('Отчет по покупателям УТ'!$K$6:$K$5000))</f>
        <v>0</v>
      </c>
      <c r="N9" s="254">
        <f t="array" ref="N9">SUM(('Отчет по покупателям УТ'!$G$6:$G$5000='DATA 2'!N$8)*('Отчет по покупателям УТ'!$M$6:$M$5000='DATA 2'!$A9)*('Отчет по покупателям УТ'!$K$6:$K$5000))</f>
        <v>-34032</v>
      </c>
      <c r="O9" s="247">
        <f>SUM(G9:N9)</f>
        <v>-34032</v>
      </c>
      <c r="P9" s="9"/>
      <c r="T9" t="b">
        <f>O9=SUM(U9,W9,Y9,AA9,AC9,AH9,AE9,AG9)</f>
        <v>1</v>
      </c>
      <c r="U9" s="228">
        <f t="shared" ref="U9" si="8">IF(G9+V9&lt;0,0,G9+V9)</f>
        <v>0</v>
      </c>
      <c r="V9" s="228">
        <f>IF(L9+K9+J9+I9+H9+M9+N9&lt;0,L9+K9+J9+I9+H9+M9+N9,0)</f>
        <v>-34032</v>
      </c>
      <c r="W9" s="228">
        <f t="shared" ref="W9" si="9">IF(H9+X9&lt;0,0,H9+X9)</f>
        <v>0</v>
      </c>
      <c r="X9" s="228">
        <f>IF(L9+K9+J9+I9+M9+N9&lt;0,L9+K9+J9+I9+M9+N9,0)</f>
        <v>-34032</v>
      </c>
      <c r="Y9" s="228">
        <f t="shared" ref="Y9" si="10">IF(I9+Z9&lt;0,0,I9+Z9)</f>
        <v>0</v>
      </c>
      <c r="Z9" s="228">
        <f>IF(L9+K9+J9+M9+N9&lt;0,L9+K9+J9+M9+N9,0)</f>
        <v>-34032</v>
      </c>
      <c r="AA9" s="228">
        <f>IF(J9+AB9&lt;0,0,J9+AB9)</f>
        <v>0</v>
      </c>
      <c r="AB9" s="228">
        <f>IF(L9+K9+M9+N9&lt;0,L9+K9+M9+N9,0)</f>
        <v>-34032</v>
      </c>
      <c r="AC9" s="228">
        <f>IF(K9+AD9&lt;0,0,K9+AD9)</f>
        <v>0</v>
      </c>
      <c r="AD9" s="228">
        <f>IF(M9+L9+N9&lt;0,M9+L9+N9,0)</f>
        <v>-34032</v>
      </c>
      <c r="AE9" s="228">
        <f>IF(L9+AF9&lt;0,0,L9+AF9)</f>
        <v>0</v>
      </c>
      <c r="AF9" s="228">
        <f>IF(N9+M9&lt;0,N9+M9,0)</f>
        <v>-34032</v>
      </c>
      <c r="AG9" s="228">
        <f>IF(M9+N9&lt;0,0,M9+N9)</f>
        <v>0</v>
      </c>
      <c r="AH9" s="228">
        <f>IF(SUM(G9:N9)&lt;0,O9,0)</f>
        <v>-34032</v>
      </c>
      <c r="AI9" s="247">
        <f>SUM(AH9,AC9,AA9,Y9,W9,U9,AE9,AG9)</f>
        <v>-34032</v>
      </c>
      <c r="AJ9" s="248">
        <f>SUM(U9,W9,Y9,AA9,AC9,AE9,AG9)</f>
        <v>0</v>
      </c>
    </row>
    <row r="10" spans="1:37" x14ac:dyDescent="0.2">
      <c r="A10" s="47" t="s">
        <v>41</v>
      </c>
      <c r="C10" s="230">
        <v>-198121</v>
      </c>
      <c r="G10" s="254">
        <f t="array" ref="G10">SUM(('Отчет по покупателям УТ'!$G$6:$G$5000='DATA 2'!G$8)*('Отчет по покупателям УТ'!$M$6:$M$5000='DATA 2'!$A10)*('Отчет по покупателям УТ'!$K$6:$K$5000))</f>
        <v>0</v>
      </c>
      <c r="H10" s="254">
        <f t="array" ref="H10">SUM(('Отчет по покупателям УТ'!$G$6:$G$5000='DATA 2'!H$8)*('Отчет по покупателям УТ'!$M$6:$M$5000='DATA 2'!$A10)*('Отчет по покупателям УТ'!$K$6:$K$5000))</f>
        <v>0</v>
      </c>
      <c r="I10" s="254">
        <f t="array" ref="I10">SUM(('Отчет по покупателям УТ'!$G$6:$G$5000='DATA 2'!I$8)*('Отчет по покупателям УТ'!$M$6:$M$5000='DATA 2'!$A10)*('Отчет по покупателям УТ'!$K$6:$K$5000))</f>
        <v>0</v>
      </c>
      <c r="J10" s="254">
        <f t="array" ref="J10">SUM(('Отчет по покупателям УТ'!$G$6:$G$5000='DATA 2'!J$8)*('Отчет по покупателям УТ'!$M$6:$M$5000='DATA 2'!$A10)*('Отчет по покупателям УТ'!$K$6:$K$5000))</f>
        <v>0</v>
      </c>
      <c r="K10" s="254">
        <f t="array" ref="K10">SUM(('Отчет по покупателям УТ'!$G$6:$G$5000='DATA 2'!K$8)*('Отчет по покупателям УТ'!$M$6:$M$5000='DATA 2'!$A10)*('Отчет по покупателям УТ'!$K$6:$K$5000))</f>
        <v>0</v>
      </c>
      <c r="L10" s="254">
        <f t="array" ref="L10">SUM(('Отчет по покупателям УТ'!$G$6:$G$5000='DATA 2'!L$8)*('Отчет по покупателям УТ'!$M$6:$M$5000='DATA 2'!$A10)*('Отчет по покупателям УТ'!$K$6:$K$5000))</f>
        <v>0</v>
      </c>
      <c r="M10" s="254">
        <f t="array" ref="M10">SUM(('Отчет по покупателям УТ'!$G$6:$G$5000='DATA 2'!M$8)*('Отчет по покупателям УТ'!$M$6:$M$5000='DATA 2'!$A10)*('Отчет по покупателям УТ'!$K$6:$K$5000))</f>
        <v>0</v>
      </c>
      <c r="N10" s="254">
        <f t="array" ref="N10">SUM(('Отчет по покупателям УТ'!$G$6:$G$5000='DATA 2'!N$8)*('Отчет по покупателям УТ'!$M$6:$M$5000='DATA 2'!$A10)*('Отчет по покупателям УТ'!$K$6:$K$5000))</f>
        <v>-198121</v>
      </c>
      <c r="O10" s="247">
        <f t="shared" ref="O10:O73" si="11">SUM(G10:N10)</f>
        <v>-198121</v>
      </c>
      <c r="T10" s="9" t="b">
        <f t="shared" ref="T10:T73" si="12">O10=SUM(U10,W10,Y10,AA10,AC10,AH10,AE10,AG10)</f>
        <v>1</v>
      </c>
      <c r="U10" s="228">
        <f t="shared" ref="U10:U73" si="13">IF(G10+V10&lt;0,0,G10+V10)</f>
        <v>0</v>
      </c>
      <c r="V10" s="228">
        <f t="shared" ref="V10:V73" si="14">IF(L10+K10+J10+I10+H10+M10+N10&lt;0,L10+K10+J10+I10+H10+M10+N10,0)</f>
        <v>-198121</v>
      </c>
      <c r="W10" s="228">
        <f t="shared" ref="W10:W73" si="15">IF(H10+X10&lt;0,0,H10+X10)</f>
        <v>0</v>
      </c>
      <c r="X10" s="228">
        <f t="shared" ref="X10:X73" si="16">IF(L10+K10+J10+I10+M10+N10&lt;0,L10+K10+J10+I10+M10+N10,0)</f>
        <v>-198121</v>
      </c>
      <c r="Y10" s="228">
        <f t="shared" ref="Y10:Y73" si="17">IF(I10+Z10&lt;0,0,I10+Z10)</f>
        <v>0</v>
      </c>
      <c r="Z10" s="228">
        <f t="shared" ref="Z10:Z73" si="18">IF(L10+K10+J10+M10+N10&lt;0,L10+K10+J10+M10+N10,0)</f>
        <v>-198121</v>
      </c>
      <c r="AA10" s="228">
        <f t="shared" ref="AA10:AA73" si="19">IF(J10+AB10&lt;0,0,J10+AB10)</f>
        <v>0</v>
      </c>
      <c r="AB10" s="228">
        <f t="shared" ref="AB10:AB73" si="20">IF(L10+K10+M10+N10&lt;0,L10+K10+M10+N10,0)</f>
        <v>-198121</v>
      </c>
      <c r="AC10" s="228">
        <f t="shared" ref="AC10:AC73" si="21">IF(K10+AD10&lt;0,0,K10+AD10)</f>
        <v>0</v>
      </c>
      <c r="AD10" s="228">
        <f t="shared" ref="AD10:AD73" si="22">IF(M10+L10+N10&lt;0,M10+L10+N10,0)</f>
        <v>-198121</v>
      </c>
      <c r="AE10" s="228">
        <f t="shared" ref="AE10:AE73" si="23">IF(L10+AF10&lt;0,0,L10+AF10)</f>
        <v>0</v>
      </c>
      <c r="AF10" s="228">
        <f t="shared" ref="AF10:AF73" si="24">IF(N10+M10&lt;0,N10+M10,0)</f>
        <v>-198121</v>
      </c>
      <c r="AG10" s="228">
        <f t="shared" ref="AG10:AG73" si="25">IF(M10+N10&lt;0,0,M10+N10)</f>
        <v>0</v>
      </c>
      <c r="AH10" s="228">
        <f t="shared" ref="AH10:AH73" si="26">IF(SUM(G10:N10)&lt;0,O10,0)</f>
        <v>-198121</v>
      </c>
      <c r="AI10" s="247">
        <f t="shared" ref="AI10:AI73" si="27">SUM(AH10,AC10,AA10,Y10,W10,U10,AE10,AG10)</f>
        <v>-198121</v>
      </c>
      <c r="AJ10" s="248">
        <f t="shared" ref="AJ10:AJ73" si="28">SUM(U10,W10,Y10,AA10,AC10,AE10,AG10)</f>
        <v>0</v>
      </c>
    </row>
    <row r="11" spans="1:37" x14ac:dyDescent="0.2">
      <c r="A11" s="47" t="s">
        <v>44</v>
      </c>
      <c r="C11" s="230">
        <v>-700</v>
      </c>
      <c r="G11" s="254">
        <f t="array" ref="G11">SUM(('Отчет по покупателям УТ'!$G$6:$G$5000='DATA 2'!G$8)*('Отчет по покупателям УТ'!$M$6:$M$5000='DATA 2'!$A11)*('Отчет по покупателям УТ'!$K$6:$K$5000))</f>
        <v>0</v>
      </c>
      <c r="H11" s="254">
        <f t="array" ref="H11">SUM(('Отчет по покупателям УТ'!$G$6:$G$5000='DATA 2'!H$8)*('Отчет по покупателям УТ'!$M$6:$M$5000='DATA 2'!$A11)*('Отчет по покупателям УТ'!$K$6:$K$5000))</f>
        <v>0</v>
      </c>
      <c r="I11" s="254">
        <f t="array" ref="I11">SUM(('Отчет по покупателям УТ'!$G$6:$G$5000='DATA 2'!I$8)*('Отчет по покупателям УТ'!$M$6:$M$5000='DATA 2'!$A11)*('Отчет по покупателям УТ'!$K$6:$K$5000))</f>
        <v>0</v>
      </c>
      <c r="J11" s="254">
        <f t="array" ref="J11">SUM(('Отчет по покупателям УТ'!$G$6:$G$5000='DATA 2'!J$8)*('Отчет по покупателям УТ'!$M$6:$M$5000='DATA 2'!$A11)*('Отчет по покупателям УТ'!$K$6:$K$5000))</f>
        <v>0</v>
      </c>
      <c r="K11" s="254">
        <f t="array" ref="K11">SUM(('Отчет по покупателям УТ'!$G$6:$G$5000='DATA 2'!K$8)*('Отчет по покупателям УТ'!$M$6:$M$5000='DATA 2'!$A11)*('Отчет по покупателям УТ'!$K$6:$K$5000))</f>
        <v>0</v>
      </c>
      <c r="L11" s="254">
        <f t="array" ref="L11">SUM(('Отчет по покупателям УТ'!$G$6:$G$5000='DATA 2'!L$8)*('Отчет по покупателям УТ'!$M$6:$M$5000='DATA 2'!$A11)*('Отчет по покупателям УТ'!$K$6:$K$5000))</f>
        <v>0</v>
      </c>
      <c r="M11" s="254">
        <f t="array" ref="M11">SUM(('Отчет по покупателям УТ'!$G$6:$G$5000='DATA 2'!M$8)*('Отчет по покупателям УТ'!$M$6:$M$5000='DATA 2'!$A11)*('Отчет по покупателям УТ'!$K$6:$K$5000))</f>
        <v>0</v>
      </c>
      <c r="N11" s="254">
        <f t="array" ref="N11">SUM(('Отчет по покупателям УТ'!$G$6:$G$5000='DATA 2'!N$8)*('Отчет по покупателям УТ'!$M$6:$M$5000='DATA 2'!$A11)*('Отчет по покупателям УТ'!$K$6:$K$5000))</f>
        <v>-700</v>
      </c>
      <c r="O11" s="247">
        <f t="shared" si="11"/>
        <v>-700</v>
      </c>
      <c r="T11" s="9" t="b">
        <f t="shared" si="12"/>
        <v>1</v>
      </c>
      <c r="U11" s="228">
        <f t="shared" si="13"/>
        <v>0</v>
      </c>
      <c r="V11" s="228">
        <f t="shared" si="14"/>
        <v>-700</v>
      </c>
      <c r="W11" s="228">
        <f t="shared" si="15"/>
        <v>0</v>
      </c>
      <c r="X11" s="228">
        <f t="shared" si="16"/>
        <v>-700</v>
      </c>
      <c r="Y11" s="228">
        <f t="shared" si="17"/>
        <v>0</v>
      </c>
      <c r="Z11" s="228">
        <f t="shared" si="18"/>
        <v>-700</v>
      </c>
      <c r="AA11" s="228">
        <f t="shared" si="19"/>
        <v>0</v>
      </c>
      <c r="AB11" s="228">
        <f t="shared" si="20"/>
        <v>-700</v>
      </c>
      <c r="AC11" s="228">
        <f t="shared" si="21"/>
        <v>0</v>
      </c>
      <c r="AD11" s="228">
        <f t="shared" si="22"/>
        <v>-700</v>
      </c>
      <c r="AE11" s="228">
        <f t="shared" si="23"/>
        <v>0</v>
      </c>
      <c r="AF11" s="228">
        <f t="shared" si="24"/>
        <v>-700</v>
      </c>
      <c r="AG11" s="228">
        <f t="shared" si="25"/>
        <v>0</v>
      </c>
      <c r="AH11" s="228">
        <f t="shared" si="26"/>
        <v>-700</v>
      </c>
      <c r="AI11" s="247">
        <f t="shared" si="27"/>
        <v>-700</v>
      </c>
      <c r="AJ11" s="248">
        <f t="shared" si="28"/>
        <v>0</v>
      </c>
    </row>
    <row r="12" spans="1:37" x14ac:dyDescent="0.2">
      <c r="A12" s="47" t="s">
        <v>48</v>
      </c>
      <c r="C12" s="231">
        <v>811658.50999999989</v>
      </c>
      <c r="G12" s="254">
        <f t="array" ref="G12">SUM(('Отчет по покупателям УТ'!$G$6:$G$5000='DATA 2'!G$8)*('Отчет по покупателям УТ'!$M$6:$M$5000='DATA 2'!$A12)*('Отчет по покупателям УТ'!$K$6:$K$5000))</f>
        <v>0</v>
      </c>
      <c r="H12" s="254">
        <f t="array" ref="H12">SUM(('Отчет по покупателям УТ'!$G$6:$G$5000='DATA 2'!H$8)*('Отчет по покупателям УТ'!$M$6:$M$5000='DATA 2'!$A12)*('Отчет по покупателям УТ'!$K$6:$K$5000))</f>
        <v>0</v>
      </c>
      <c r="I12" s="254">
        <f t="array" ref="I12">SUM(('Отчет по покупателям УТ'!$G$6:$G$5000='DATA 2'!I$8)*('Отчет по покупателям УТ'!$M$6:$M$5000='DATA 2'!$A12)*('Отчет по покупателям УТ'!$K$6:$K$5000))</f>
        <v>560150</v>
      </c>
      <c r="J12" s="254">
        <f t="array" ref="J12">SUM(('Отчет по покупателям УТ'!$G$6:$G$5000='DATA 2'!J$8)*('Отчет по покупателям УТ'!$M$6:$M$5000='DATA 2'!$A12)*('Отчет по покупателям УТ'!$K$6:$K$5000))</f>
        <v>420966.67</v>
      </c>
      <c r="K12" s="254">
        <f t="array" ref="K12">SUM(('Отчет по покупателям УТ'!$G$6:$G$5000='DATA 2'!K$8)*('Отчет по покупателям УТ'!$M$6:$M$5000='DATA 2'!$A12)*('Отчет по покупателям УТ'!$K$6:$K$5000))</f>
        <v>0</v>
      </c>
      <c r="L12" s="254">
        <f t="array" ref="L12">SUM(('Отчет по покупателям УТ'!$G$6:$G$5000='DATA 2'!L$8)*('Отчет по покупателям УТ'!$M$6:$M$5000='DATA 2'!$A12)*('Отчет по покупателям УТ'!$K$6:$K$5000))</f>
        <v>0</v>
      </c>
      <c r="M12" s="254">
        <f t="array" ref="M12">SUM(('Отчет по покупателям УТ'!$G$6:$G$5000='DATA 2'!M$8)*('Отчет по покупателям УТ'!$M$6:$M$5000='DATA 2'!$A12)*('Отчет по покупателям УТ'!$K$6:$K$5000))</f>
        <v>0</v>
      </c>
      <c r="N12" s="254">
        <f t="array" ref="N12">SUM(('Отчет по покупателям УТ'!$G$6:$G$5000='DATA 2'!N$8)*('Отчет по покупателям УТ'!$M$6:$M$5000='DATA 2'!$A12)*('Отчет по покупателям УТ'!$K$6:$K$5000))</f>
        <v>-169458.16</v>
      </c>
      <c r="O12" s="247">
        <f t="shared" si="11"/>
        <v>811658.50999999989</v>
      </c>
      <c r="T12" s="9" t="b">
        <f t="shared" si="12"/>
        <v>1</v>
      </c>
      <c r="U12" s="228">
        <f t="shared" si="13"/>
        <v>0</v>
      </c>
      <c r="V12" s="228">
        <f t="shared" si="14"/>
        <v>0</v>
      </c>
      <c r="W12" s="228">
        <f t="shared" si="15"/>
        <v>0</v>
      </c>
      <c r="X12" s="228">
        <f t="shared" si="16"/>
        <v>0</v>
      </c>
      <c r="Y12" s="228">
        <f t="shared" si="17"/>
        <v>560150</v>
      </c>
      <c r="Z12" s="228">
        <f t="shared" si="18"/>
        <v>0</v>
      </c>
      <c r="AA12" s="228">
        <f t="shared" si="19"/>
        <v>251508.50999999998</v>
      </c>
      <c r="AB12" s="228">
        <f t="shared" si="20"/>
        <v>-169458.16</v>
      </c>
      <c r="AC12" s="228">
        <f t="shared" si="21"/>
        <v>0</v>
      </c>
      <c r="AD12" s="228">
        <f t="shared" si="22"/>
        <v>-169458.16</v>
      </c>
      <c r="AE12" s="228">
        <f t="shared" si="23"/>
        <v>0</v>
      </c>
      <c r="AF12" s="228">
        <f t="shared" si="24"/>
        <v>-169458.16</v>
      </c>
      <c r="AG12" s="228">
        <f t="shared" si="25"/>
        <v>0</v>
      </c>
      <c r="AH12" s="228">
        <f t="shared" si="26"/>
        <v>0</v>
      </c>
      <c r="AI12" s="247">
        <f t="shared" si="27"/>
        <v>811658.51</v>
      </c>
      <c r="AJ12" s="248">
        <f t="shared" si="28"/>
        <v>811658.51</v>
      </c>
    </row>
    <row r="13" spans="1:37" x14ac:dyDescent="0.2">
      <c r="A13" s="47" t="s">
        <v>54</v>
      </c>
      <c r="C13" s="230">
        <v>-30012.37</v>
      </c>
      <c r="G13" s="254">
        <f t="array" ref="G13">SUM(('Отчет по покупателям УТ'!$G$6:$G$5000='DATA 2'!G$8)*('Отчет по покупателям УТ'!$M$6:$M$5000='DATA 2'!$A13)*('Отчет по покупателям УТ'!$K$6:$K$5000))</f>
        <v>0</v>
      </c>
      <c r="H13" s="254">
        <f t="array" ref="H13">SUM(('Отчет по покупателям УТ'!$G$6:$G$5000='DATA 2'!H$8)*('Отчет по покупателям УТ'!$M$6:$M$5000='DATA 2'!$A13)*('Отчет по покупателям УТ'!$K$6:$K$5000))</f>
        <v>0</v>
      </c>
      <c r="I13" s="254">
        <f t="array" ref="I13">SUM(('Отчет по покупателям УТ'!$G$6:$G$5000='DATA 2'!I$8)*('Отчет по покупателям УТ'!$M$6:$M$5000='DATA 2'!$A13)*('Отчет по покупателям УТ'!$K$6:$K$5000))</f>
        <v>0</v>
      </c>
      <c r="J13" s="254">
        <f t="array" ref="J13">SUM(('Отчет по покупателям УТ'!$G$6:$G$5000='DATA 2'!J$8)*('Отчет по покупателям УТ'!$M$6:$M$5000='DATA 2'!$A13)*('Отчет по покупателям УТ'!$K$6:$K$5000))</f>
        <v>0</v>
      </c>
      <c r="K13" s="254">
        <f t="array" ref="K13">SUM(('Отчет по покупателям УТ'!$G$6:$G$5000='DATA 2'!K$8)*('Отчет по покупателям УТ'!$M$6:$M$5000='DATA 2'!$A13)*('Отчет по покупателям УТ'!$K$6:$K$5000))</f>
        <v>0</v>
      </c>
      <c r="L13" s="254">
        <f t="array" ref="L13">SUM(('Отчет по покупателям УТ'!$G$6:$G$5000='DATA 2'!L$8)*('Отчет по покупателям УТ'!$M$6:$M$5000='DATA 2'!$A13)*('Отчет по покупателям УТ'!$K$6:$K$5000))</f>
        <v>0</v>
      </c>
      <c r="M13" s="254">
        <f t="array" ref="M13">SUM(('Отчет по покупателям УТ'!$G$6:$G$5000='DATA 2'!M$8)*('Отчет по покупателям УТ'!$M$6:$M$5000='DATA 2'!$A13)*('Отчет по покупателям УТ'!$K$6:$K$5000))</f>
        <v>0</v>
      </c>
      <c r="N13" s="254">
        <f t="array" ref="N13">SUM(('Отчет по покупателям УТ'!$G$6:$G$5000='DATA 2'!N$8)*('Отчет по покупателям УТ'!$M$6:$M$5000='DATA 2'!$A13)*('Отчет по покупателям УТ'!$K$6:$K$5000))</f>
        <v>-30012.37</v>
      </c>
      <c r="O13" s="247">
        <f t="shared" si="11"/>
        <v>-30012.37</v>
      </c>
      <c r="T13" s="9" t="b">
        <f t="shared" si="12"/>
        <v>1</v>
      </c>
      <c r="U13" s="228">
        <f t="shared" si="13"/>
        <v>0</v>
      </c>
      <c r="V13" s="228">
        <f t="shared" si="14"/>
        <v>-30012.37</v>
      </c>
      <c r="W13" s="228">
        <f t="shared" si="15"/>
        <v>0</v>
      </c>
      <c r="X13" s="228">
        <f t="shared" si="16"/>
        <v>-30012.37</v>
      </c>
      <c r="Y13" s="228">
        <f t="shared" si="17"/>
        <v>0</v>
      </c>
      <c r="Z13" s="228">
        <f t="shared" si="18"/>
        <v>-30012.37</v>
      </c>
      <c r="AA13" s="228">
        <f t="shared" si="19"/>
        <v>0</v>
      </c>
      <c r="AB13" s="228">
        <f t="shared" si="20"/>
        <v>-30012.37</v>
      </c>
      <c r="AC13" s="228">
        <f t="shared" si="21"/>
        <v>0</v>
      </c>
      <c r="AD13" s="228">
        <f t="shared" si="22"/>
        <v>-30012.37</v>
      </c>
      <c r="AE13" s="228">
        <f t="shared" si="23"/>
        <v>0</v>
      </c>
      <c r="AF13" s="228">
        <f t="shared" si="24"/>
        <v>-30012.37</v>
      </c>
      <c r="AG13" s="228">
        <f t="shared" si="25"/>
        <v>0</v>
      </c>
      <c r="AH13" s="228">
        <f t="shared" si="26"/>
        <v>-30012.37</v>
      </c>
      <c r="AI13" s="247">
        <f t="shared" si="27"/>
        <v>-30012.37</v>
      </c>
      <c r="AJ13" s="248">
        <f t="shared" si="28"/>
        <v>0</v>
      </c>
    </row>
    <row r="14" spans="1:37" x14ac:dyDescent="0.2">
      <c r="A14" s="47" t="s">
        <v>60</v>
      </c>
      <c r="C14" s="230">
        <v>-3201565.86</v>
      </c>
      <c r="G14" s="254">
        <f t="array" ref="G14">SUM(('Отчет по покупателям УТ'!$G$6:$G$5000='DATA 2'!G$8)*('Отчет по покупателям УТ'!$M$6:$M$5000='DATA 2'!$A14)*('Отчет по покупателям УТ'!$K$6:$K$5000))</f>
        <v>0</v>
      </c>
      <c r="H14" s="254">
        <f t="array" ref="H14">SUM(('Отчет по покупателям УТ'!$G$6:$G$5000='DATA 2'!H$8)*('Отчет по покупателям УТ'!$M$6:$M$5000='DATA 2'!$A14)*('Отчет по покупателям УТ'!$K$6:$K$5000))</f>
        <v>0</v>
      </c>
      <c r="I14" s="254">
        <f t="array" ref="I14">SUM(('Отчет по покупателям УТ'!$G$6:$G$5000='DATA 2'!I$8)*('Отчет по покупателям УТ'!$M$6:$M$5000='DATA 2'!$A14)*('Отчет по покупателям УТ'!$K$6:$K$5000))</f>
        <v>0</v>
      </c>
      <c r="J14" s="254">
        <f t="array" ref="J14">SUM(('Отчет по покупателям УТ'!$G$6:$G$5000='DATA 2'!J$8)*('Отчет по покупателям УТ'!$M$6:$M$5000='DATA 2'!$A14)*('Отчет по покупателям УТ'!$K$6:$K$5000))</f>
        <v>0</v>
      </c>
      <c r="K14" s="254">
        <f t="array" ref="K14">SUM(('Отчет по покупателям УТ'!$G$6:$G$5000='DATA 2'!K$8)*('Отчет по покупателям УТ'!$M$6:$M$5000='DATA 2'!$A14)*('Отчет по покупателям УТ'!$K$6:$K$5000))</f>
        <v>0</v>
      </c>
      <c r="L14" s="254">
        <f t="array" ref="L14">SUM(('Отчет по покупателям УТ'!$G$6:$G$5000='DATA 2'!L$8)*('Отчет по покупателям УТ'!$M$6:$M$5000='DATA 2'!$A14)*('Отчет по покупателям УТ'!$K$6:$K$5000))</f>
        <v>0</v>
      </c>
      <c r="M14" s="254">
        <f t="array" ref="M14">SUM(('Отчет по покупателям УТ'!$G$6:$G$5000='DATA 2'!M$8)*('Отчет по покупателям УТ'!$M$6:$M$5000='DATA 2'!$A14)*('Отчет по покупателям УТ'!$K$6:$K$5000))</f>
        <v>0</v>
      </c>
      <c r="N14" s="254">
        <f t="array" ref="N14">SUM(('Отчет по покупателям УТ'!$G$6:$G$5000='DATA 2'!N$8)*('Отчет по покупателям УТ'!$M$6:$M$5000='DATA 2'!$A14)*('Отчет по покупателям УТ'!$K$6:$K$5000))</f>
        <v>-3201565.86</v>
      </c>
      <c r="O14" s="247">
        <f t="shared" si="11"/>
        <v>-3201565.86</v>
      </c>
      <c r="T14" s="9" t="b">
        <f t="shared" si="12"/>
        <v>1</v>
      </c>
      <c r="U14" s="228">
        <f t="shared" si="13"/>
        <v>0</v>
      </c>
      <c r="V14" s="228">
        <f t="shared" si="14"/>
        <v>-3201565.86</v>
      </c>
      <c r="W14" s="228">
        <f t="shared" si="15"/>
        <v>0</v>
      </c>
      <c r="X14" s="228">
        <f t="shared" si="16"/>
        <v>-3201565.86</v>
      </c>
      <c r="Y14" s="228">
        <f t="shared" si="17"/>
        <v>0</v>
      </c>
      <c r="Z14" s="228">
        <f t="shared" si="18"/>
        <v>-3201565.86</v>
      </c>
      <c r="AA14" s="228">
        <f t="shared" si="19"/>
        <v>0</v>
      </c>
      <c r="AB14" s="228">
        <f t="shared" si="20"/>
        <v>-3201565.86</v>
      </c>
      <c r="AC14" s="228">
        <f t="shared" si="21"/>
        <v>0</v>
      </c>
      <c r="AD14" s="228">
        <f t="shared" si="22"/>
        <v>-3201565.86</v>
      </c>
      <c r="AE14" s="228">
        <f t="shared" si="23"/>
        <v>0</v>
      </c>
      <c r="AF14" s="228">
        <f t="shared" si="24"/>
        <v>-3201565.86</v>
      </c>
      <c r="AG14" s="228">
        <f t="shared" si="25"/>
        <v>0</v>
      </c>
      <c r="AH14" s="228">
        <f t="shared" si="26"/>
        <v>-3201565.86</v>
      </c>
      <c r="AI14" s="247">
        <f t="shared" si="27"/>
        <v>-3201565.86</v>
      </c>
      <c r="AJ14" s="248">
        <f t="shared" si="28"/>
        <v>0</v>
      </c>
    </row>
    <row r="15" spans="1:37" x14ac:dyDescent="0.2">
      <c r="A15" s="47" t="s">
        <v>69</v>
      </c>
      <c r="C15" s="230">
        <v>13990165.92</v>
      </c>
      <c r="G15" s="254">
        <f t="array" ref="G15">SUM(('Отчет по покупателям УТ'!$G$6:$G$5000='DATA 2'!G$8)*('Отчет по покупателям УТ'!$M$6:$M$5000='DATA 2'!$A15)*('Отчет по покупателям УТ'!$K$6:$K$5000))</f>
        <v>9674477.8699999992</v>
      </c>
      <c r="H15" s="254">
        <f t="array" ref="H15">SUM(('Отчет по покупателям УТ'!$G$6:$G$5000='DATA 2'!H$8)*('Отчет по покупателям УТ'!$M$6:$M$5000='DATA 2'!$A15)*('Отчет по покупателям УТ'!$K$6:$K$5000))</f>
        <v>6879.23</v>
      </c>
      <c r="I15" s="254">
        <f t="array" ref="I15">SUM(('Отчет по покупателям УТ'!$G$6:$G$5000='DATA 2'!I$8)*('Отчет по покупателям УТ'!$M$6:$M$5000='DATA 2'!$A15)*('Отчет по покупателям УТ'!$K$6:$K$5000))</f>
        <v>6860</v>
      </c>
      <c r="J15" s="254">
        <f t="array" ref="J15">SUM(('Отчет по покупателям УТ'!$G$6:$G$5000='DATA 2'!J$8)*('Отчет по покупателям УТ'!$M$6:$M$5000='DATA 2'!$A15)*('Отчет по покупателям УТ'!$K$6:$K$5000))</f>
        <v>50930.5</v>
      </c>
      <c r="K15" s="254">
        <f t="array" ref="K15">SUM(('Отчет по покупателям УТ'!$G$6:$G$5000='DATA 2'!K$8)*('Отчет по покупателям УТ'!$M$6:$M$5000='DATA 2'!$A15)*('Отчет по покупателям УТ'!$K$6:$K$5000))</f>
        <v>12466</v>
      </c>
      <c r="L15" s="254">
        <f t="array" ref="L15">SUM(('Отчет по покупателям УТ'!$G$6:$G$5000='DATA 2'!L$8)*('Отчет по покупателям УТ'!$M$6:$M$5000='DATA 2'!$A15)*('Отчет по покупателям УТ'!$K$6:$K$5000))</f>
        <v>4247391.32</v>
      </c>
      <c r="M15" s="254">
        <f t="array" ref="M15">SUM(('Отчет по покупателям УТ'!$G$6:$G$5000='DATA 2'!M$8)*('Отчет по покупателям УТ'!$M$6:$M$5000='DATA 2'!$A15)*('Отчет по покупателям УТ'!$K$6:$K$5000))</f>
        <v>0</v>
      </c>
      <c r="N15" s="254">
        <f t="array" ref="N15">SUM(('Отчет по покупателям УТ'!$G$6:$G$5000='DATA 2'!N$8)*('Отчет по покупателям УТ'!$M$6:$M$5000='DATA 2'!$A15)*('Отчет по покупателям УТ'!$K$6:$K$5000))</f>
        <v>-8839</v>
      </c>
      <c r="O15" s="247">
        <f t="shared" si="11"/>
        <v>13990165.92</v>
      </c>
      <c r="T15" s="9" t="b">
        <f t="shared" si="12"/>
        <v>1</v>
      </c>
      <c r="U15" s="228">
        <f t="shared" si="13"/>
        <v>9674477.8699999992</v>
      </c>
      <c r="V15" s="228">
        <f>IF(L15+K15+J15+I15+H15+M15+N15&lt;0,L15+K15+J15+I15+H15+M15+N15,0)</f>
        <v>0</v>
      </c>
      <c r="W15" s="228">
        <f t="shared" si="15"/>
        <v>6879.23</v>
      </c>
      <c r="X15" s="228">
        <f t="shared" si="16"/>
        <v>0</v>
      </c>
      <c r="Y15" s="228">
        <f t="shared" si="17"/>
        <v>6860</v>
      </c>
      <c r="Z15" s="228">
        <f t="shared" si="18"/>
        <v>0</v>
      </c>
      <c r="AA15" s="228">
        <f t="shared" si="19"/>
        <v>50930.5</v>
      </c>
      <c r="AB15" s="228">
        <f t="shared" si="20"/>
        <v>0</v>
      </c>
      <c r="AC15" s="228">
        <f t="shared" si="21"/>
        <v>12466</v>
      </c>
      <c r="AD15" s="228">
        <f t="shared" si="22"/>
        <v>0</v>
      </c>
      <c r="AE15" s="228">
        <f t="shared" si="23"/>
        <v>4238552.32</v>
      </c>
      <c r="AF15" s="228">
        <f t="shared" si="24"/>
        <v>-8839</v>
      </c>
      <c r="AG15" s="228">
        <f t="shared" si="25"/>
        <v>0</v>
      </c>
      <c r="AH15" s="228">
        <f t="shared" si="26"/>
        <v>0</v>
      </c>
      <c r="AI15" s="247">
        <f t="shared" si="27"/>
        <v>13990165.92</v>
      </c>
      <c r="AJ15" s="248">
        <f>SUM(U15,W15,Y15,AA15,AC15,AE15,AG15)</f>
        <v>13990165.92</v>
      </c>
    </row>
    <row r="16" spans="1:37" x14ac:dyDescent="0.2">
      <c r="A16" s="47" t="s">
        <v>94</v>
      </c>
      <c r="C16" s="230">
        <v>-7495</v>
      </c>
      <c r="G16" s="254">
        <f t="array" ref="G16">SUM(('Отчет по покупателям УТ'!$G$6:$G$5000='DATA 2'!G$8)*('Отчет по покупателям УТ'!$M$6:$M$5000='DATA 2'!$A16)*('Отчет по покупателям УТ'!$K$6:$K$5000))</f>
        <v>0</v>
      </c>
      <c r="H16" s="254">
        <f t="array" ref="H16">SUM(('Отчет по покупателям УТ'!$G$6:$G$5000='DATA 2'!H$8)*('Отчет по покупателям УТ'!$M$6:$M$5000='DATA 2'!$A16)*('Отчет по покупателям УТ'!$K$6:$K$5000))</f>
        <v>0</v>
      </c>
      <c r="I16" s="254">
        <f t="array" ref="I16">SUM(('Отчет по покупателям УТ'!$G$6:$G$5000='DATA 2'!I$8)*('Отчет по покупателям УТ'!$M$6:$M$5000='DATA 2'!$A16)*('Отчет по покупателям УТ'!$K$6:$K$5000))</f>
        <v>0</v>
      </c>
      <c r="J16" s="254">
        <f t="array" ref="J16">SUM(('Отчет по покупателям УТ'!$G$6:$G$5000='DATA 2'!J$8)*('Отчет по покупателям УТ'!$M$6:$M$5000='DATA 2'!$A16)*('Отчет по покупателям УТ'!$K$6:$K$5000))</f>
        <v>0</v>
      </c>
      <c r="K16" s="254">
        <f t="array" ref="K16">SUM(('Отчет по покупателям УТ'!$G$6:$G$5000='DATA 2'!K$8)*('Отчет по покупателям УТ'!$M$6:$M$5000='DATA 2'!$A16)*('Отчет по покупателям УТ'!$K$6:$K$5000))</f>
        <v>0</v>
      </c>
      <c r="L16" s="254">
        <f t="array" ref="L16">SUM(('Отчет по покупателям УТ'!$G$6:$G$5000='DATA 2'!L$8)*('Отчет по покупателям УТ'!$M$6:$M$5000='DATA 2'!$A16)*('Отчет по покупателям УТ'!$K$6:$K$5000))</f>
        <v>0</v>
      </c>
      <c r="M16" s="254">
        <f t="array" ref="M16">SUM(('Отчет по покупателям УТ'!$G$6:$G$5000='DATA 2'!M$8)*('Отчет по покупателям УТ'!$M$6:$M$5000='DATA 2'!$A16)*('Отчет по покупателям УТ'!$K$6:$K$5000))</f>
        <v>0</v>
      </c>
      <c r="N16" s="254">
        <f t="array" ref="N16">SUM(('Отчет по покупателям УТ'!$G$6:$G$5000='DATA 2'!N$8)*('Отчет по покупателям УТ'!$M$6:$M$5000='DATA 2'!$A16)*('Отчет по покупателям УТ'!$K$6:$K$5000))</f>
        <v>-7495</v>
      </c>
      <c r="O16" s="247">
        <f t="shared" si="11"/>
        <v>-7495</v>
      </c>
      <c r="T16" s="9" t="b">
        <f t="shared" si="12"/>
        <v>1</v>
      </c>
      <c r="U16" s="228">
        <f t="shared" si="13"/>
        <v>0</v>
      </c>
      <c r="V16" s="228">
        <f t="shared" si="14"/>
        <v>-7495</v>
      </c>
      <c r="W16" s="228">
        <f t="shared" si="15"/>
        <v>0</v>
      </c>
      <c r="X16" s="228">
        <f t="shared" si="16"/>
        <v>-7495</v>
      </c>
      <c r="Y16" s="228">
        <f t="shared" si="17"/>
        <v>0</v>
      </c>
      <c r="Z16" s="228">
        <f t="shared" si="18"/>
        <v>-7495</v>
      </c>
      <c r="AA16" s="228">
        <f t="shared" si="19"/>
        <v>0</v>
      </c>
      <c r="AB16" s="228">
        <f t="shared" si="20"/>
        <v>-7495</v>
      </c>
      <c r="AC16" s="228">
        <f t="shared" si="21"/>
        <v>0</v>
      </c>
      <c r="AD16" s="228">
        <f t="shared" si="22"/>
        <v>-7495</v>
      </c>
      <c r="AE16" s="228">
        <f t="shared" si="23"/>
        <v>0</v>
      </c>
      <c r="AF16" s="228">
        <f t="shared" si="24"/>
        <v>-7495</v>
      </c>
      <c r="AG16" s="228">
        <f t="shared" si="25"/>
        <v>0</v>
      </c>
      <c r="AH16" s="228">
        <f t="shared" si="26"/>
        <v>-7495</v>
      </c>
      <c r="AI16" s="247">
        <f t="shared" si="27"/>
        <v>-7495</v>
      </c>
      <c r="AJ16" s="248">
        <f t="shared" si="28"/>
        <v>0</v>
      </c>
    </row>
    <row r="17" spans="1:36" x14ac:dyDescent="0.2">
      <c r="A17" s="47" t="s">
        <v>98</v>
      </c>
      <c r="C17" s="230">
        <v>-19615479.080000002</v>
      </c>
      <c r="G17" s="254">
        <f t="array" ref="G17">SUM(('Отчет по покупателям УТ'!$G$6:$G$5000='DATA 2'!G$8)*('Отчет по покупателям УТ'!$M$6:$M$5000='DATA 2'!$A17)*('Отчет по покупателям УТ'!$K$6:$K$5000))</f>
        <v>0</v>
      </c>
      <c r="H17" s="254">
        <f t="array" ref="H17">SUM(('Отчет по покупателям УТ'!$G$6:$G$5000='DATA 2'!H$8)*('Отчет по покупателям УТ'!$M$6:$M$5000='DATA 2'!$A17)*('Отчет по покупателям УТ'!$K$6:$K$5000))</f>
        <v>0</v>
      </c>
      <c r="I17" s="254">
        <f t="array" ref="I17">SUM(('Отчет по покупателям УТ'!$G$6:$G$5000='DATA 2'!I$8)*('Отчет по покупателям УТ'!$M$6:$M$5000='DATA 2'!$A17)*('Отчет по покупателям УТ'!$K$6:$K$5000))</f>
        <v>0</v>
      </c>
      <c r="J17" s="254">
        <f t="array" ref="J17">SUM(('Отчет по покупателям УТ'!$G$6:$G$5000='DATA 2'!J$8)*('Отчет по покупателям УТ'!$M$6:$M$5000='DATA 2'!$A17)*('Отчет по покупателям УТ'!$K$6:$K$5000))</f>
        <v>0</v>
      </c>
      <c r="K17" s="254">
        <f t="array" ref="K17">SUM(('Отчет по покупателям УТ'!$G$6:$G$5000='DATA 2'!K$8)*('Отчет по покупателям УТ'!$M$6:$M$5000='DATA 2'!$A17)*('Отчет по покупателям УТ'!$K$6:$K$5000))</f>
        <v>0</v>
      </c>
      <c r="L17" s="254">
        <f t="array" ref="L17">SUM(('Отчет по покупателям УТ'!$G$6:$G$5000='DATA 2'!L$8)*('Отчет по покупателям УТ'!$M$6:$M$5000='DATA 2'!$A17)*('Отчет по покупателям УТ'!$K$6:$K$5000))</f>
        <v>0</v>
      </c>
      <c r="M17" s="254">
        <f t="array" ref="M17">SUM(('Отчет по покупателям УТ'!$G$6:$G$5000='DATA 2'!M$8)*('Отчет по покупателям УТ'!$M$6:$M$5000='DATA 2'!$A17)*('Отчет по покупателям УТ'!$K$6:$K$5000))</f>
        <v>0</v>
      </c>
      <c r="N17" s="254">
        <f t="array" ref="N17">SUM(('Отчет по покупателям УТ'!$G$6:$G$5000='DATA 2'!N$8)*('Отчет по покупателям УТ'!$M$6:$M$5000='DATA 2'!$A17)*('Отчет по покупателям УТ'!$K$6:$K$5000))</f>
        <v>-19615479.080000002</v>
      </c>
      <c r="O17" s="247">
        <f t="shared" si="11"/>
        <v>-19615479.080000002</v>
      </c>
      <c r="T17" s="9" t="b">
        <f t="shared" si="12"/>
        <v>1</v>
      </c>
      <c r="U17" s="228">
        <f t="shared" si="13"/>
        <v>0</v>
      </c>
      <c r="V17" s="228">
        <f t="shared" si="14"/>
        <v>-19615479.080000002</v>
      </c>
      <c r="W17" s="228">
        <f t="shared" si="15"/>
        <v>0</v>
      </c>
      <c r="X17" s="228">
        <f t="shared" si="16"/>
        <v>-19615479.080000002</v>
      </c>
      <c r="Y17" s="228">
        <f t="shared" si="17"/>
        <v>0</v>
      </c>
      <c r="Z17" s="228">
        <f t="shared" si="18"/>
        <v>-19615479.080000002</v>
      </c>
      <c r="AA17" s="228">
        <f t="shared" si="19"/>
        <v>0</v>
      </c>
      <c r="AB17" s="228">
        <f t="shared" si="20"/>
        <v>-19615479.080000002</v>
      </c>
      <c r="AC17" s="228">
        <f t="shared" si="21"/>
        <v>0</v>
      </c>
      <c r="AD17" s="228">
        <f t="shared" si="22"/>
        <v>-19615479.080000002</v>
      </c>
      <c r="AE17" s="228">
        <f t="shared" si="23"/>
        <v>0</v>
      </c>
      <c r="AF17" s="228">
        <f t="shared" si="24"/>
        <v>-19615479.080000002</v>
      </c>
      <c r="AG17" s="228">
        <f t="shared" si="25"/>
        <v>0</v>
      </c>
      <c r="AH17" s="228">
        <f t="shared" si="26"/>
        <v>-19615479.080000002</v>
      </c>
      <c r="AI17" s="247">
        <f t="shared" si="27"/>
        <v>-19615479.080000002</v>
      </c>
      <c r="AJ17" s="248">
        <f t="shared" si="28"/>
        <v>0</v>
      </c>
    </row>
    <row r="18" spans="1:36" x14ac:dyDescent="0.2">
      <c r="A18" s="47" t="s">
        <v>99</v>
      </c>
      <c r="C18" s="230">
        <v>-4183273.7599999993</v>
      </c>
      <c r="G18" s="254">
        <f t="array" ref="G18">SUM(('Отчет по покупателям УТ'!$G$6:$G$5000='DATA 2'!G$8)*('Отчет по покупателям УТ'!$M$6:$M$5000='DATA 2'!$A18)*('Отчет по покупателям УТ'!$K$6:$K$5000))</f>
        <v>7367617.5999999996</v>
      </c>
      <c r="H18" s="254">
        <f t="array" ref="H18">SUM(('Отчет по покупателям УТ'!$G$6:$G$5000='DATA 2'!H$8)*('Отчет по покупателям УТ'!$M$6:$M$5000='DATA 2'!$A18)*('Отчет по покупателям УТ'!$K$6:$K$5000))</f>
        <v>0</v>
      </c>
      <c r="I18" s="254">
        <f t="array" ref="I18">SUM(('Отчет по покупателям УТ'!$G$6:$G$5000='DATA 2'!I$8)*('Отчет по покупателям УТ'!$M$6:$M$5000='DATA 2'!$A18)*('Отчет по покупателям УТ'!$K$6:$K$5000))</f>
        <v>0</v>
      </c>
      <c r="J18" s="254">
        <f t="array" ref="J18">SUM(('Отчет по покупателям УТ'!$G$6:$G$5000='DATA 2'!J$8)*('Отчет по покупателям УТ'!$M$6:$M$5000='DATA 2'!$A18)*('Отчет по покупателям УТ'!$K$6:$K$5000))</f>
        <v>0</v>
      </c>
      <c r="K18" s="254">
        <f t="array" ref="K18">SUM(('Отчет по покупателям УТ'!$G$6:$G$5000='DATA 2'!K$8)*('Отчет по покупателям УТ'!$M$6:$M$5000='DATA 2'!$A18)*('Отчет по покупателям УТ'!$K$6:$K$5000))</f>
        <v>0</v>
      </c>
      <c r="L18" s="254">
        <f t="array" ref="L18">SUM(('Отчет по покупателям УТ'!$G$6:$G$5000='DATA 2'!L$8)*('Отчет по покупателям УТ'!$M$6:$M$5000='DATA 2'!$A18)*('Отчет по покупателям УТ'!$K$6:$K$5000))</f>
        <v>170200</v>
      </c>
      <c r="M18" s="254">
        <f t="array" ref="M18">SUM(('Отчет по покупателям УТ'!$G$6:$G$5000='DATA 2'!M$8)*('Отчет по покупателям УТ'!$M$6:$M$5000='DATA 2'!$A18)*('Отчет по покупателям УТ'!$K$6:$K$5000))</f>
        <v>0</v>
      </c>
      <c r="N18" s="254">
        <f t="array" ref="N18">SUM(('Отчет по покупателям УТ'!$G$6:$G$5000='DATA 2'!N$8)*('Отчет по покупателям УТ'!$M$6:$M$5000='DATA 2'!$A18)*('Отчет по покупателям УТ'!$K$6:$K$5000))</f>
        <v>-11721091.359999999</v>
      </c>
      <c r="O18" s="247">
        <f t="shared" si="11"/>
        <v>-4183273.76</v>
      </c>
      <c r="T18" s="9" t="b">
        <f>O18=SUM(U18,W18,Y18,AA18,AC18,AH18,AE18,AG18)</f>
        <v>1</v>
      </c>
      <c r="U18" s="228">
        <f t="shared" si="13"/>
        <v>0</v>
      </c>
      <c r="V18" s="228">
        <f t="shared" si="14"/>
        <v>-11550891.359999999</v>
      </c>
      <c r="W18" s="228">
        <f t="shared" si="15"/>
        <v>0</v>
      </c>
      <c r="X18" s="228">
        <f t="shared" si="16"/>
        <v>-11550891.359999999</v>
      </c>
      <c r="Y18" s="228">
        <f t="shared" si="17"/>
        <v>0</v>
      </c>
      <c r="Z18" s="228">
        <f t="shared" si="18"/>
        <v>-11550891.359999999</v>
      </c>
      <c r="AA18" s="228">
        <f t="shared" si="19"/>
        <v>0</v>
      </c>
      <c r="AB18" s="228">
        <f t="shared" si="20"/>
        <v>-11550891.359999999</v>
      </c>
      <c r="AC18" s="228">
        <f t="shared" si="21"/>
        <v>0</v>
      </c>
      <c r="AD18" s="228">
        <f t="shared" si="22"/>
        <v>-11550891.359999999</v>
      </c>
      <c r="AE18" s="228">
        <f t="shared" si="23"/>
        <v>0</v>
      </c>
      <c r="AF18" s="228">
        <f t="shared" si="24"/>
        <v>-11721091.359999999</v>
      </c>
      <c r="AG18" s="228">
        <f t="shared" si="25"/>
        <v>0</v>
      </c>
      <c r="AH18" s="228">
        <f t="shared" si="26"/>
        <v>-4183273.76</v>
      </c>
      <c r="AI18" s="247">
        <f t="shared" si="27"/>
        <v>-4183273.76</v>
      </c>
      <c r="AJ18" s="248">
        <f t="shared" si="28"/>
        <v>0</v>
      </c>
    </row>
    <row r="19" spans="1:36" x14ac:dyDescent="0.2">
      <c r="A19" s="47" t="s">
        <v>103</v>
      </c>
      <c r="C19" s="230">
        <v>-860926.44</v>
      </c>
      <c r="G19" s="254">
        <f t="array" ref="G19">SUM(('Отчет по покупателям УТ'!$G$6:$G$5000='DATA 2'!G$8)*('Отчет по покупателям УТ'!$M$6:$M$5000='DATA 2'!$A19)*('Отчет по покупателям УТ'!$K$6:$K$5000))</f>
        <v>0</v>
      </c>
      <c r="H19" s="254">
        <f t="array" ref="H19">SUM(('Отчет по покупателям УТ'!$G$6:$G$5000='DATA 2'!H$8)*('Отчет по покупателям УТ'!$M$6:$M$5000='DATA 2'!$A19)*('Отчет по покупателям УТ'!$K$6:$K$5000))</f>
        <v>0</v>
      </c>
      <c r="I19" s="254">
        <f t="array" ref="I19">SUM(('Отчет по покупателям УТ'!$G$6:$G$5000='DATA 2'!I$8)*('Отчет по покупателям УТ'!$M$6:$M$5000='DATA 2'!$A19)*('Отчет по покупателям УТ'!$K$6:$K$5000))</f>
        <v>0</v>
      </c>
      <c r="J19" s="254">
        <f t="array" ref="J19">SUM(('Отчет по покупателям УТ'!$G$6:$G$5000='DATA 2'!J$8)*('Отчет по покупателям УТ'!$M$6:$M$5000='DATA 2'!$A19)*('Отчет по покупателям УТ'!$K$6:$K$5000))</f>
        <v>0</v>
      </c>
      <c r="K19" s="254">
        <f t="array" ref="K19">SUM(('Отчет по покупателям УТ'!$G$6:$G$5000='DATA 2'!K$8)*('Отчет по покупателям УТ'!$M$6:$M$5000='DATA 2'!$A19)*('Отчет по покупателям УТ'!$K$6:$K$5000))</f>
        <v>0</v>
      </c>
      <c r="L19" s="254">
        <f t="array" ref="L19">SUM(('Отчет по покупателям УТ'!$G$6:$G$5000='DATA 2'!L$8)*('Отчет по покупателям УТ'!$M$6:$M$5000='DATA 2'!$A19)*('Отчет по покупателям УТ'!$K$6:$K$5000))</f>
        <v>0</v>
      </c>
      <c r="M19" s="254">
        <f t="array" ref="M19">SUM(('Отчет по покупателям УТ'!$G$6:$G$5000='DATA 2'!M$8)*('Отчет по покупателям УТ'!$M$6:$M$5000='DATA 2'!$A19)*('Отчет по покупателям УТ'!$K$6:$K$5000))</f>
        <v>0</v>
      </c>
      <c r="N19" s="254">
        <f t="array" ref="N19">SUM(('Отчет по покупателям УТ'!$G$6:$G$5000='DATA 2'!N$8)*('Отчет по покупателям УТ'!$M$6:$M$5000='DATA 2'!$A19)*('Отчет по покупателям УТ'!$K$6:$K$5000))</f>
        <v>-860926.44</v>
      </c>
      <c r="O19" s="247">
        <f t="shared" si="11"/>
        <v>-860926.44</v>
      </c>
      <c r="T19" s="9" t="b">
        <f t="shared" si="12"/>
        <v>1</v>
      </c>
      <c r="U19" s="228">
        <f t="shared" si="13"/>
        <v>0</v>
      </c>
      <c r="V19" s="228">
        <f t="shared" si="14"/>
        <v>-860926.44</v>
      </c>
      <c r="W19" s="228">
        <f t="shared" si="15"/>
        <v>0</v>
      </c>
      <c r="X19" s="228">
        <f t="shared" si="16"/>
        <v>-860926.44</v>
      </c>
      <c r="Y19" s="228">
        <f t="shared" si="17"/>
        <v>0</v>
      </c>
      <c r="Z19" s="228">
        <f t="shared" si="18"/>
        <v>-860926.44</v>
      </c>
      <c r="AA19" s="228">
        <f t="shared" si="19"/>
        <v>0</v>
      </c>
      <c r="AB19" s="228">
        <f t="shared" si="20"/>
        <v>-860926.44</v>
      </c>
      <c r="AC19" s="228">
        <f t="shared" si="21"/>
        <v>0</v>
      </c>
      <c r="AD19" s="228">
        <f t="shared" si="22"/>
        <v>-860926.44</v>
      </c>
      <c r="AE19" s="228">
        <f t="shared" si="23"/>
        <v>0</v>
      </c>
      <c r="AF19" s="228">
        <f t="shared" si="24"/>
        <v>-860926.44</v>
      </c>
      <c r="AG19" s="228">
        <f t="shared" si="25"/>
        <v>0</v>
      </c>
      <c r="AH19" s="228">
        <f t="shared" si="26"/>
        <v>-860926.44</v>
      </c>
      <c r="AI19" s="247">
        <f t="shared" si="27"/>
        <v>-860926.44</v>
      </c>
      <c r="AJ19" s="248">
        <f t="shared" si="28"/>
        <v>0</v>
      </c>
    </row>
    <row r="20" spans="1:36" x14ac:dyDescent="0.2">
      <c r="A20" s="47" t="s">
        <v>105</v>
      </c>
      <c r="C20" s="230">
        <v>-86513</v>
      </c>
      <c r="G20" s="254">
        <f t="array" ref="G20">SUM(('Отчет по покупателям УТ'!$G$6:$G$5000='DATA 2'!G$8)*('Отчет по покупателям УТ'!$M$6:$M$5000='DATA 2'!$A20)*('Отчет по покупателям УТ'!$K$6:$K$5000))</f>
        <v>0</v>
      </c>
      <c r="H20" s="254">
        <f t="array" ref="H20">SUM(('Отчет по покупателям УТ'!$G$6:$G$5000='DATA 2'!H$8)*('Отчет по покупателям УТ'!$M$6:$M$5000='DATA 2'!$A20)*('Отчет по покупателям УТ'!$K$6:$K$5000))</f>
        <v>0</v>
      </c>
      <c r="I20" s="254">
        <f t="array" ref="I20">SUM(('Отчет по покупателям УТ'!$G$6:$G$5000='DATA 2'!I$8)*('Отчет по покупателям УТ'!$M$6:$M$5000='DATA 2'!$A20)*('Отчет по покупателям УТ'!$K$6:$K$5000))</f>
        <v>0</v>
      </c>
      <c r="J20" s="254">
        <f t="array" ref="J20">SUM(('Отчет по покупателям УТ'!$G$6:$G$5000='DATA 2'!J$8)*('Отчет по покупателям УТ'!$M$6:$M$5000='DATA 2'!$A20)*('Отчет по покупателям УТ'!$K$6:$K$5000))</f>
        <v>0</v>
      </c>
      <c r="K20" s="254">
        <f t="array" ref="K20">SUM(('Отчет по покупателям УТ'!$G$6:$G$5000='DATA 2'!K$8)*('Отчет по покупателям УТ'!$M$6:$M$5000='DATA 2'!$A20)*('Отчет по покупателям УТ'!$K$6:$K$5000))</f>
        <v>0</v>
      </c>
      <c r="L20" s="254">
        <f t="array" ref="L20">SUM(('Отчет по покупателям УТ'!$G$6:$G$5000='DATA 2'!L$8)*('Отчет по покупателям УТ'!$M$6:$M$5000='DATA 2'!$A20)*('Отчет по покупателям УТ'!$K$6:$K$5000))</f>
        <v>0</v>
      </c>
      <c r="M20" s="254">
        <f t="array" ref="M20">SUM(('Отчет по покупателям УТ'!$G$6:$G$5000='DATA 2'!M$8)*('Отчет по покупателям УТ'!$M$6:$M$5000='DATA 2'!$A20)*('Отчет по покупателям УТ'!$K$6:$K$5000))</f>
        <v>0</v>
      </c>
      <c r="N20" s="254">
        <f t="array" ref="N20">SUM(('Отчет по покупателям УТ'!$G$6:$G$5000='DATA 2'!N$8)*('Отчет по покупателям УТ'!$M$6:$M$5000='DATA 2'!$A20)*('Отчет по покупателям УТ'!$K$6:$K$5000))</f>
        <v>-86513</v>
      </c>
      <c r="O20" s="247">
        <f t="shared" si="11"/>
        <v>-86513</v>
      </c>
      <c r="T20" s="9" t="b">
        <f t="shared" si="12"/>
        <v>1</v>
      </c>
      <c r="U20" s="228">
        <f t="shared" si="13"/>
        <v>0</v>
      </c>
      <c r="V20" s="228">
        <f t="shared" si="14"/>
        <v>-86513</v>
      </c>
      <c r="W20" s="228">
        <f t="shared" si="15"/>
        <v>0</v>
      </c>
      <c r="X20" s="228">
        <f t="shared" si="16"/>
        <v>-86513</v>
      </c>
      <c r="Y20" s="228">
        <f t="shared" si="17"/>
        <v>0</v>
      </c>
      <c r="Z20" s="228">
        <f t="shared" si="18"/>
        <v>-86513</v>
      </c>
      <c r="AA20" s="228">
        <f t="shared" si="19"/>
        <v>0</v>
      </c>
      <c r="AB20" s="228">
        <f t="shared" si="20"/>
        <v>-86513</v>
      </c>
      <c r="AC20" s="228">
        <f t="shared" si="21"/>
        <v>0</v>
      </c>
      <c r="AD20" s="228">
        <f t="shared" si="22"/>
        <v>-86513</v>
      </c>
      <c r="AE20" s="228">
        <f t="shared" si="23"/>
        <v>0</v>
      </c>
      <c r="AF20" s="228">
        <f t="shared" si="24"/>
        <v>-86513</v>
      </c>
      <c r="AG20" s="228">
        <f t="shared" si="25"/>
        <v>0</v>
      </c>
      <c r="AH20" s="228">
        <f t="shared" si="26"/>
        <v>-86513</v>
      </c>
      <c r="AI20" s="247">
        <f t="shared" si="27"/>
        <v>-86513</v>
      </c>
      <c r="AJ20" s="248">
        <f t="shared" si="28"/>
        <v>0</v>
      </c>
    </row>
    <row r="21" spans="1:36" x14ac:dyDescent="0.2">
      <c r="A21" s="47" t="s">
        <v>106</v>
      </c>
      <c r="C21" s="230">
        <v>-819186</v>
      </c>
      <c r="G21" s="254">
        <f t="array" ref="G21">SUM(('Отчет по покупателям УТ'!$G$6:$G$5000='DATA 2'!G$8)*('Отчет по покупателям УТ'!$M$6:$M$5000='DATA 2'!$A21)*('Отчет по покупателям УТ'!$K$6:$K$5000))</f>
        <v>0</v>
      </c>
      <c r="H21" s="254">
        <f t="array" ref="H21">SUM(('Отчет по покупателям УТ'!$G$6:$G$5000='DATA 2'!H$8)*('Отчет по покупателям УТ'!$M$6:$M$5000='DATA 2'!$A21)*('Отчет по покупателям УТ'!$K$6:$K$5000))</f>
        <v>0</v>
      </c>
      <c r="I21" s="254">
        <f t="array" ref="I21">SUM(('Отчет по покупателям УТ'!$G$6:$G$5000='DATA 2'!I$8)*('Отчет по покупателям УТ'!$M$6:$M$5000='DATA 2'!$A21)*('Отчет по покупателям УТ'!$K$6:$K$5000))</f>
        <v>0</v>
      </c>
      <c r="J21" s="254">
        <f t="array" ref="J21">SUM(('Отчет по покупателям УТ'!$G$6:$G$5000='DATA 2'!J$8)*('Отчет по покупателям УТ'!$M$6:$M$5000='DATA 2'!$A21)*('Отчет по покупателям УТ'!$K$6:$K$5000))</f>
        <v>0</v>
      </c>
      <c r="K21" s="254">
        <f t="array" ref="K21">SUM(('Отчет по покупателям УТ'!$G$6:$G$5000='DATA 2'!K$8)*('Отчет по покупателям УТ'!$M$6:$M$5000='DATA 2'!$A21)*('Отчет по покупателям УТ'!$K$6:$K$5000))</f>
        <v>0</v>
      </c>
      <c r="L21" s="254">
        <f t="array" ref="L21">SUM(('Отчет по покупателям УТ'!$G$6:$G$5000='DATA 2'!L$8)*('Отчет по покупателям УТ'!$M$6:$M$5000='DATA 2'!$A21)*('Отчет по покупателям УТ'!$K$6:$K$5000))</f>
        <v>0</v>
      </c>
      <c r="M21" s="254">
        <f t="array" ref="M21">SUM(('Отчет по покупателям УТ'!$G$6:$G$5000='DATA 2'!M$8)*('Отчет по покупателям УТ'!$M$6:$M$5000='DATA 2'!$A21)*('Отчет по покупателям УТ'!$K$6:$K$5000))</f>
        <v>0</v>
      </c>
      <c r="N21" s="254">
        <f t="array" ref="N21">SUM(('Отчет по покупателям УТ'!$G$6:$G$5000='DATA 2'!N$8)*('Отчет по покупателям УТ'!$M$6:$M$5000='DATA 2'!$A21)*('Отчет по покупателям УТ'!$K$6:$K$5000))</f>
        <v>-819186</v>
      </c>
      <c r="O21" s="247">
        <f t="shared" si="11"/>
        <v>-819186</v>
      </c>
      <c r="T21" s="9" t="b">
        <f t="shared" si="12"/>
        <v>1</v>
      </c>
      <c r="U21" s="228">
        <f t="shared" si="13"/>
        <v>0</v>
      </c>
      <c r="V21" s="228">
        <f t="shared" si="14"/>
        <v>-819186</v>
      </c>
      <c r="W21" s="228">
        <f t="shared" si="15"/>
        <v>0</v>
      </c>
      <c r="X21" s="228">
        <f t="shared" si="16"/>
        <v>-819186</v>
      </c>
      <c r="Y21" s="228">
        <f t="shared" si="17"/>
        <v>0</v>
      </c>
      <c r="Z21" s="228">
        <f t="shared" si="18"/>
        <v>-819186</v>
      </c>
      <c r="AA21" s="228">
        <f t="shared" si="19"/>
        <v>0</v>
      </c>
      <c r="AB21" s="228">
        <f t="shared" si="20"/>
        <v>-819186</v>
      </c>
      <c r="AC21" s="228">
        <f t="shared" si="21"/>
        <v>0</v>
      </c>
      <c r="AD21" s="228">
        <f t="shared" si="22"/>
        <v>-819186</v>
      </c>
      <c r="AE21" s="228">
        <f t="shared" si="23"/>
        <v>0</v>
      </c>
      <c r="AF21" s="228">
        <f t="shared" si="24"/>
        <v>-819186</v>
      </c>
      <c r="AG21" s="228">
        <f t="shared" si="25"/>
        <v>0</v>
      </c>
      <c r="AH21" s="228">
        <f t="shared" si="26"/>
        <v>-819186</v>
      </c>
      <c r="AI21" s="247">
        <f t="shared" si="27"/>
        <v>-819186</v>
      </c>
      <c r="AJ21" s="248">
        <f t="shared" si="28"/>
        <v>0</v>
      </c>
    </row>
    <row r="22" spans="1:36" x14ac:dyDescent="0.2">
      <c r="A22" s="47" t="s">
        <v>109</v>
      </c>
      <c r="C22" s="230">
        <v>-11533.5</v>
      </c>
      <c r="G22" s="254">
        <f t="array" ref="G22">SUM(('Отчет по покупателям УТ'!$G$6:$G$5000='DATA 2'!G$8)*('Отчет по покупателям УТ'!$M$6:$M$5000='DATA 2'!$A22)*('Отчет по покупателям УТ'!$K$6:$K$5000))</f>
        <v>0</v>
      </c>
      <c r="H22" s="254">
        <f t="array" ref="H22">SUM(('Отчет по покупателям УТ'!$G$6:$G$5000='DATA 2'!H$8)*('Отчет по покупателям УТ'!$M$6:$M$5000='DATA 2'!$A22)*('Отчет по покупателям УТ'!$K$6:$K$5000))</f>
        <v>0</v>
      </c>
      <c r="I22" s="254">
        <f t="array" ref="I22">SUM(('Отчет по покупателям УТ'!$G$6:$G$5000='DATA 2'!I$8)*('Отчет по покупателям УТ'!$M$6:$M$5000='DATA 2'!$A22)*('Отчет по покупателям УТ'!$K$6:$K$5000))</f>
        <v>0</v>
      </c>
      <c r="J22" s="254">
        <f t="array" ref="J22">SUM(('Отчет по покупателям УТ'!$G$6:$G$5000='DATA 2'!J$8)*('Отчет по покупателям УТ'!$M$6:$M$5000='DATA 2'!$A22)*('Отчет по покупателям УТ'!$K$6:$K$5000))</f>
        <v>0</v>
      </c>
      <c r="K22" s="254">
        <f t="array" ref="K22">SUM(('Отчет по покупателям УТ'!$G$6:$G$5000='DATA 2'!K$8)*('Отчет по покупателям УТ'!$M$6:$M$5000='DATA 2'!$A22)*('Отчет по покупателям УТ'!$K$6:$K$5000))</f>
        <v>0</v>
      </c>
      <c r="L22" s="254">
        <f t="array" ref="L22">SUM(('Отчет по покупателям УТ'!$G$6:$G$5000='DATA 2'!L$8)*('Отчет по покупателям УТ'!$M$6:$M$5000='DATA 2'!$A22)*('Отчет по покупателям УТ'!$K$6:$K$5000))</f>
        <v>0</v>
      </c>
      <c r="M22" s="254">
        <f t="array" ref="M22">SUM(('Отчет по покупателям УТ'!$G$6:$G$5000='DATA 2'!M$8)*('Отчет по покупателям УТ'!$M$6:$M$5000='DATA 2'!$A22)*('Отчет по покупателям УТ'!$K$6:$K$5000))</f>
        <v>0</v>
      </c>
      <c r="N22" s="254">
        <f t="array" ref="N22">SUM(('Отчет по покупателям УТ'!$G$6:$G$5000='DATA 2'!N$8)*('Отчет по покупателям УТ'!$M$6:$M$5000='DATA 2'!$A22)*('Отчет по покупателям УТ'!$K$6:$K$5000))</f>
        <v>-11533.5</v>
      </c>
      <c r="O22" s="247">
        <f t="shared" si="11"/>
        <v>-11533.5</v>
      </c>
      <c r="T22" s="9" t="b">
        <f t="shared" si="12"/>
        <v>1</v>
      </c>
      <c r="U22" s="228">
        <f t="shared" si="13"/>
        <v>0</v>
      </c>
      <c r="V22" s="228">
        <f t="shared" si="14"/>
        <v>-11533.5</v>
      </c>
      <c r="W22" s="228">
        <f t="shared" si="15"/>
        <v>0</v>
      </c>
      <c r="X22" s="228">
        <f t="shared" si="16"/>
        <v>-11533.5</v>
      </c>
      <c r="Y22" s="228">
        <f t="shared" si="17"/>
        <v>0</v>
      </c>
      <c r="Z22" s="228">
        <f t="shared" si="18"/>
        <v>-11533.5</v>
      </c>
      <c r="AA22" s="228">
        <f t="shared" si="19"/>
        <v>0</v>
      </c>
      <c r="AB22" s="228">
        <f t="shared" si="20"/>
        <v>-11533.5</v>
      </c>
      <c r="AC22" s="228">
        <f t="shared" si="21"/>
        <v>0</v>
      </c>
      <c r="AD22" s="228">
        <f t="shared" si="22"/>
        <v>-11533.5</v>
      </c>
      <c r="AE22" s="228">
        <f t="shared" si="23"/>
        <v>0</v>
      </c>
      <c r="AF22" s="228">
        <f t="shared" si="24"/>
        <v>-11533.5</v>
      </c>
      <c r="AG22" s="228">
        <f t="shared" si="25"/>
        <v>0</v>
      </c>
      <c r="AH22" s="228">
        <f t="shared" si="26"/>
        <v>-11533.5</v>
      </c>
      <c r="AI22" s="247">
        <f t="shared" si="27"/>
        <v>-11533.5</v>
      </c>
      <c r="AJ22" s="248">
        <f t="shared" si="28"/>
        <v>0</v>
      </c>
    </row>
    <row r="23" spans="1:36" x14ac:dyDescent="0.2">
      <c r="A23" s="47" t="s">
        <v>111</v>
      </c>
      <c r="C23" s="230">
        <v>-166755.06</v>
      </c>
      <c r="G23" s="254">
        <f t="array" ref="G23">SUM(('Отчет по покупателям УТ'!$G$6:$G$5000='DATA 2'!G$8)*('Отчет по покупателям УТ'!$M$6:$M$5000='DATA 2'!$A23)*('Отчет по покупателям УТ'!$K$6:$K$5000))</f>
        <v>0</v>
      </c>
      <c r="H23" s="254">
        <f t="array" ref="H23">SUM(('Отчет по покупателям УТ'!$G$6:$G$5000='DATA 2'!H$8)*('Отчет по покупателям УТ'!$M$6:$M$5000='DATA 2'!$A23)*('Отчет по покупателям УТ'!$K$6:$K$5000))</f>
        <v>0</v>
      </c>
      <c r="I23" s="254">
        <f t="array" ref="I23">SUM(('Отчет по покупателям УТ'!$G$6:$G$5000='DATA 2'!I$8)*('Отчет по покупателям УТ'!$M$6:$M$5000='DATA 2'!$A23)*('Отчет по покупателям УТ'!$K$6:$K$5000))</f>
        <v>0</v>
      </c>
      <c r="J23" s="254">
        <f t="array" ref="J23">SUM(('Отчет по покупателям УТ'!$G$6:$G$5000='DATA 2'!J$8)*('Отчет по покупателям УТ'!$M$6:$M$5000='DATA 2'!$A23)*('Отчет по покупателям УТ'!$K$6:$K$5000))</f>
        <v>0</v>
      </c>
      <c r="K23" s="254">
        <f t="array" ref="K23">SUM(('Отчет по покупателям УТ'!$G$6:$G$5000='DATA 2'!K$8)*('Отчет по покупателям УТ'!$M$6:$M$5000='DATA 2'!$A23)*('Отчет по покупателям УТ'!$K$6:$K$5000))</f>
        <v>0</v>
      </c>
      <c r="L23" s="254">
        <f t="array" ref="L23">SUM(('Отчет по покупателям УТ'!$G$6:$G$5000='DATA 2'!L$8)*('Отчет по покупателям УТ'!$M$6:$M$5000='DATA 2'!$A23)*('Отчет по покупателям УТ'!$K$6:$K$5000))</f>
        <v>0</v>
      </c>
      <c r="M23" s="254">
        <f t="array" ref="M23">SUM(('Отчет по покупателям УТ'!$G$6:$G$5000='DATA 2'!M$8)*('Отчет по покупателям УТ'!$M$6:$M$5000='DATA 2'!$A23)*('Отчет по покупателям УТ'!$K$6:$K$5000))</f>
        <v>0</v>
      </c>
      <c r="N23" s="254">
        <f t="array" ref="N23">SUM(('Отчет по покупателям УТ'!$G$6:$G$5000='DATA 2'!N$8)*('Отчет по покупателям УТ'!$M$6:$M$5000='DATA 2'!$A23)*('Отчет по покупателям УТ'!$K$6:$K$5000))</f>
        <v>-166755.06</v>
      </c>
      <c r="O23" s="247">
        <f t="shared" si="11"/>
        <v>-166755.06</v>
      </c>
      <c r="T23" s="9" t="b">
        <f t="shared" si="12"/>
        <v>1</v>
      </c>
      <c r="U23" s="228">
        <f t="shared" si="13"/>
        <v>0</v>
      </c>
      <c r="V23" s="228">
        <f t="shared" si="14"/>
        <v>-166755.06</v>
      </c>
      <c r="W23" s="228">
        <f t="shared" si="15"/>
        <v>0</v>
      </c>
      <c r="X23" s="228">
        <f t="shared" si="16"/>
        <v>-166755.06</v>
      </c>
      <c r="Y23" s="228">
        <f t="shared" si="17"/>
        <v>0</v>
      </c>
      <c r="Z23" s="228">
        <f t="shared" si="18"/>
        <v>-166755.06</v>
      </c>
      <c r="AA23" s="228">
        <f t="shared" si="19"/>
        <v>0</v>
      </c>
      <c r="AB23" s="228">
        <f t="shared" si="20"/>
        <v>-166755.06</v>
      </c>
      <c r="AC23" s="228">
        <f t="shared" si="21"/>
        <v>0</v>
      </c>
      <c r="AD23" s="228">
        <f t="shared" si="22"/>
        <v>-166755.06</v>
      </c>
      <c r="AE23" s="228">
        <f t="shared" si="23"/>
        <v>0</v>
      </c>
      <c r="AF23" s="228">
        <f t="shared" si="24"/>
        <v>-166755.06</v>
      </c>
      <c r="AG23" s="228">
        <f t="shared" si="25"/>
        <v>0</v>
      </c>
      <c r="AH23" s="228">
        <f t="shared" si="26"/>
        <v>-166755.06</v>
      </c>
      <c r="AI23" s="247">
        <f t="shared" si="27"/>
        <v>-166755.06</v>
      </c>
      <c r="AJ23" s="248">
        <f t="shared" si="28"/>
        <v>0</v>
      </c>
    </row>
    <row r="24" spans="1:36" x14ac:dyDescent="0.2">
      <c r="A24" s="47" t="s">
        <v>114</v>
      </c>
      <c r="C24" s="230">
        <v>-36635.9</v>
      </c>
      <c r="G24" s="254">
        <f t="array" ref="G24">SUM(('Отчет по покупателям УТ'!$G$6:$G$5000='DATA 2'!G$8)*('Отчет по покупателям УТ'!$M$6:$M$5000='DATA 2'!$A24)*('Отчет по покупателям УТ'!$K$6:$K$5000))</f>
        <v>0</v>
      </c>
      <c r="H24" s="254">
        <f t="array" ref="H24">SUM(('Отчет по покупателям УТ'!$G$6:$G$5000='DATA 2'!H$8)*('Отчет по покупателям УТ'!$M$6:$M$5000='DATA 2'!$A24)*('Отчет по покупателям УТ'!$K$6:$K$5000))</f>
        <v>0</v>
      </c>
      <c r="I24" s="254">
        <f t="array" ref="I24">SUM(('Отчет по покупателям УТ'!$G$6:$G$5000='DATA 2'!I$8)*('Отчет по покупателям УТ'!$M$6:$M$5000='DATA 2'!$A24)*('Отчет по покупателям УТ'!$K$6:$K$5000))</f>
        <v>0</v>
      </c>
      <c r="J24" s="254">
        <f t="array" ref="J24">SUM(('Отчет по покупателям УТ'!$G$6:$G$5000='DATA 2'!J$8)*('Отчет по покупателям УТ'!$M$6:$M$5000='DATA 2'!$A24)*('Отчет по покупателям УТ'!$K$6:$K$5000))</f>
        <v>0</v>
      </c>
      <c r="K24" s="254">
        <f t="array" ref="K24">SUM(('Отчет по покупателям УТ'!$G$6:$G$5000='DATA 2'!K$8)*('Отчет по покупателям УТ'!$M$6:$M$5000='DATA 2'!$A24)*('Отчет по покупателям УТ'!$K$6:$K$5000))</f>
        <v>0</v>
      </c>
      <c r="L24" s="254">
        <f t="array" ref="L24">SUM(('Отчет по покупателям УТ'!$G$6:$G$5000='DATA 2'!L$8)*('Отчет по покупателям УТ'!$M$6:$M$5000='DATA 2'!$A24)*('Отчет по покупателям УТ'!$K$6:$K$5000))</f>
        <v>0</v>
      </c>
      <c r="M24" s="254">
        <f t="array" ref="M24">SUM(('Отчет по покупателям УТ'!$G$6:$G$5000='DATA 2'!M$8)*('Отчет по покупателям УТ'!$M$6:$M$5000='DATA 2'!$A24)*('Отчет по покупателям УТ'!$K$6:$K$5000))</f>
        <v>0</v>
      </c>
      <c r="N24" s="254">
        <f t="array" ref="N24">SUM(('Отчет по покупателям УТ'!$G$6:$G$5000='DATA 2'!N$8)*('Отчет по покупателям УТ'!$M$6:$M$5000='DATA 2'!$A24)*('Отчет по покупателям УТ'!$K$6:$K$5000))</f>
        <v>-36635.9</v>
      </c>
      <c r="O24" s="247">
        <f t="shared" si="11"/>
        <v>-36635.9</v>
      </c>
      <c r="T24" s="9" t="b">
        <f t="shared" si="12"/>
        <v>1</v>
      </c>
      <c r="U24" s="228">
        <f t="shared" si="13"/>
        <v>0</v>
      </c>
      <c r="V24" s="228">
        <f t="shared" si="14"/>
        <v>-36635.9</v>
      </c>
      <c r="W24" s="228">
        <f t="shared" si="15"/>
        <v>0</v>
      </c>
      <c r="X24" s="228">
        <f t="shared" si="16"/>
        <v>-36635.9</v>
      </c>
      <c r="Y24" s="228">
        <f t="shared" si="17"/>
        <v>0</v>
      </c>
      <c r="Z24" s="228">
        <f t="shared" si="18"/>
        <v>-36635.9</v>
      </c>
      <c r="AA24" s="228">
        <f t="shared" si="19"/>
        <v>0</v>
      </c>
      <c r="AB24" s="228">
        <f t="shared" si="20"/>
        <v>-36635.9</v>
      </c>
      <c r="AC24" s="228">
        <f t="shared" si="21"/>
        <v>0</v>
      </c>
      <c r="AD24" s="228">
        <f t="shared" si="22"/>
        <v>-36635.9</v>
      </c>
      <c r="AE24" s="228">
        <f t="shared" si="23"/>
        <v>0</v>
      </c>
      <c r="AF24" s="228">
        <f t="shared" si="24"/>
        <v>-36635.9</v>
      </c>
      <c r="AG24" s="228">
        <f t="shared" si="25"/>
        <v>0</v>
      </c>
      <c r="AH24" s="228">
        <f t="shared" si="26"/>
        <v>-36635.9</v>
      </c>
      <c r="AI24" s="247">
        <f t="shared" si="27"/>
        <v>-36635.9</v>
      </c>
      <c r="AJ24" s="248">
        <f t="shared" si="28"/>
        <v>0</v>
      </c>
    </row>
    <row r="25" spans="1:36" x14ac:dyDescent="0.2">
      <c r="A25" s="47" t="s">
        <v>116</v>
      </c>
      <c r="C25" s="230">
        <v>-229099.86</v>
      </c>
      <c r="G25" s="254">
        <f t="array" ref="G25">SUM(('Отчет по покупателям УТ'!$G$6:$G$5000='DATA 2'!G$8)*('Отчет по покупателям УТ'!$M$6:$M$5000='DATA 2'!$A25)*('Отчет по покупателям УТ'!$K$6:$K$5000))</f>
        <v>0</v>
      </c>
      <c r="H25" s="254">
        <f t="array" ref="H25">SUM(('Отчет по покупателям УТ'!$G$6:$G$5000='DATA 2'!H$8)*('Отчет по покупателям УТ'!$M$6:$M$5000='DATA 2'!$A25)*('Отчет по покупателям УТ'!$K$6:$K$5000))</f>
        <v>0</v>
      </c>
      <c r="I25" s="254">
        <f t="array" ref="I25">SUM(('Отчет по покупателям УТ'!$G$6:$G$5000='DATA 2'!I$8)*('Отчет по покупателям УТ'!$M$6:$M$5000='DATA 2'!$A25)*('Отчет по покупателям УТ'!$K$6:$K$5000))</f>
        <v>0</v>
      </c>
      <c r="J25" s="254">
        <f t="array" ref="J25">SUM(('Отчет по покупателям УТ'!$G$6:$G$5000='DATA 2'!J$8)*('Отчет по покупателям УТ'!$M$6:$M$5000='DATA 2'!$A25)*('Отчет по покупателям УТ'!$K$6:$K$5000))</f>
        <v>0</v>
      </c>
      <c r="K25" s="254">
        <f t="array" ref="K25">SUM(('Отчет по покупателям УТ'!$G$6:$G$5000='DATA 2'!K$8)*('Отчет по покупателям УТ'!$M$6:$M$5000='DATA 2'!$A25)*('Отчет по покупателям УТ'!$K$6:$K$5000))</f>
        <v>0</v>
      </c>
      <c r="L25" s="254">
        <f t="array" ref="L25">SUM(('Отчет по покупателям УТ'!$G$6:$G$5000='DATA 2'!L$8)*('Отчет по покупателям УТ'!$M$6:$M$5000='DATA 2'!$A25)*('Отчет по покупателям УТ'!$K$6:$K$5000))</f>
        <v>0</v>
      </c>
      <c r="M25" s="254">
        <f t="array" ref="M25">SUM(('Отчет по покупателям УТ'!$G$6:$G$5000='DATA 2'!M$8)*('Отчет по покупателям УТ'!$M$6:$M$5000='DATA 2'!$A25)*('Отчет по покупателям УТ'!$K$6:$K$5000))</f>
        <v>0</v>
      </c>
      <c r="N25" s="254">
        <f t="array" ref="N25">SUM(('Отчет по покупателям УТ'!$G$6:$G$5000='DATA 2'!N$8)*('Отчет по покупателям УТ'!$M$6:$M$5000='DATA 2'!$A25)*('Отчет по покупателям УТ'!$K$6:$K$5000))</f>
        <v>-229099.86</v>
      </c>
      <c r="O25" s="247">
        <f t="shared" si="11"/>
        <v>-229099.86</v>
      </c>
      <c r="T25" s="9" t="b">
        <f t="shared" si="12"/>
        <v>1</v>
      </c>
      <c r="U25" s="228">
        <f t="shared" si="13"/>
        <v>0</v>
      </c>
      <c r="V25" s="228">
        <f t="shared" si="14"/>
        <v>-229099.86</v>
      </c>
      <c r="W25" s="228">
        <f t="shared" si="15"/>
        <v>0</v>
      </c>
      <c r="X25" s="228">
        <f t="shared" si="16"/>
        <v>-229099.86</v>
      </c>
      <c r="Y25" s="228">
        <f t="shared" si="17"/>
        <v>0</v>
      </c>
      <c r="Z25" s="228">
        <f t="shared" si="18"/>
        <v>-229099.86</v>
      </c>
      <c r="AA25" s="228">
        <f t="shared" si="19"/>
        <v>0</v>
      </c>
      <c r="AB25" s="228">
        <f t="shared" si="20"/>
        <v>-229099.86</v>
      </c>
      <c r="AC25" s="228">
        <f t="shared" si="21"/>
        <v>0</v>
      </c>
      <c r="AD25" s="228">
        <f t="shared" si="22"/>
        <v>-229099.86</v>
      </c>
      <c r="AE25" s="228">
        <f t="shared" si="23"/>
        <v>0</v>
      </c>
      <c r="AF25" s="228">
        <f t="shared" si="24"/>
        <v>-229099.86</v>
      </c>
      <c r="AG25" s="228">
        <f t="shared" si="25"/>
        <v>0</v>
      </c>
      <c r="AH25" s="228">
        <f t="shared" si="26"/>
        <v>-229099.86</v>
      </c>
      <c r="AI25" s="247">
        <f t="shared" si="27"/>
        <v>-229099.86</v>
      </c>
      <c r="AJ25" s="248">
        <f t="shared" si="28"/>
        <v>0</v>
      </c>
    </row>
    <row r="26" spans="1:36" x14ac:dyDescent="0.2">
      <c r="A26" s="47" t="s">
        <v>117</v>
      </c>
      <c r="C26" s="230">
        <v>-1759.12</v>
      </c>
      <c r="G26" s="254">
        <f t="array" ref="G26">SUM(('Отчет по покупателям УТ'!$G$6:$G$5000='DATA 2'!G$8)*('Отчет по покупателям УТ'!$M$6:$M$5000='DATA 2'!$A26)*('Отчет по покупателям УТ'!$K$6:$K$5000))</f>
        <v>0</v>
      </c>
      <c r="H26" s="254">
        <f t="array" ref="H26">SUM(('Отчет по покупателям УТ'!$G$6:$G$5000='DATA 2'!H$8)*('Отчет по покупателям УТ'!$M$6:$M$5000='DATA 2'!$A26)*('Отчет по покупателям УТ'!$K$6:$K$5000))</f>
        <v>0</v>
      </c>
      <c r="I26" s="254">
        <f t="array" ref="I26">SUM(('Отчет по покупателям УТ'!$G$6:$G$5000='DATA 2'!I$8)*('Отчет по покупателям УТ'!$M$6:$M$5000='DATA 2'!$A26)*('Отчет по покупателям УТ'!$K$6:$K$5000))</f>
        <v>0</v>
      </c>
      <c r="J26" s="254">
        <f t="array" ref="J26">SUM(('Отчет по покупателям УТ'!$G$6:$G$5000='DATA 2'!J$8)*('Отчет по покупателям УТ'!$M$6:$M$5000='DATA 2'!$A26)*('Отчет по покупателям УТ'!$K$6:$K$5000))</f>
        <v>0</v>
      </c>
      <c r="K26" s="254">
        <f t="array" ref="K26">SUM(('Отчет по покупателям УТ'!$G$6:$G$5000='DATA 2'!K$8)*('Отчет по покупателям УТ'!$M$6:$M$5000='DATA 2'!$A26)*('Отчет по покупателям УТ'!$K$6:$K$5000))</f>
        <v>0</v>
      </c>
      <c r="L26" s="254">
        <f t="array" ref="L26">SUM(('Отчет по покупателям УТ'!$G$6:$G$5000='DATA 2'!L$8)*('Отчет по покупателям УТ'!$M$6:$M$5000='DATA 2'!$A26)*('Отчет по покупателям УТ'!$K$6:$K$5000))</f>
        <v>0</v>
      </c>
      <c r="M26" s="254">
        <f t="array" ref="M26">SUM(('Отчет по покупателям УТ'!$G$6:$G$5000='DATA 2'!M$8)*('Отчет по покупателям УТ'!$M$6:$M$5000='DATA 2'!$A26)*('Отчет по покупателям УТ'!$K$6:$K$5000))</f>
        <v>0</v>
      </c>
      <c r="N26" s="254">
        <f t="array" ref="N26">SUM(('Отчет по покупателям УТ'!$G$6:$G$5000='DATA 2'!N$8)*('Отчет по покупателям УТ'!$M$6:$M$5000='DATA 2'!$A26)*('Отчет по покупателям УТ'!$K$6:$K$5000))</f>
        <v>-1759.12</v>
      </c>
      <c r="O26" s="247">
        <f t="shared" si="11"/>
        <v>-1759.12</v>
      </c>
      <c r="T26" s="9" t="b">
        <f t="shared" si="12"/>
        <v>1</v>
      </c>
      <c r="U26" s="228">
        <f t="shared" si="13"/>
        <v>0</v>
      </c>
      <c r="V26" s="228">
        <f t="shared" si="14"/>
        <v>-1759.12</v>
      </c>
      <c r="W26" s="228">
        <f t="shared" si="15"/>
        <v>0</v>
      </c>
      <c r="X26" s="228">
        <f t="shared" si="16"/>
        <v>-1759.12</v>
      </c>
      <c r="Y26" s="228">
        <f t="shared" si="17"/>
        <v>0</v>
      </c>
      <c r="Z26" s="228">
        <f t="shared" si="18"/>
        <v>-1759.12</v>
      </c>
      <c r="AA26" s="228">
        <f t="shared" si="19"/>
        <v>0</v>
      </c>
      <c r="AB26" s="228">
        <f t="shared" si="20"/>
        <v>-1759.12</v>
      </c>
      <c r="AC26" s="228">
        <f t="shared" si="21"/>
        <v>0</v>
      </c>
      <c r="AD26" s="228">
        <f t="shared" si="22"/>
        <v>-1759.12</v>
      </c>
      <c r="AE26" s="228">
        <f t="shared" si="23"/>
        <v>0</v>
      </c>
      <c r="AF26" s="228">
        <f t="shared" si="24"/>
        <v>-1759.12</v>
      </c>
      <c r="AG26" s="228">
        <f t="shared" si="25"/>
        <v>0</v>
      </c>
      <c r="AH26" s="228">
        <f t="shared" si="26"/>
        <v>-1759.12</v>
      </c>
      <c r="AI26" s="247">
        <f t="shared" si="27"/>
        <v>-1759.12</v>
      </c>
      <c r="AJ26" s="248">
        <f t="shared" si="28"/>
        <v>0</v>
      </c>
    </row>
    <row r="27" spans="1:36" x14ac:dyDescent="0.2">
      <c r="A27" s="47" t="s">
        <v>119</v>
      </c>
      <c r="C27" s="230">
        <v>-50473</v>
      </c>
      <c r="G27" s="254">
        <f t="array" ref="G27">SUM(('Отчет по покупателям УТ'!$G$6:$G$5000='DATA 2'!G$8)*('Отчет по покупателям УТ'!$M$6:$M$5000='DATA 2'!$A27)*('Отчет по покупателям УТ'!$K$6:$K$5000))</f>
        <v>0</v>
      </c>
      <c r="H27" s="254">
        <f t="array" ref="H27">SUM(('Отчет по покупателям УТ'!$G$6:$G$5000='DATA 2'!H$8)*('Отчет по покупателям УТ'!$M$6:$M$5000='DATA 2'!$A27)*('Отчет по покупателям УТ'!$K$6:$K$5000))</f>
        <v>0</v>
      </c>
      <c r="I27" s="254">
        <f t="array" ref="I27">SUM(('Отчет по покупателям УТ'!$G$6:$G$5000='DATA 2'!I$8)*('Отчет по покупателям УТ'!$M$6:$M$5000='DATA 2'!$A27)*('Отчет по покупателям УТ'!$K$6:$K$5000))</f>
        <v>0</v>
      </c>
      <c r="J27" s="254">
        <f t="array" ref="J27">SUM(('Отчет по покупателям УТ'!$G$6:$G$5000='DATA 2'!J$8)*('Отчет по покупателям УТ'!$M$6:$M$5000='DATA 2'!$A27)*('Отчет по покупателям УТ'!$K$6:$K$5000))</f>
        <v>0</v>
      </c>
      <c r="K27" s="254">
        <f t="array" ref="K27">SUM(('Отчет по покупателям УТ'!$G$6:$G$5000='DATA 2'!K$8)*('Отчет по покупателям УТ'!$M$6:$M$5000='DATA 2'!$A27)*('Отчет по покупателям УТ'!$K$6:$K$5000))</f>
        <v>0</v>
      </c>
      <c r="L27" s="254">
        <f t="array" ref="L27">SUM(('Отчет по покупателям УТ'!$G$6:$G$5000='DATA 2'!L$8)*('Отчет по покупателям УТ'!$M$6:$M$5000='DATA 2'!$A27)*('Отчет по покупателям УТ'!$K$6:$K$5000))</f>
        <v>0</v>
      </c>
      <c r="M27" s="254">
        <f t="array" ref="M27">SUM(('Отчет по покупателям УТ'!$G$6:$G$5000='DATA 2'!M$8)*('Отчет по покупателям УТ'!$M$6:$M$5000='DATA 2'!$A27)*('Отчет по покупателям УТ'!$K$6:$K$5000))</f>
        <v>0</v>
      </c>
      <c r="N27" s="254">
        <f t="array" ref="N27">SUM(('Отчет по покупателям УТ'!$G$6:$G$5000='DATA 2'!N$8)*('Отчет по покупателям УТ'!$M$6:$M$5000='DATA 2'!$A27)*('Отчет по покупателям УТ'!$K$6:$K$5000))</f>
        <v>-50473</v>
      </c>
      <c r="O27" s="247">
        <f t="shared" si="11"/>
        <v>-50473</v>
      </c>
      <c r="T27" s="9" t="b">
        <f t="shared" si="12"/>
        <v>1</v>
      </c>
      <c r="U27" s="228">
        <f t="shared" si="13"/>
        <v>0</v>
      </c>
      <c r="V27" s="228">
        <f t="shared" si="14"/>
        <v>-50473</v>
      </c>
      <c r="W27" s="228">
        <f t="shared" si="15"/>
        <v>0</v>
      </c>
      <c r="X27" s="228">
        <f t="shared" si="16"/>
        <v>-50473</v>
      </c>
      <c r="Y27" s="228">
        <f t="shared" si="17"/>
        <v>0</v>
      </c>
      <c r="Z27" s="228">
        <f t="shared" si="18"/>
        <v>-50473</v>
      </c>
      <c r="AA27" s="228">
        <f t="shared" si="19"/>
        <v>0</v>
      </c>
      <c r="AB27" s="228">
        <f t="shared" si="20"/>
        <v>-50473</v>
      </c>
      <c r="AC27" s="228">
        <f t="shared" si="21"/>
        <v>0</v>
      </c>
      <c r="AD27" s="228">
        <f t="shared" si="22"/>
        <v>-50473</v>
      </c>
      <c r="AE27" s="228">
        <f t="shared" si="23"/>
        <v>0</v>
      </c>
      <c r="AF27" s="228">
        <f t="shared" si="24"/>
        <v>-50473</v>
      </c>
      <c r="AG27" s="228">
        <f t="shared" si="25"/>
        <v>0</v>
      </c>
      <c r="AH27" s="228">
        <f t="shared" si="26"/>
        <v>-50473</v>
      </c>
      <c r="AI27" s="247">
        <f t="shared" si="27"/>
        <v>-50473</v>
      </c>
      <c r="AJ27" s="248">
        <f t="shared" si="28"/>
        <v>0</v>
      </c>
    </row>
    <row r="28" spans="1:36" x14ac:dyDescent="0.2">
      <c r="A28" s="47" t="s">
        <v>120</v>
      </c>
      <c r="C28" s="230">
        <v>-82254</v>
      </c>
      <c r="G28" s="254">
        <f t="array" ref="G28">SUM(('Отчет по покупателям УТ'!$G$6:$G$5000='DATA 2'!G$8)*('Отчет по покупателям УТ'!$M$6:$M$5000='DATA 2'!$A28)*('Отчет по покупателям УТ'!$K$6:$K$5000))</f>
        <v>0</v>
      </c>
      <c r="H28" s="254">
        <f t="array" ref="H28">SUM(('Отчет по покупателям УТ'!$G$6:$G$5000='DATA 2'!H$8)*('Отчет по покупателям УТ'!$M$6:$M$5000='DATA 2'!$A28)*('Отчет по покупателям УТ'!$K$6:$K$5000))</f>
        <v>0</v>
      </c>
      <c r="I28" s="254">
        <f t="array" ref="I28">SUM(('Отчет по покупателям УТ'!$G$6:$G$5000='DATA 2'!I$8)*('Отчет по покупателям УТ'!$M$6:$M$5000='DATA 2'!$A28)*('Отчет по покупателям УТ'!$K$6:$K$5000))</f>
        <v>0</v>
      </c>
      <c r="J28" s="254">
        <f t="array" ref="J28">SUM(('Отчет по покупателям УТ'!$G$6:$G$5000='DATA 2'!J$8)*('Отчет по покупателям УТ'!$M$6:$M$5000='DATA 2'!$A28)*('Отчет по покупателям УТ'!$K$6:$K$5000))</f>
        <v>0</v>
      </c>
      <c r="K28" s="254">
        <f t="array" ref="K28">SUM(('Отчет по покупателям УТ'!$G$6:$G$5000='DATA 2'!K$8)*('Отчет по покупателям УТ'!$M$6:$M$5000='DATA 2'!$A28)*('Отчет по покупателям УТ'!$K$6:$K$5000))</f>
        <v>0</v>
      </c>
      <c r="L28" s="254">
        <f t="array" ref="L28">SUM(('Отчет по покупателям УТ'!$G$6:$G$5000='DATA 2'!L$8)*('Отчет по покупателям УТ'!$M$6:$M$5000='DATA 2'!$A28)*('Отчет по покупателям УТ'!$K$6:$K$5000))</f>
        <v>0</v>
      </c>
      <c r="M28" s="254">
        <f t="array" ref="M28">SUM(('Отчет по покупателям УТ'!$G$6:$G$5000='DATA 2'!M$8)*('Отчет по покупателям УТ'!$M$6:$M$5000='DATA 2'!$A28)*('Отчет по покупателям УТ'!$K$6:$K$5000))</f>
        <v>0</v>
      </c>
      <c r="N28" s="254">
        <f t="array" ref="N28">SUM(('Отчет по покупателям УТ'!$G$6:$G$5000='DATA 2'!N$8)*('Отчет по покупателям УТ'!$M$6:$M$5000='DATA 2'!$A28)*('Отчет по покупателям УТ'!$K$6:$K$5000))</f>
        <v>-82254</v>
      </c>
      <c r="O28" s="247">
        <f t="shared" si="11"/>
        <v>-82254</v>
      </c>
      <c r="T28" s="9" t="b">
        <f t="shared" si="12"/>
        <v>1</v>
      </c>
      <c r="U28" s="228">
        <f t="shared" si="13"/>
        <v>0</v>
      </c>
      <c r="V28" s="228">
        <f t="shared" si="14"/>
        <v>-82254</v>
      </c>
      <c r="W28" s="228">
        <f t="shared" si="15"/>
        <v>0</v>
      </c>
      <c r="X28" s="228">
        <f t="shared" si="16"/>
        <v>-82254</v>
      </c>
      <c r="Y28" s="228">
        <f t="shared" si="17"/>
        <v>0</v>
      </c>
      <c r="Z28" s="228">
        <f t="shared" si="18"/>
        <v>-82254</v>
      </c>
      <c r="AA28" s="228">
        <f t="shared" si="19"/>
        <v>0</v>
      </c>
      <c r="AB28" s="228">
        <f t="shared" si="20"/>
        <v>-82254</v>
      </c>
      <c r="AC28" s="228">
        <f t="shared" si="21"/>
        <v>0</v>
      </c>
      <c r="AD28" s="228">
        <f t="shared" si="22"/>
        <v>-82254</v>
      </c>
      <c r="AE28" s="228">
        <f t="shared" si="23"/>
        <v>0</v>
      </c>
      <c r="AF28" s="228">
        <f t="shared" si="24"/>
        <v>-82254</v>
      </c>
      <c r="AG28" s="228">
        <f t="shared" si="25"/>
        <v>0</v>
      </c>
      <c r="AH28" s="228">
        <f t="shared" si="26"/>
        <v>-82254</v>
      </c>
      <c r="AI28" s="247">
        <f t="shared" si="27"/>
        <v>-82254</v>
      </c>
      <c r="AJ28" s="248">
        <f t="shared" si="28"/>
        <v>0</v>
      </c>
    </row>
    <row r="29" spans="1:36" x14ac:dyDescent="0.2">
      <c r="A29" s="47" t="s">
        <v>121</v>
      </c>
      <c r="C29" s="230">
        <v>-57290.6</v>
      </c>
      <c r="G29" s="254">
        <f t="array" ref="G29">SUM(('Отчет по покупателям УТ'!$G$6:$G$5000='DATA 2'!G$8)*('Отчет по покупателям УТ'!$M$6:$M$5000='DATA 2'!$A29)*('Отчет по покупателям УТ'!$K$6:$K$5000))</f>
        <v>0</v>
      </c>
      <c r="H29" s="254">
        <f t="array" ref="H29">SUM(('Отчет по покупателям УТ'!$G$6:$G$5000='DATA 2'!H$8)*('Отчет по покупателям УТ'!$M$6:$M$5000='DATA 2'!$A29)*('Отчет по покупателям УТ'!$K$6:$K$5000))</f>
        <v>0</v>
      </c>
      <c r="I29" s="254">
        <f t="array" ref="I29">SUM(('Отчет по покупателям УТ'!$G$6:$G$5000='DATA 2'!I$8)*('Отчет по покупателям УТ'!$M$6:$M$5000='DATA 2'!$A29)*('Отчет по покупателям УТ'!$K$6:$K$5000))</f>
        <v>0</v>
      </c>
      <c r="J29" s="254">
        <f t="array" ref="J29">SUM(('Отчет по покупателям УТ'!$G$6:$G$5000='DATA 2'!J$8)*('Отчет по покупателям УТ'!$M$6:$M$5000='DATA 2'!$A29)*('Отчет по покупателям УТ'!$K$6:$K$5000))</f>
        <v>0</v>
      </c>
      <c r="K29" s="254">
        <f t="array" ref="K29">SUM(('Отчет по покупателям УТ'!$G$6:$G$5000='DATA 2'!K$8)*('Отчет по покупателям УТ'!$M$6:$M$5000='DATA 2'!$A29)*('Отчет по покупателям УТ'!$K$6:$K$5000))</f>
        <v>0</v>
      </c>
      <c r="L29" s="254">
        <f t="array" ref="L29">SUM(('Отчет по покупателям УТ'!$G$6:$G$5000='DATA 2'!L$8)*('Отчет по покупателям УТ'!$M$6:$M$5000='DATA 2'!$A29)*('Отчет по покупателям УТ'!$K$6:$K$5000))</f>
        <v>0</v>
      </c>
      <c r="M29" s="254">
        <f t="array" ref="M29">SUM(('Отчет по покупателям УТ'!$G$6:$G$5000='DATA 2'!M$8)*('Отчет по покупателям УТ'!$M$6:$M$5000='DATA 2'!$A29)*('Отчет по покупателям УТ'!$K$6:$K$5000))</f>
        <v>0</v>
      </c>
      <c r="N29" s="254">
        <f t="array" ref="N29">SUM(('Отчет по покупателям УТ'!$G$6:$G$5000='DATA 2'!N$8)*('Отчет по покупателям УТ'!$M$6:$M$5000='DATA 2'!$A29)*('Отчет по покупателям УТ'!$K$6:$K$5000))</f>
        <v>-57290.6</v>
      </c>
      <c r="O29" s="247">
        <f t="shared" si="11"/>
        <v>-57290.6</v>
      </c>
      <c r="T29" s="9" t="b">
        <f t="shared" si="12"/>
        <v>1</v>
      </c>
      <c r="U29" s="228">
        <f t="shared" si="13"/>
        <v>0</v>
      </c>
      <c r="V29" s="228">
        <f t="shared" si="14"/>
        <v>-57290.6</v>
      </c>
      <c r="W29" s="228">
        <f t="shared" si="15"/>
        <v>0</v>
      </c>
      <c r="X29" s="228">
        <f t="shared" si="16"/>
        <v>-57290.6</v>
      </c>
      <c r="Y29" s="228">
        <f t="shared" si="17"/>
        <v>0</v>
      </c>
      <c r="Z29" s="228">
        <f t="shared" si="18"/>
        <v>-57290.6</v>
      </c>
      <c r="AA29" s="228">
        <f t="shared" si="19"/>
        <v>0</v>
      </c>
      <c r="AB29" s="228">
        <f t="shared" si="20"/>
        <v>-57290.6</v>
      </c>
      <c r="AC29" s="228">
        <f t="shared" si="21"/>
        <v>0</v>
      </c>
      <c r="AD29" s="228">
        <f t="shared" si="22"/>
        <v>-57290.6</v>
      </c>
      <c r="AE29" s="228">
        <f t="shared" si="23"/>
        <v>0</v>
      </c>
      <c r="AF29" s="228">
        <f t="shared" si="24"/>
        <v>-57290.6</v>
      </c>
      <c r="AG29" s="228">
        <f t="shared" si="25"/>
        <v>0</v>
      </c>
      <c r="AH29" s="228">
        <f t="shared" si="26"/>
        <v>-57290.6</v>
      </c>
      <c r="AI29" s="247">
        <f t="shared" si="27"/>
        <v>-57290.6</v>
      </c>
      <c r="AJ29" s="248">
        <f t="shared" si="28"/>
        <v>0</v>
      </c>
    </row>
    <row r="30" spans="1:36" x14ac:dyDescent="0.2">
      <c r="A30" s="47" t="s">
        <v>125</v>
      </c>
      <c r="C30" s="230">
        <v>-1618908.33</v>
      </c>
      <c r="G30" s="254">
        <f t="array" ref="G30">SUM(('Отчет по покупателям УТ'!$G$6:$G$5000='DATA 2'!G$8)*('Отчет по покупателям УТ'!$M$6:$M$5000='DATA 2'!$A30)*('Отчет по покупателям УТ'!$K$6:$K$5000))</f>
        <v>0</v>
      </c>
      <c r="H30" s="254">
        <f t="array" ref="H30">SUM(('Отчет по покупателям УТ'!$G$6:$G$5000='DATA 2'!H$8)*('Отчет по покупателям УТ'!$M$6:$M$5000='DATA 2'!$A30)*('Отчет по покупателям УТ'!$K$6:$K$5000))</f>
        <v>0</v>
      </c>
      <c r="I30" s="254">
        <f t="array" ref="I30">SUM(('Отчет по покупателям УТ'!$G$6:$G$5000='DATA 2'!I$8)*('Отчет по покупателям УТ'!$M$6:$M$5000='DATA 2'!$A30)*('Отчет по покупателям УТ'!$K$6:$K$5000))</f>
        <v>0</v>
      </c>
      <c r="J30" s="254">
        <f t="array" ref="J30">SUM(('Отчет по покупателям УТ'!$G$6:$G$5000='DATA 2'!J$8)*('Отчет по покупателям УТ'!$M$6:$M$5000='DATA 2'!$A30)*('Отчет по покупателям УТ'!$K$6:$K$5000))</f>
        <v>0</v>
      </c>
      <c r="K30" s="254">
        <f t="array" ref="K30">SUM(('Отчет по покупателям УТ'!$G$6:$G$5000='DATA 2'!K$8)*('Отчет по покупателям УТ'!$M$6:$M$5000='DATA 2'!$A30)*('Отчет по покупателям УТ'!$K$6:$K$5000))</f>
        <v>0</v>
      </c>
      <c r="L30" s="254">
        <f t="array" ref="L30">SUM(('Отчет по покупателям УТ'!$G$6:$G$5000='DATA 2'!L$8)*('Отчет по покупателям УТ'!$M$6:$M$5000='DATA 2'!$A30)*('Отчет по покупателям УТ'!$K$6:$K$5000))</f>
        <v>0</v>
      </c>
      <c r="M30" s="254">
        <f t="array" ref="M30">SUM(('Отчет по покупателям УТ'!$G$6:$G$5000='DATA 2'!M$8)*('Отчет по покупателям УТ'!$M$6:$M$5000='DATA 2'!$A30)*('Отчет по покупателям УТ'!$K$6:$K$5000))</f>
        <v>0</v>
      </c>
      <c r="N30" s="254">
        <f t="array" ref="N30">SUM(('Отчет по покупателям УТ'!$G$6:$G$5000='DATA 2'!N$8)*('Отчет по покупателям УТ'!$M$6:$M$5000='DATA 2'!$A30)*('Отчет по покупателям УТ'!$K$6:$K$5000))</f>
        <v>-1618908.33</v>
      </c>
      <c r="O30" s="247">
        <f t="shared" si="11"/>
        <v>-1618908.33</v>
      </c>
      <c r="T30" s="9" t="b">
        <f t="shared" si="12"/>
        <v>1</v>
      </c>
      <c r="U30" s="228">
        <f t="shared" si="13"/>
        <v>0</v>
      </c>
      <c r="V30" s="228">
        <f t="shared" si="14"/>
        <v>-1618908.33</v>
      </c>
      <c r="W30" s="228">
        <f t="shared" si="15"/>
        <v>0</v>
      </c>
      <c r="X30" s="228">
        <f t="shared" si="16"/>
        <v>-1618908.33</v>
      </c>
      <c r="Y30" s="228">
        <f t="shared" si="17"/>
        <v>0</v>
      </c>
      <c r="Z30" s="228">
        <f t="shared" si="18"/>
        <v>-1618908.33</v>
      </c>
      <c r="AA30" s="228">
        <f t="shared" si="19"/>
        <v>0</v>
      </c>
      <c r="AB30" s="228">
        <f t="shared" si="20"/>
        <v>-1618908.33</v>
      </c>
      <c r="AC30" s="228">
        <f t="shared" si="21"/>
        <v>0</v>
      </c>
      <c r="AD30" s="228">
        <f t="shared" si="22"/>
        <v>-1618908.33</v>
      </c>
      <c r="AE30" s="228">
        <f t="shared" si="23"/>
        <v>0</v>
      </c>
      <c r="AF30" s="228">
        <f t="shared" si="24"/>
        <v>-1618908.33</v>
      </c>
      <c r="AG30" s="228">
        <f t="shared" si="25"/>
        <v>0</v>
      </c>
      <c r="AH30" s="228">
        <f t="shared" si="26"/>
        <v>-1618908.33</v>
      </c>
      <c r="AI30" s="247">
        <f t="shared" si="27"/>
        <v>-1618908.33</v>
      </c>
      <c r="AJ30" s="248">
        <f t="shared" si="28"/>
        <v>0</v>
      </c>
    </row>
    <row r="31" spans="1:36" x14ac:dyDescent="0.2">
      <c r="A31" s="47" t="s">
        <v>127</v>
      </c>
      <c r="C31" s="230">
        <v>-7199.46</v>
      </c>
      <c r="G31" s="254">
        <f t="array" ref="G31">SUM(('Отчет по покупателям УТ'!$G$6:$G$5000='DATA 2'!G$8)*('Отчет по покупателям УТ'!$M$6:$M$5000='DATA 2'!$A31)*('Отчет по покупателям УТ'!$K$6:$K$5000))</f>
        <v>0</v>
      </c>
      <c r="H31" s="254">
        <f t="array" ref="H31">SUM(('Отчет по покупателям УТ'!$G$6:$G$5000='DATA 2'!H$8)*('Отчет по покупателям УТ'!$M$6:$M$5000='DATA 2'!$A31)*('Отчет по покупателям УТ'!$K$6:$K$5000))</f>
        <v>0</v>
      </c>
      <c r="I31" s="254">
        <f t="array" ref="I31">SUM(('Отчет по покупателям УТ'!$G$6:$G$5000='DATA 2'!I$8)*('Отчет по покупателям УТ'!$M$6:$M$5000='DATA 2'!$A31)*('Отчет по покупателям УТ'!$K$6:$K$5000))</f>
        <v>0</v>
      </c>
      <c r="J31" s="254">
        <f t="array" ref="J31">SUM(('Отчет по покупателям УТ'!$G$6:$G$5000='DATA 2'!J$8)*('Отчет по покупателям УТ'!$M$6:$M$5000='DATA 2'!$A31)*('Отчет по покупателям УТ'!$K$6:$K$5000))</f>
        <v>0</v>
      </c>
      <c r="K31" s="254">
        <f t="array" ref="K31">SUM(('Отчет по покупателям УТ'!$G$6:$G$5000='DATA 2'!K$8)*('Отчет по покупателям УТ'!$M$6:$M$5000='DATA 2'!$A31)*('Отчет по покупателям УТ'!$K$6:$K$5000))</f>
        <v>0</v>
      </c>
      <c r="L31" s="254">
        <f t="array" ref="L31">SUM(('Отчет по покупателям УТ'!$G$6:$G$5000='DATA 2'!L$8)*('Отчет по покупателям УТ'!$M$6:$M$5000='DATA 2'!$A31)*('Отчет по покупателям УТ'!$K$6:$K$5000))</f>
        <v>0</v>
      </c>
      <c r="M31" s="254">
        <f t="array" ref="M31">SUM(('Отчет по покупателям УТ'!$G$6:$G$5000='DATA 2'!M$8)*('Отчет по покупателям УТ'!$M$6:$M$5000='DATA 2'!$A31)*('Отчет по покупателям УТ'!$K$6:$K$5000))</f>
        <v>0</v>
      </c>
      <c r="N31" s="254">
        <f t="array" ref="N31">SUM(('Отчет по покупателям УТ'!$G$6:$G$5000='DATA 2'!N$8)*('Отчет по покупателям УТ'!$M$6:$M$5000='DATA 2'!$A31)*('Отчет по покупателям УТ'!$K$6:$K$5000))</f>
        <v>-7199.46</v>
      </c>
      <c r="O31" s="247">
        <f t="shared" si="11"/>
        <v>-7199.46</v>
      </c>
      <c r="T31" s="9" t="b">
        <f t="shared" si="12"/>
        <v>1</v>
      </c>
      <c r="U31" s="228">
        <f t="shared" si="13"/>
        <v>0</v>
      </c>
      <c r="V31" s="228">
        <f t="shared" si="14"/>
        <v>-7199.46</v>
      </c>
      <c r="W31" s="228">
        <f t="shared" si="15"/>
        <v>0</v>
      </c>
      <c r="X31" s="228">
        <f t="shared" si="16"/>
        <v>-7199.46</v>
      </c>
      <c r="Y31" s="228">
        <f t="shared" si="17"/>
        <v>0</v>
      </c>
      <c r="Z31" s="228">
        <f t="shared" si="18"/>
        <v>-7199.46</v>
      </c>
      <c r="AA31" s="228">
        <f t="shared" si="19"/>
        <v>0</v>
      </c>
      <c r="AB31" s="228">
        <f t="shared" si="20"/>
        <v>-7199.46</v>
      </c>
      <c r="AC31" s="228">
        <f t="shared" si="21"/>
        <v>0</v>
      </c>
      <c r="AD31" s="228">
        <f t="shared" si="22"/>
        <v>-7199.46</v>
      </c>
      <c r="AE31" s="228">
        <f t="shared" si="23"/>
        <v>0</v>
      </c>
      <c r="AF31" s="228">
        <f t="shared" si="24"/>
        <v>-7199.46</v>
      </c>
      <c r="AG31" s="228">
        <f t="shared" si="25"/>
        <v>0</v>
      </c>
      <c r="AH31" s="228">
        <f t="shared" si="26"/>
        <v>-7199.46</v>
      </c>
      <c r="AI31" s="247">
        <f t="shared" si="27"/>
        <v>-7199.46</v>
      </c>
      <c r="AJ31" s="248">
        <f t="shared" si="28"/>
        <v>0</v>
      </c>
    </row>
    <row r="32" spans="1:36" x14ac:dyDescent="0.2">
      <c r="A32" s="47" t="s">
        <v>130</v>
      </c>
      <c r="C32" s="230">
        <v>-9548</v>
      </c>
      <c r="G32" s="254">
        <f t="array" ref="G32">SUM(('Отчет по покупателям УТ'!$G$6:$G$5000='DATA 2'!G$8)*('Отчет по покупателям УТ'!$M$6:$M$5000='DATA 2'!$A32)*('Отчет по покупателям УТ'!$K$6:$K$5000))</f>
        <v>0</v>
      </c>
      <c r="H32" s="254">
        <f t="array" ref="H32">SUM(('Отчет по покупателям УТ'!$G$6:$G$5000='DATA 2'!H$8)*('Отчет по покупателям УТ'!$M$6:$M$5000='DATA 2'!$A32)*('Отчет по покупателям УТ'!$K$6:$K$5000))</f>
        <v>0</v>
      </c>
      <c r="I32" s="254">
        <f t="array" ref="I32">SUM(('Отчет по покупателям УТ'!$G$6:$G$5000='DATA 2'!I$8)*('Отчет по покупателям УТ'!$M$6:$M$5000='DATA 2'!$A32)*('Отчет по покупателям УТ'!$K$6:$K$5000))</f>
        <v>0</v>
      </c>
      <c r="J32" s="254">
        <f t="array" ref="J32">SUM(('Отчет по покупателям УТ'!$G$6:$G$5000='DATA 2'!J$8)*('Отчет по покупателям УТ'!$M$6:$M$5000='DATA 2'!$A32)*('Отчет по покупателям УТ'!$K$6:$K$5000))</f>
        <v>0</v>
      </c>
      <c r="K32" s="254">
        <f t="array" ref="K32">SUM(('Отчет по покупателям УТ'!$G$6:$G$5000='DATA 2'!K$8)*('Отчет по покупателям УТ'!$M$6:$M$5000='DATA 2'!$A32)*('Отчет по покупателям УТ'!$K$6:$K$5000))</f>
        <v>0</v>
      </c>
      <c r="L32" s="254">
        <f t="array" ref="L32">SUM(('Отчет по покупателям УТ'!$G$6:$G$5000='DATA 2'!L$8)*('Отчет по покупателям УТ'!$M$6:$M$5000='DATA 2'!$A32)*('Отчет по покупателям УТ'!$K$6:$K$5000))</f>
        <v>0</v>
      </c>
      <c r="M32" s="254">
        <f t="array" ref="M32">SUM(('Отчет по покупателям УТ'!$G$6:$G$5000='DATA 2'!M$8)*('Отчет по покупателям УТ'!$M$6:$M$5000='DATA 2'!$A32)*('Отчет по покупателям УТ'!$K$6:$K$5000))</f>
        <v>0</v>
      </c>
      <c r="N32" s="254">
        <f t="array" ref="N32">SUM(('Отчет по покупателям УТ'!$G$6:$G$5000='DATA 2'!N$8)*('Отчет по покупателям УТ'!$M$6:$M$5000='DATA 2'!$A32)*('Отчет по покупателям УТ'!$K$6:$K$5000))</f>
        <v>-9548</v>
      </c>
      <c r="O32" s="247">
        <f t="shared" si="11"/>
        <v>-9548</v>
      </c>
      <c r="T32" s="9" t="b">
        <f t="shared" si="12"/>
        <v>1</v>
      </c>
      <c r="U32" s="228">
        <f t="shared" si="13"/>
        <v>0</v>
      </c>
      <c r="V32" s="228">
        <f t="shared" si="14"/>
        <v>-9548</v>
      </c>
      <c r="W32" s="228">
        <f t="shared" si="15"/>
        <v>0</v>
      </c>
      <c r="X32" s="228">
        <f t="shared" si="16"/>
        <v>-9548</v>
      </c>
      <c r="Y32" s="228">
        <f t="shared" si="17"/>
        <v>0</v>
      </c>
      <c r="Z32" s="228">
        <f t="shared" si="18"/>
        <v>-9548</v>
      </c>
      <c r="AA32" s="228">
        <f t="shared" si="19"/>
        <v>0</v>
      </c>
      <c r="AB32" s="228">
        <f t="shared" si="20"/>
        <v>-9548</v>
      </c>
      <c r="AC32" s="228">
        <f t="shared" si="21"/>
        <v>0</v>
      </c>
      <c r="AD32" s="228">
        <f t="shared" si="22"/>
        <v>-9548</v>
      </c>
      <c r="AE32" s="228">
        <f t="shared" si="23"/>
        <v>0</v>
      </c>
      <c r="AF32" s="228">
        <f t="shared" si="24"/>
        <v>-9548</v>
      </c>
      <c r="AG32" s="228">
        <f t="shared" si="25"/>
        <v>0</v>
      </c>
      <c r="AH32" s="228">
        <f t="shared" si="26"/>
        <v>-9548</v>
      </c>
      <c r="AI32" s="247">
        <f t="shared" si="27"/>
        <v>-9548</v>
      </c>
      <c r="AJ32" s="248">
        <f t="shared" si="28"/>
        <v>0</v>
      </c>
    </row>
    <row r="33" spans="1:36" x14ac:dyDescent="0.2">
      <c r="A33" s="47" t="s">
        <v>133</v>
      </c>
      <c r="C33" s="230">
        <v>-255220.18</v>
      </c>
      <c r="G33" s="254">
        <f t="array" ref="G33">SUM(('Отчет по покупателям УТ'!$G$6:$G$5000='DATA 2'!G$8)*('Отчет по покупателям УТ'!$M$6:$M$5000='DATA 2'!$A33)*('Отчет по покупателям УТ'!$K$6:$K$5000))</f>
        <v>0</v>
      </c>
      <c r="H33" s="254">
        <f t="array" ref="H33">SUM(('Отчет по покупателям УТ'!$G$6:$G$5000='DATA 2'!H$8)*('Отчет по покупателям УТ'!$M$6:$M$5000='DATA 2'!$A33)*('Отчет по покупателям УТ'!$K$6:$K$5000))</f>
        <v>0</v>
      </c>
      <c r="I33" s="254">
        <f t="array" ref="I33">SUM(('Отчет по покупателям УТ'!$G$6:$G$5000='DATA 2'!I$8)*('Отчет по покупателям УТ'!$M$6:$M$5000='DATA 2'!$A33)*('Отчет по покупателям УТ'!$K$6:$K$5000))</f>
        <v>0</v>
      </c>
      <c r="J33" s="254">
        <f t="array" ref="J33">SUM(('Отчет по покупателям УТ'!$G$6:$G$5000='DATA 2'!J$8)*('Отчет по покупателям УТ'!$M$6:$M$5000='DATA 2'!$A33)*('Отчет по покупателям УТ'!$K$6:$K$5000))</f>
        <v>0</v>
      </c>
      <c r="K33" s="254">
        <f t="array" ref="K33">SUM(('Отчет по покупателям УТ'!$G$6:$G$5000='DATA 2'!K$8)*('Отчет по покупателям УТ'!$M$6:$M$5000='DATA 2'!$A33)*('Отчет по покупателям УТ'!$K$6:$K$5000))</f>
        <v>0</v>
      </c>
      <c r="L33" s="254">
        <f t="array" ref="L33">SUM(('Отчет по покупателям УТ'!$G$6:$G$5000='DATA 2'!L$8)*('Отчет по покупателям УТ'!$M$6:$M$5000='DATA 2'!$A33)*('Отчет по покупателям УТ'!$K$6:$K$5000))</f>
        <v>0</v>
      </c>
      <c r="M33" s="254">
        <f t="array" ref="M33">SUM(('Отчет по покупателям УТ'!$G$6:$G$5000='DATA 2'!M$8)*('Отчет по покупателям УТ'!$M$6:$M$5000='DATA 2'!$A33)*('Отчет по покупателям УТ'!$K$6:$K$5000))</f>
        <v>0</v>
      </c>
      <c r="N33" s="254">
        <f t="array" ref="N33">SUM(('Отчет по покупателям УТ'!$G$6:$G$5000='DATA 2'!N$8)*('Отчет по покупателям УТ'!$M$6:$M$5000='DATA 2'!$A33)*('Отчет по покупателям УТ'!$K$6:$K$5000))</f>
        <v>-255220.18</v>
      </c>
      <c r="O33" s="247">
        <f t="shared" si="11"/>
        <v>-255220.18</v>
      </c>
      <c r="T33" s="9" t="b">
        <f t="shared" si="12"/>
        <v>1</v>
      </c>
      <c r="U33" s="228">
        <f t="shared" si="13"/>
        <v>0</v>
      </c>
      <c r="V33" s="228">
        <f t="shared" si="14"/>
        <v>-255220.18</v>
      </c>
      <c r="W33" s="228">
        <f t="shared" si="15"/>
        <v>0</v>
      </c>
      <c r="X33" s="228">
        <f t="shared" si="16"/>
        <v>-255220.18</v>
      </c>
      <c r="Y33" s="228">
        <f t="shared" si="17"/>
        <v>0</v>
      </c>
      <c r="Z33" s="228">
        <f t="shared" si="18"/>
        <v>-255220.18</v>
      </c>
      <c r="AA33" s="228">
        <f t="shared" si="19"/>
        <v>0</v>
      </c>
      <c r="AB33" s="228">
        <f t="shared" si="20"/>
        <v>-255220.18</v>
      </c>
      <c r="AC33" s="228">
        <f t="shared" si="21"/>
        <v>0</v>
      </c>
      <c r="AD33" s="228">
        <f t="shared" si="22"/>
        <v>-255220.18</v>
      </c>
      <c r="AE33" s="228">
        <f t="shared" si="23"/>
        <v>0</v>
      </c>
      <c r="AF33" s="228">
        <f t="shared" si="24"/>
        <v>-255220.18</v>
      </c>
      <c r="AG33" s="228">
        <f t="shared" si="25"/>
        <v>0</v>
      </c>
      <c r="AH33" s="228">
        <f t="shared" si="26"/>
        <v>-255220.18</v>
      </c>
      <c r="AI33" s="247">
        <f t="shared" si="27"/>
        <v>-255220.18</v>
      </c>
      <c r="AJ33" s="248">
        <f t="shared" si="28"/>
        <v>0</v>
      </c>
    </row>
    <row r="34" spans="1:36" x14ac:dyDescent="0.2">
      <c r="A34" s="47" t="s">
        <v>134</v>
      </c>
      <c r="C34" s="230">
        <v>-10198</v>
      </c>
      <c r="G34" s="254">
        <f t="array" ref="G34">SUM(('Отчет по покупателям УТ'!$G$6:$G$5000='DATA 2'!G$8)*('Отчет по покупателям УТ'!$M$6:$M$5000='DATA 2'!$A34)*('Отчет по покупателям УТ'!$K$6:$K$5000))</f>
        <v>0</v>
      </c>
      <c r="H34" s="254">
        <f t="array" ref="H34">SUM(('Отчет по покупателям УТ'!$G$6:$G$5000='DATA 2'!H$8)*('Отчет по покупателям УТ'!$M$6:$M$5000='DATA 2'!$A34)*('Отчет по покупателям УТ'!$K$6:$K$5000))</f>
        <v>0</v>
      </c>
      <c r="I34" s="254">
        <f t="array" ref="I34">SUM(('Отчет по покупателям УТ'!$G$6:$G$5000='DATA 2'!I$8)*('Отчет по покупателям УТ'!$M$6:$M$5000='DATA 2'!$A34)*('Отчет по покупателям УТ'!$K$6:$K$5000))</f>
        <v>0</v>
      </c>
      <c r="J34" s="254">
        <f t="array" ref="J34">SUM(('Отчет по покупателям УТ'!$G$6:$G$5000='DATA 2'!J$8)*('Отчет по покупателям УТ'!$M$6:$M$5000='DATA 2'!$A34)*('Отчет по покупателям УТ'!$K$6:$K$5000))</f>
        <v>0</v>
      </c>
      <c r="K34" s="254">
        <f t="array" ref="K34">SUM(('Отчет по покупателям УТ'!$G$6:$G$5000='DATA 2'!K$8)*('Отчет по покупателям УТ'!$M$6:$M$5000='DATA 2'!$A34)*('Отчет по покупателям УТ'!$K$6:$K$5000))</f>
        <v>0</v>
      </c>
      <c r="L34" s="254">
        <f t="array" ref="L34">SUM(('Отчет по покупателям УТ'!$G$6:$G$5000='DATA 2'!L$8)*('Отчет по покупателям УТ'!$M$6:$M$5000='DATA 2'!$A34)*('Отчет по покупателям УТ'!$K$6:$K$5000))</f>
        <v>0</v>
      </c>
      <c r="M34" s="254">
        <f t="array" ref="M34">SUM(('Отчет по покупателям УТ'!$G$6:$G$5000='DATA 2'!M$8)*('Отчет по покупателям УТ'!$M$6:$M$5000='DATA 2'!$A34)*('Отчет по покупателям УТ'!$K$6:$K$5000))</f>
        <v>0</v>
      </c>
      <c r="N34" s="254">
        <f t="array" ref="N34">SUM(('Отчет по покупателям УТ'!$G$6:$G$5000='DATA 2'!N$8)*('Отчет по покупателям УТ'!$M$6:$M$5000='DATA 2'!$A34)*('Отчет по покупателям УТ'!$K$6:$K$5000))</f>
        <v>-10198</v>
      </c>
      <c r="O34" s="247">
        <f t="shared" si="11"/>
        <v>-10198</v>
      </c>
      <c r="T34" s="9" t="b">
        <f t="shared" si="12"/>
        <v>1</v>
      </c>
      <c r="U34" s="228">
        <f t="shared" si="13"/>
        <v>0</v>
      </c>
      <c r="V34" s="228">
        <f t="shared" si="14"/>
        <v>-10198</v>
      </c>
      <c r="W34" s="228">
        <f t="shared" si="15"/>
        <v>0</v>
      </c>
      <c r="X34" s="228">
        <f t="shared" si="16"/>
        <v>-10198</v>
      </c>
      <c r="Y34" s="228">
        <f t="shared" si="17"/>
        <v>0</v>
      </c>
      <c r="Z34" s="228">
        <f t="shared" si="18"/>
        <v>-10198</v>
      </c>
      <c r="AA34" s="228">
        <f t="shared" si="19"/>
        <v>0</v>
      </c>
      <c r="AB34" s="228">
        <f t="shared" si="20"/>
        <v>-10198</v>
      </c>
      <c r="AC34" s="228">
        <f t="shared" si="21"/>
        <v>0</v>
      </c>
      <c r="AD34" s="228">
        <f t="shared" si="22"/>
        <v>-10198</v>
      </c>
      <c r="AE34" s="228">
        <f t="shared" si="23"/>
        <v>0</v>
      </c>
      <c r="AF34" s="228">
        <f t="shared" si="24"/>
        <v>-10198</v>
      </c>
      <c r="AG34" s="228">
        <f t="shared" si="25"/>
        <v>0</v>
      </c>
      <c r="AH34" s="228">
        <f t="shared" si="26"/>
        <v>-10198</v>
      </c>
      <c r="AI34" s="247">
        <f t="shared" si="27"/>
        <v>-10198</v>
      </c>
      <c r="AJ34" s="248">
        <f t="shared" si="28"/>
        <v>0</v>
      </c>
    </row>
    <row r="35" spans="1:36" x14ac:dyDescent="0.2">
      <c r="A35" t="s">
        <v>135</v>
      </c>
      <c r="C35" s="230">
        <v>-73000</v>
      </c>
      <c r="G35" s="254">
        <f t="array" ref="G35">SUM(('Отчет по покупателям УТ'!$G$6:$G$5000='DATA 2'!G$8)*('Отчет по покупателям УТ'!$M$6:$M$5000='DATA 2'!$A35)*('Отчет по покупателям УТ'!$K$6:$K$5000))</f>
        <v>0</v>
      </c>
      <c r="H35" s="254">
        <f t="array" ref="H35">SUM(('Отчет по покупателям УТ'!$G$6:$G$5000='DATA 2'!H$8)*('Отчет по покупателям УТ'!$M$6:$M$5000='DATA 2'!$A35)*('Отчет по покупателям УТ'!$K$6:$K$5000))</f>
        <v>0</v>
      </c>
      <c r="I35" s="254">
        <f t="array" ref="I35">SUM(('Отчет по покупателям УТ'!$G$6:$G$5000='DATA 2'!I$8)*('Отчет по покупателям УТ'!$M$6:$M$5000='DATA 2'!$A35)*('Отчет по покупателям УТ'!$K$6:$K$5000))</f>
        <v>0</v>
      </c>
      <c r="J35" s="254">
        <f t="array" ref="J35">SUM(('Отчет по покупателям УТ'!$G$6:$G$5000='DATA 2'!J$8)*('Отчет по покупателям УТ'!$M$6:$M$5000='DATA 2'!$A35)*('Отчет по покупателям УТ'!$K$6:$K$5000))</f>
        <v>0</v>
      </c>
      <c r="K35" s="254">
        <f t="array" ref="K35">SUM(('Отчет по покупателям УТ'!$G$6:$G$5000='DATA 2'!K$8)*('Отчет по покупателям УТ'!$M$6:$M$5000='DATA 2'!$A35)*('Отчет по покупателям УТ'!$K$6:$K$5000))</f>
        <v>0</v>
      </c>
      <c r="L35" s="254">
        <f t="array" ref="L35">SUM(('Отчет по покупателям УТ'!$G$6:$G$5000='DATA 2'!L$8)*('Отчет по покупателям УТ'!$M$6:$M$5000='DATA 2'!$A35)*('Отчет по покупателям УТ'!$K$6:$K$5000))</f>
        <v>0</v>
      </c>
      <c r="M35" s="254">
        <f t="array" ref="M35">SUM(('Отчет по покупателям УТ'!$G$6:$G$5000='DATA 2'!M$8)*('Отчет по покупателям УТ'!$M$6:$M$5000='DATA 2'!$A35)*('Отчет по покупателям УТ'!$K$6:$K$5000))</f>
        <v>0</v>
      </c>
      <c r="N35" s="254">
        <f t="array" ref="N35">SUM(('Отчет по покупателям УТ'!$G$6:$G$5000='DATA 2'!N$8)*('Отчет по покупателям УТ'!$M$6:$M$5000='DATA 2'!$A35)*('Отчет по покупателям УТ'!$K$6:$K$5000))</f>
        <v>-73000</v>
      </c>
      <c r="O35" s="247">
        <f t="shared" si="11"/>
        <v>-73000</v>
      </c>
      <c r="T35" s="9" t="b">
        <f t="shared" si="12"/>
        <v>1</v>
      </c>
      <c r="U35" s="228">
        <f t="shared" si="13"/>
        <v>0</v>
      </c>
      <c r="V35" s="228">
        <f t="shared" si="14"/>
        <v>-73000</v>
      </c>
      <c r="W35" s="228">
        <f t="shared" si="15"/>
        <v>0</v>
      </c>
      <c r="X35" s="228">
        <f t="shared" si="16"/>
        <v>-73000</v>
      </c>
      <c r="Y35" s="228">
        <f t="shared" si="17"/>
        <v>0</v>
      </c>
      <c r="Z35" s="228">
        <f t="shared" si="18"/>
        <v>-73000</v>
      </c>
      <c r="AA35" s="228">
        <f t="shared" si="19"/>
        <v>0</v>
      </c>
      <c r="AB35" s="228">
        <f t="shared" si="20"/>
        <v>-73000</v>
      </c>
      <c r="AC35" s="228">
        <f t="shared" si="21"/>
        <v>0</v>
      </c>
      <c r="AD35" s="228">
        <f t="shared" si="22"/>
        <v>-73000</v>
      </c>
      <c r="AE35" s="228">
        <f t="shared" si="23"/>
        <v>0</v>
      </c>
      <c r="AF35" s="228">
        <f t="shared" si="24"/>
        <v>-73000</v>
      </c>
      <c r="AG35" s="228">
        <f t="shared" si="25"/>
        <v>0</v>
      </c>
      <c r="AH35" s="228">
        <f t="shared" si="26"/>
        <v>-73000</v>
      </c>
      <c r="AI35" s="247">
        <f t="shared" si="27"/>
        <v>-73000</v>
      </c>
      <c r="AJ35" s="248">
        <f t="shared" si="28"/>
        <v>0</v>
      </c>
    </row>
    <row r="36" spans="1:36" x14ac:dyDescent="0.2">
      <c r="A36" s="47" t="s">
        <v>137</v>
      </c>
      <c r="C36" s="230">
        <v>-134160.04999999999</v>
      </c>
      <c r="G36" s="254">
        <f t="array" ref="G36">SUM(('Отчет по покупателям УТ'!$G$6:$G$5000='DATA 2'!G$8)*('Отчет по покупателям УТ'!$M$6:$M$5000='DATA 2'!$A36)*('Отчет по покупателям УТ'!$K$6:$K$5000))</f>
        <v>0</v>
      </c>
      <c r="H36" s="254">
        <f t="array" ref="H36">SUM(('Отчет по покупателям УТ'!$G$6:$G$5000='DATA 2'!H$8)*('Отчет по покупателям УТ'!$M$6:$M$5000='DATA 2'!$A36)*('Отчет по покупателям УТ'!$K$6:$K$5000))</f>
        <v>0</v>
      </c>
      <c r="I36" s="254">
        <f t="array" ref="I36">SUM(('Отчет по покупателям УТ'!$G$6:$G$5000='DATA 2'!I$8)*('Отчет по покупателям УТ'!$M$6:$M$5000='DATA 2'!$A36)*('Отчет по покупателям УТ'!$K$6:$K$5000))</f>
        <v>0</v>
      </c>
      <c r="J36" s="254">
        <f t="array" ref="J36">SUM(('Отчет по покупателям УТ'!$G$6:$G$5000='DATA 2'!J$8)*('Отчет по покупателям УТ'!$M$6:$M$5000='DATA 2'!$A36)*('Отчет по покупателям УТ'!$K$6:$K$5000))</f>
        <v>0</v>
      </c>
      <c r="K36" s="254">
        <f t="array" ref="K36">SUM(('Отчет по покупателям УТ'!$G$6:$G$5000='DATA 2'!K$8)*('Отчет по покупателям УТ'!$M$6:$M$5000='DATA 2'!$A36)*('Отчет по покупателям УТ'!$K$6:$K$5000))</f>
        <v>0</v>
      </c>
      <c r="L36" s="254">
        <f t="array" ref="L36">SUM(('Отчет по покупателям УТ'!$G$6:$G$5000='DATA 2'!L$8)*('Отчет по покупателям УТ'!$M$6:$M$5000='DATA 2'!$A36)*('Отчет по покупателям УТ'!$K$6:$K$5000))</f>
        <v>0</v>
      </c>
      <c r="M36" s="254">
        <f t="array" ref="M36">SUM(('Отчет по покупателям УТ'!$G$6:$G$5000='DATA 2'!M$8)*('Отчет по покупателям УТ'!$M$6:$M$5000='DATA 2'!$A36)*('Отчет по покупателям УТ'!$K$6:$K$5000))</f>
        <v>0</v>
      </c>
      <c r="N36" s="254">
        <f t="array" ref="N36">SUM(('Отчет по покупателям УТ'!$G$6:$G$5000='DATA 2'!N$8)*('Отчет по покупателям УТ'!$M$6:$M$5000='DATA 2'!$A36)*('Отчет по покупателям УТ'!$K$6:$K$5000))</f>
        <v>-134160.04999999999</v>
      </c>
      <c r="O36" s="247">
        <f t="shared" si="11"/>
        <v>-134160.04999999999</v>
      </c>
      <c r="T36" s="9" t="b">
        <f t="shared" si="12"/>
        <v>1</v>
      </c>
      <c r="U36" s="228">
        <f t="shared" si="13"/>
        <v>0</v>
      </c>
      <c r="V36" s="228">
        <f t="shared" si="14"/>
        <v>-134160.04999999999</v>
      </c>
      <c r="W36" s="228">
        <f t="shared" si="15"/>
        <v>0</v>
      </c>
      <c r="X36" s="228">
        <f t="shared" si="16"/>
        <v>-134160.04999999999</v>
      </c>
      <c r="Y36" s="228">
        <f t="shared" si="17"/>
        <v>0</v>
      </c>
      <c r="Z36" s="228">
        <f t="shared" si="18"/>
        <v>-134160.04999999999</v>
      </c>
      <c r="AA36" s="228">
        <f t="shared" si="19"/>
        <v>0</v>
      </c>
      <c r="AB36" s="228">
        <f t="shared" si="20"/>
        <v>-134160.04999999999</v>
      </c>
      <c r="AC36" s="228">
        <f t="shared" si="21"/>
        <v>0</v>
      </c>
      <c r="AD36" s="228">
        <f t="shared" si="22"/>
        <v>-134160.04999999999</v>
      </c>
      <c r="AE36" s="228">
        <f t="shared" si="23"/>
        <v>0</v>
      </c>
      <c r="AF36" s="228">
        <f t="shared" si="24"/>
        <v>-134160.04999999999</v>
      </c>
      <c r="AG36" s="228">
        <f t="shared" si="25"/>
        <v>0</v>
      </c>
      <c r="AH36" s="228">
        <f t="shared" si="26"/>
        <v>-134160.04999999999</v>
      </c>
      <c r="AI36" s="247">
        <f t="shared" si="27"/>
        <v>-134160.04999999999</v>
      </c>
      <c r="AJ36" s="248">
        <f t="shared" si="28"/>
        <v>0</v>
      </c>
    </row>
    <row r="37" spans="1:36" x14ac:dyDescent="0.2">
      <c r="A37" s="47" t="s">
        <v>140</v>
      </c>
      <c r="C37" s="230">
        <v>-625.94000000000005</v>
      </c>
      <c r="G37" s="254">
        <f t="array" ref="G37">SUM(('Отчет по покупателям УТ'!$G$6:$G$5000='DATA 2'!G$8)*('Отчет по покупателям УТ'!$M$6:$M$5000='DATA 2'!$A37)*('Отчет по покупателям УТ'!$K$6:$K$5000))</f>
        <v>0</v>
      </c>
      <c r="H37" s="254">
        <f t="array" ref="H37">SUM(('Отчет по покупателям УТ'!$G$6:$G$5000='DATA 2'!H$8)*('Отчет по покупателям УТ'!$M$6:$M$5000='DATA 2'!$A37)*('Отчет по покупателям УТ'!$K$6:$K$5000))</f>
        <v>0</v>
      </c>
      <c r="I37" s="254">
        <f t="array" ref="I37">SUM(('Отчет по покупателям УТ'!$G$6:$G$5000='DATA 2'!I$8)*('Отчет по покупателям УТ'!$M$6:$M$5000='DATA 2'!$A37)*('Отчет по покупателям УТ'!$K$6:$K$5000))</f>
        <v>0</v>
      </c>
      <c r="J37" s="254">
        <f t="array" ref="J37">SUM(('Отчет по покупателям УТ'!$G$6:$G$5000='DATA 2'!J$8)*('Отчет по покупателям УТ'!$M$6:$M$5000='DATA 2'!$A37)*('Отчет по покупателям УТ'!$K$6:$K$5000))</f>
        <v>0</v>
      </c>
      <c r="K37" s="254">
        <f t="array" ref="K37">SUM(('Отчет по покупателям УТ'!$G$6:$G$5000='DATA 2'!K$8)*('Отчет по покупателям УТ'!$M$6:$M$5000='DATA 2'!$A37)*('Отчет по покупателям УТ'!$K$6:$K$5000))</f>
        <v>0</v>
      </c>
      <c r="L37" s="254">
        <f t="array" ref="L37">SUM(('Отчет по покупателям УТ'!$G$6:$G$5000='DATA 2'!L$8)*('Отчет по покупателям УТ'!$M$6:$M$5000='DATA 2'!$A37)*('Отчет по покупателям УТ'!$K$6:$K$5000))</f>
        <v>0</v>
      </c>
      <c r="M37" s="254">
        <f t="array" ref="M37">SUM(('Отчет по покупателям УТ'!$G$6:$G$5000='DATA 2'!M$8)*('Отчет по покупателям УТ'!$M$6:$M$5000='DATA 2'!$A37)*('Отчет по покупателям УТ'!$K$6:$K$5000))</f>
        <v>0</v>
      </c>
      <c r="N37" s="254">
        <f t="array" ref="N37">SUM(('Отчет по покупателям УТ'!$G$6:$G$5000='DATA 2'!N$8)*('Отчет по покупателям УТ'!$M$6:$M$5000='DATA 2'!$A37)*('Отчет по покупателям УТ'!$K$6:$K$5000))</f>
        <v>-625.94000000000005</v>
      </c>
      <c r="O37" s="247">
        <f t="shared" si="11"/>
        <v>-625.94000000000005</v>
      </c>
      <c r="T37" s="9" t="b">
        <f t="shared" si="12"/>
        <v>1</v>
      </c>
      <c r="U37" s="228">
        <f t="shared" si="13"/>
        <v>0</v>
      </c>
      <c r="V37" s="228">
        <f t="shared" si="14"/>
        <v>-625.94000000000005</v>
      </c>
      <c r="W37" s="228">
        <f t="shared" si="15"/>
        <v>0</v>
      </c>
      <c r="X37" s="228">
        <f t="shared" si="16"/>
        <v>-625.94000000000005</v>
      </c>
      <c r="Y37" s="228">
        <f t="shared" si="17"/>
        <v>0</v>
      </c>
      <c r="Z37" s="228">
        <f t="shared" si="18"/>
        <v>-625.94000000000005</v>
      </c>
      <c r="AA37" s="228">
        <f t="shared" si="19"/>
        <v>0</v>
      </c>
      <c r="AB37" s="228">
        <f t="shared" si="20"/>
        <v>-625.94000000000005</v>
      </c>
      <c r="AC37" s="228">
        <f t="shared" si="21"/>
        <v>0</v>
      </c>
      <c r="AD37" s="228">
        <f t="shared" si="22"/>
        <v>-625.94000000000005</v>
      </c>
      <c r="AE37" s="228">
        <f t="shared" si="23"/>
        <v>0</v>
      </c>
      <c r="AF37" s="228">
        <f t="shared" si="24"/>
        <v>-625.94000000000005</v>
      </c>
      <c r="AG37" s="228">
        <f t="shared" si="25"/>
        <v>0</v>
      </c>
      <c r="AH37" s="228">
        <f t="shared" si="26"/>
        <v>-625.94000000000005</v>
      </c>
      <c r="AI37" s="247">
        <f t="shared" si="27"/>
        <v>-625.94000000000005</v>
      </c>
      <c r="AJ37" s="248">
        <f t="shared" si="28"/>
        <v>0</v>
      </c>
    </row>
    <row r="38" spans="1:36" x14ac:dyDescent="0.2">
      <c r="A38" s="47" t="s">
        <v>142</v>
      </c>
      <c r="C38" s="230">
        <v>-205125.58</v>
      </c>
      <c r="G38" s="254">
        <f t="array" ref="G38">SUM(('Отчет по покупателям УТ'!$G$6:$G$5000='DATA 2'!G$8)*('Отчет по покупателям УТ'!$M$6:$M$5000='DATA 2'!$A38)*('Отчет по покупателям УТ'!$K$6:$K$5000))</f>
        <v>0</v>
      </c>
      <c r="H38" s="254">
        <f t="array" ref="H38">SUM(('Отчет по покупателям УТ'!$G$6:$G$5000='DATA 2'!H$8)*('Отчет по покупателям УТ'!$M$6:$M$5000='DATA 2'!$A38)*('Отчет по покупателям УТ'!$K$6:$K$5000))</f>
        <v>0</v>
      </c>
      <c r="I38" s="254">
        <f t="array" ref="I38">SUM(('Отчет по покупателям УТ'!$G$6:$G$5000='DATA 2'!I$8)*('Отчет по покупателям УТ'!$M$6:$M$5000='DATA 2'!$A38)*('Отчет по покупателям УТ'!$K$6:$K$5000))</f>
        <v>0</v>
      </c>
      <c r="J38" s="254">
        <f t="array" ref="J38">SUM(('Отчет по покупателям УТ'!$G$6:$G$5000='DATA 2'!J$8)*('Отчет по покупателям УТ'!$M$6:$M$5000='DATA 2'!$A38)*('Отчет по покупателям УТ'!$K$6:$K$5000))</f>
        <v>0</v>
      </c>
      <c r="K38" s="254">
        <f t="array" ref="K38">SUM(('Отчет по покупателям УТ'!$G$6:$G$5000='DATA 2'!K$8)*('Отчет по покупателям УТ'!$M$6:$M$5000='DATA 2'!$A38)*('Отчет по покупателям УТ'!$K$6:$K$5000))</f>
        <v>0</v>
      </c>
      <c r="L38" s="254">
        <f t="array" ref="L38">SUM(('Отчет по покупателям УТ'!$G$6:$G$5000='DATA 2'!L$8)*('Отчет по покупателям УТ'!$M$6:$M$5000='DATA 2'!$A38)*('Отчет по покупателям УТ'!$K$6:$K$5000))</f>
        <v>0</v>
      </c>
      <c r="M38" s="254">
        <f t="array" ref="M38">SUM(('Отчет по покупателям УТ'!$G$6:$G$5000='DATA 2'!M$8)*('Отчет по покупателям УТ'!$M$6:$M$5000='DATA 2'!$A38)*('Отчет по покупателям УТ'!$K$6:$K$5000))</f>
        <v>0</v>
      </c>
      <c r="N38" s="254">
        <f t="array" ref="N38">SUM(('Отчет по покупателям УТ'!$G$6:$G$5000='DATA 2'!N$8)*('Отчет по покупателям УТ'!$M$6:$M$5000='DATA 2'!$A38)*('Отчет по покупателям УТ'!$K$6:$K$5000))</f>
        <v>-205125.58</v>
      </c>
      <c r="O38" s="247">
        <f t="shared" si="11"/>
        <v>-205125.58</v>
      </c>
      <c r="T38" s="9" t="b">
        <f t="shared" si="12"/>
        <v>1</v>
      </c>
      <c r="U38" s="228">
        <f t="shared" si="13"/>
        <v>0</v>
      </c>
      <c r="V38" s="228">
        <f t="shared" si="14"/>
        <v>-205125.58</v>
      </c>
      <c r="W38" s="228">
        <f t="shared" si="15"/>
        <v>0</v>
      </c>
      <c r="X38" s="228">
        <f t="shared" si="16"/>
        <v>-205125.58</v>
      </c>
      <c r="Y38" s="228">
        <f t="shared" si="17"/>
        <v>0</v>
      </c>
      <c r="Z38" s="228">
        <f t="shared" si="18"/>
        <v>-205125.58</v>
      </c>
      <c r="AA38" s="228">
        <f t="shared" si="19"/>
        <v>0</v>
      </c>
      <c r="AB38" s="228">
        <f t="shared" si="20"/>
        <v>-205125.58</v>
      </c>
      <c r="AC38" s="228">
        <f t="shared" si="21"/>
        <v>0</v>
      </c>
      <c r="AD38" s="228">
        <f t="shared" si="22"/>
        <v>-205125.58</v>
      </c>
      <c r="AE38" s="228">
        <f t="shared" si="23"/>
        <v>0</v>
      </c>
      <c r="AF38" s="228">
        <f t="shared" si="24"/>
        <v>-205125.58</v>
      </c>
      <c r="AG38" s="228">
        <f t="shared" si="25"/>
        <v>0</v>
      </c>
      <c r="AH38" s="228">
        <f t="shared" si="26"/>
        <v>-205125.58</v>
      </c>
      <c r="AI38" s="247">
        <f t="shared" si="27"/>
        <v>-205125.58</v>
      </c>
      <c r="AJ38" s="248">
        <f t="shared" si="28"/>
        <v>0</v>
      </c>
    </row>
    <row r="39" spans="1:36" x14ac:dyDescent="0.2">
      <c r="A39" s="47" t="s">
        <v>145</v>
      </c>
      <c r="C39" s="230">
        <v>-53</v>
      </c>
      <c r="G39" s="254">
        <f t="array" ref="G39">SUM(('Отчет по покупателям УТ'!$G$6:$G$5000='DATA 2'!G$8)*('Отчет по покупателям УТ'!$M$6:$M$5000='DATA 2'!$A39)*('Отчет по покупателям УТ'!$K$6:$K$5000))</f>
        <v>0</v>
      </c>
      <c r="H39" s="254">
        <f t="array" ref="H39">SUM(('Отчет по покупателям УТ'!$G$6:$G$5000='DATA 2'!H$8)*('Отчет по покупателям УТ'!$M$6:$M$5000='DATA 2'!$A39)*('Отчет по покупателям УТ'!$K$6:$K$5000))</f>
        <v>0</v>
      </c>
      <c r="I39" s="254">
        <f t="array" ref="I39">SUM(('Отчет по покупателям УТ'!$G$6:$G$5000='DATA 2'!I$8)*('Отчет по покупателям УТ'!$M$6:$M$5000='DATA 2'!$A39)*('Отчет по покупателям УТ'!$K$6:$K$5000))</f>
        <v>0</v>
      </c>
      <c r="J39" s="254">
        <f t="array" ref="J39">SUM(('Отчет по покупателям УТ'!$G$6:$G$5000='DATA 2'!J$8)*('Отчет по покупателям УТ'!$M$6:$M$5000='DATA 2'!$A39)*('Отчет по покупателям УТ'!$K$6:$K$5000))</f>
        <v>0</v>
      </c>
      <c r="K39" s="254">
        <f t="array" ref="K39">SUM(('Отчет по покупателям УТ'!$G$6:$G$5000='DATA 2'!K$8)*('Отчет по покупателям УТ'!$M$6:$M$5000='DATA 2'!$A39)*('Отчет по покупателям УТ'!$K$6:$K$5000))</f>
        <v>0</v>
      </c>
      <c r="L39" s="254">
        <f t="array" ref="L39">SUM(('Отчет по покупателям УТ'!$G$6:$G$5000='DATA 2'!L$8)*('Отчет по покупателям УТ'!$M$6:$M$5000='DATA 2'!$A39)*('Отчет по покупателям УТ'!$K$6:$K$5000))</f>
        <v>0</v>
      </c>
      <c r="M39" s="254">
        <f t="array" ref="M39">SUM(('Отчет по покупателям УТ'!$G$6:$G$5000='DATA 2'!M$8)*('Отчет по покупателям УТ'!$M$6:$M$5000='DATA 2'!$A39)*('Отчет по покупателям УТ'!$K$6:$K$5000))</f>
        <v>0</v>
      </c>
      <c r="N39" s="254">
        <f t="array" ref="N39">SUM(('Отчет по покупателям УТ'!$G$6:$G$5000='DATA 2'!N$8)*('Отчет по покупателям УТ'!$M$6:$M$5000='DATA 2'!$A39)*('Отчет по покупателям УТ'!$K$6:$K$5000))</f>
        <v>-53</v>
      </c>
      <c r="O39" s="247">
        <f t="shared" si="11"/>
        <v>-53</v>
      </c>
      <c r="T39" s="9" t="b">
        <f t="shared" si="12"/>
        <v>1</v>
      </c>
      <c r="U39" s="228">
        <f t="shared" si="13"/>
        <v>0</v>
      </c>
      <c r="V39" s="228">
        <f t="shared" si="14"/>
        <v>-53</v>
      </c>
      <c r="W39" s="228">
        <f t="shared" si="15"/>
        <v>0</v>
      </c>
      <c r="X39" s="228">
        <f t="shared" si="16"/>
        <v>-53</v>
      </c>
      <c r="Y39" s="228">
        <f t="shared" si="17"/>
        <v>0</v>
      </c>
      <c r="Z39" s="228">
        <f t="shared" si="18"/>
        <v>-53</v>
      </c>
      <c r="AA39" s="228">
        <f t="shared" si="19"/>
        <v>0</v>
      </c>
      <c r="AB39" s="228">
        <f t="shared" si="20"/>
        <v>-53</v>
      </c>
      <c r="AC39" s="228">
        <f t="shared" si="21"/>
        <v>0</v>
      </c>
      <c r="AD39" s="228">
        <f t="shared" si="22"/>
        <v>-53</v>
      </c>
      <c r="AE39" s="228">
        <f t="shared" si="23"/>
        <v>0</v>
      </c>
      <c r="AF39" s="228">
        <f t="shared" si="24"/>
        <v>-53</v>
      </c>
      <c r="AG39" s="228">
        <f t="shared" si="25"/>
        <v>0</v>
      </c>
      <c r="AH39" s="228">
        <f t="shared" si="26"/>
        <v>-53</v>
      </c>
      <c r="AI39" s="247">
        <f t="shared" si="27"/>
        <v>-53</v>
      </c>
      <c r="AJ39" s="248">
        <f t="shared" si="28"/>
        <v>0</v>
      </c>
    </row>
    <row r="40" spans="1:36" x14ac:dyDescent="0.2">
      <c r="A40" s="47" t="s">
        <v>148</v>
      </c>
      <c r="C40" s="230">
        <v>598252.14999999991</v>
      </c>
      <c r="G40" s="254">
        <f t="array" ref="G40">SUM(('Отчет по покупателям УТ'!$G$6:$G$5000='DATA 2'!G$8)*('Отчет по покупателям УТ'!$M$6:$M$5000='DATA 2'!$A40)*('Отчет по покупателям УТ'!$K$6:$K$5000))</f>
        <v>940525</v>
      </c>
      <c r="H40" s="254">
        <f t="array" ref="H40">SUM(('Отчет по покупателям УТ'!$G$6:$G$5000='DATA 2'!H$8)*('Отчет по покупателям УТ'!$M$6:$M$5000='DATA 2'!$A40)*('Отчет по покупателям УТ'!$K$6:$K$5000))</f>
        <v>0</v>
      </c>
      <c r="I40" s="254">
        <f t="array" ref="I40">SUM(('Отчет по покупателям УТ'!$G$6:$G$5000='DATA 2'!I$8)*('Отчет по покупателям УТ'!$M$6:$M$5000='DATA 2'!$A40)*('Отчет по покупателям УТ'!$K$6:$K$5000))</f>
        <v>0</v>
      </c>
      <c r="J40" s="254">
        <f t="array" ref="J40">SUM(('Отчет по покупателям УТ'!$G$6:$G$5000='DATA 2'!J$8)*('Отчет по покупателям УТ'!$M$6:$M$5000='DATA 2'!$A40)*('Отчет по покупателям УТ'!$K$6:$K$5000))</f>
        <v>0</v>
      </c>
      <c r="K40" s="254">
        <f t="array" ref="K40">SUM(('Отчет по покупателям УТ'!$G$6:$G$5000='DATA 2'!K$8)*('Отчет по покупателям УТ'!$M$6:$M$5000='DATA 2'!$A40)*('Отчет по покупателям УТ'!$K$6:$K$5000))</f>
        <v>0</v>
      </c>
      <c r="L40" s="254">
        <f t="array" ref="L40">SUM(('Отчет по покупателям УТ'!$G$6:$G$5000='DATA 2'!L$8)*('Отчет по покупателям УТ'!$M$6:$M$5000='DATA 2'!$A40)*('Отчет по покупателям УТ'!$K$6:$K$5000))</f>
        <v>0</v>
      </c>
      <c r="M40" s="254">
        <f t="array" ref="M40">SUM(('Отчет по покупателям УТ'!$G$6:$G$5000='DATA 2'!M$8)*('Отчет по покупателям УТ'!$M$6:$M$5000='DATA 2'!$A40)*('Отчет по покупателям УТ'!$K$6:$K$5000))</f>
        <v>0</v>
      </c>
      <c r="N40" s="254">
        <f t="array" ref="N40">SUM(('Отчет по покупателям УТ'!$G$6:$G$5000='DATA 2'!N$8)*('Отчет по покупателям УТ'!$M$6:$M$5000='DATA 2'!$A40)*('Отчет по покупателям УТ'!$K$6:$K$5000))</f>
        <v>-342272.85</v>
      </c>
      <c r="O40" s="247">
        <f t="shared" si="11"/>
        <v>598252.15</v>
      </c>
      <c r="T40" s="9" t="b">
        <f t="shared" si="12"/>
        <v>1</v>
      </c>
      <c r="U40" s="228">
        <f t="shared" si="13"/>
        <v>598252.15</v>
      </c>
      <c r="V40" s="228">
        <f t="shared" si="14"/>
        <v>-342272.85</v>
      </c>
      <c r="W40" s="228">
        <f t="shared" si="15"/>
        <v>0</v>
      </c>
      <c r="X40" s="228">
        <f t="shared" si="16"/>
        <v>-342272.85</v>
      </c>
      <c r="Y40" s="228">
        <f t="shared" si="17"/>
        <v>0</v>
      </c>
      <c r="Z40" s="228">
        <f t="shared" si="18"/>
        <v>-342272.85</v>
      </c>
      <c r="AA40" s="228">
        <f t="shared" si="19"/>
        <v>0</v>
      </c>
      <c r="AB40" s="228">
        <f t="shared" si="20"/>
        <v>-342272.85</v>
      </c>
      <c r="AC40" s="228">
        <f t="shared" si="21"/>
        <v>0</v>
      </c>
      <c r="AD40" s="228">
        <f t="shared" si="22"/>
        <v>-342272.85</v>
      </c>
      <c r="AE40" s="228">
        <f t="shared" si="23"/>
        <v>0</v>
      </c>
      <c r="AF40" s="228">
        <f t="shared" si="24"/>
        <v>-342272.85</v>
      </c>
      <c r="AG40" s="228">
        <f t="shared" si="25"/>
        <v>0</v>
      </c>
      <c r="AH40" s="228">
        <f t="shared" si="26"/>
        <v>0</v>
      </c>
      <c r="AI40" s="247">
        <f t="shared" si="27"/>
        <v>598252.15</v>
      </c>
      <c r="AJ40" s="248">
        <f t="shared" si="28"/>
        <v>598252.15</v>
      </c>
    </row>
    <row r="41" spans="1:36" x14ac:dyDescent="0.2">
      <c r="A41" s="47" t="s">
        <v>149</v>
      </c>
      <c r="C41" s="230">
        <v>-580403.11</v>
      </c>
      <c r="G41" s="254">
        <f t="array" ref="G41">SUM(('Отчет по покупателям УТ'!$G$6:$G$5000='DATA 2'!G$8)*('Отчет по покупателям УТ'!$M$6:$M$5000='DATA 2'!$A41)*('Отчет по покупателям УТ'!$K$6:$K$5000))</f>
        <v>0</v>
      </c>
      <c r="H41" s="254">
        <f t="array" ref="H41">SUM(('Отчет по покупателям УТ'!$G$6:$G$5000='DATA 2'!H$8)*('Отчет по покупателям УТ'!$M$6:$M$5000='DATA 2'!$A41)*('Отчет по покупателям УТ'!$K$6:$K$5000))</f>
        <v>0</v>
      </c>
      <c r="I41" s="254">
        <f t="array" ref="I41">SUM(('Отчет по покупателям УТ'!$G$6:$G$5000='DATA 2'!I$8)*('Отчет по покупателям УТ'!$M$6:$M$5000='DATA 2'!$A41)*('Отчет по покупателям УТ'!$K$6:$K$5000))</f>
        <v>0</v>
      </c>
      <c r="J41" s="254">
        <f t="array" ref="J41">SUM(('Отчет по покупателям УТ'!$G$6:$G$5000='DATA 2'!J$8)*('Отчет по покупателям УТ'!$M$6:$M$5000='DATA 2'!$A41)*('Отчет по покупателям УТ'!$K$6:$K$5000))</f>
        <v>0</v>
      </c>
      <c r="K41" s="254">
        <f t="array" ref="K41">SUM(('Отчет по покупателям УТ'!$G$6:$G$5000='DATA 2'!K$8)*('Отчет по покупателям УТ'!$M$6:$M$5000='DATA 2'!$A41)*('Отчет по покупателям УТ'!$K$6:$K$5000))</f>
        <v>0</v>
      </c>
      <c r="L41" s="254">
        <f t="array" ref="L41">SUM(('Отчет по покупателям УТ'!$G$6:$G$5000='DATA 2'!L$8)*('Отчет по покупателям УТ'!$M$6:$M$5000='DATA 2'!$A41)*('Отчет по покупателям УТ'!$K$6:$K$5000))</f>
        <v>0</v>
      </c>
      <c r="M41" s="254">
        <f t="array" ref="M41">SUM(('Отчет по покупателям УТ'!$G$6:$G$5000='DATA 2'!M$8)*('Отчет по покупателям УТ'!$M$6:$M$5000='DATA 2'!$A41)*('Отчет по покупателям УТ'!$K$6:$K$5000))</f>
        <v>0</v>
      </c>
      <c r="N41" s="254">
        <f t="array" ref="N41">SUM(('Отчет по покупателям УТ'!$G$6:$G$5000='DATA 2'!N$8)*('Отчет по покупателям УТ'!$M$6:$M$5000='DATA 2'!$A41)*('Отчет по покупателям УТ'!$K$6:$K$5000))</f>
        <v>-580403.11</v>
      </c>
      <c r="O41" s="247">
        <f t="shared" si="11"/>
        <v>-580403.11</v>
      </c>
      <c r="T41" s="9" t="b">
        <f t="shared" si="12"/>
        <v>1</v>
      </c>
      <c r="U41" s="228">
        <f t="shared" si="13"/>
        <v>0</v>
      </c>
      <c r="V41" s="228">
        <f t="shared" si="14"/>
        <v>-580403.11</v>
      </c>
      <c r="W41" s="228">
        <f t="shared" si="15"/>
        <v>0</v>
      </c>
      <c r="X41" s="228">
        <f t="shared" si="16"/>
        <v>-580403.11</v>
      </c>
      <c r="Y41" s="228">
        <f t="shared" si="17"/>
        <v>0</v>
      </c>
      <c r="Z41" s="228">
        <f t="shared" si="18"/>
        <v>-580403.11</v>
      </c>
      <c r="AA41" s="228">
        <f t="shared" si="19"/>
        <v>0</v>
      </c>
      <c r="AB41" s="228">
        <f t="shared" si="20"/>
        <v>-580403.11</v>
      </c>
      <c r="AC41" s="228">
        <f t="shared" si="21"/>
        <v>0</v>
      </c>
      <c r="AD41" s="228">
        <f t="shared" si="22"/>
        <v>-580403.11</v>
      </c>
      <c r="AE41" s="228">
        <f t="shared" si="23"/>
        <v>0</v>
      </c>
      <c r="AF41" s="228">
        <f t="shared" si="24"/>
        <v>-580403.11</v>
      </c>
      <c r="AG41" s="228">
        <f t="shared" si="25"/>
        <v>0</v>
      </c>
      <c r="AH41" s="228">
        <f t="shared" si="26"/>
        <v>-580403.11</v>
      </c>
      <c r="AI41" s="247">
        <f t="shared" si="27"/>
        <v>-580403.11</v>
      </c>
      <c r="AJ41" s="248">
        <f t="shared" si="28"/>
        <v>0</v>
      </c>
    </row>
    <row r="42" spans="1:36" x14ac:dyDescent="0.2">
      <c r="A42" s="47" t="s">
        <v>150</v>
      </c>
      <c r="C42" s="230">
        <v>-413.01</v>
      </c>
      <c r="G42" s="254">
        <f t="array" ref="G42">SUM(('Отчет по покупателям УТ'!$G$6:$G$5000='DATA 2'!G$8)*('Отчет по покупателям УТ'!$M$6:$M$5000='DATA 2'!$A42)*('Отчет по покупателям УТ'!$K$6:$K$5000))</f>
        <v>0</v>
      </c>
      <c r="H42" s="254">
        <f t="array" ref="H42">SUM(('Отчет по покупателям УТ'!$G$6:$G$5000='DATA 2'!H$8)*('Отчет по покупателям УТ'!$M$6:$M$5000='DATA 2'!$A42)*('Отчет по покупателям УТ'!$K$6:$K$5000))</f>
        <v>0</v>
      </c>
      <c r="I42" s="254">
        <f t="array" ref="I42">SUM(('Отчет по покупателям УТ'!$G$6:$G$5000='DATA 2'!I$8)*('Отчет по покупателям УТ'!$M$6:$M$5000='DATA 2'!$A42)*('Отчет по покупателям УТ'!$K$6:$K$5000))</f>
        <v>0</v>
      </c>
      <c r="J42" s="254">
        <f t="array" ref="J42">SUM(('Отчет по покупателям УТ'!$G$6:$G$5000='DATA 2'!J$8)*('Отчет по покупателям УТ'!$M$6:$M$5000='DATA 2'!$A42)*('Отчет по покупателям УТ'!$K$6:$K$5000))</f>
        <v>0</v>
      </c>
      <c r="K42" s="254">
        <f t="array" ref="K42">SUM(('Отчет по покупателям УТ'!$G$6:$G$5000='DATA 2'!K$8)*('Отчет по покупателям УТ'!$M$6:$M$5000='DATA 2'!$A42)*('Отчет по покупателям УТ'!$K$6:$K$5000))</f>
        <v>0</v>
      </c>
      <c r="L42" s="254">
        <f t="array" ref="L42">SUM(('Отчет по покупателям УТ'!$G$6:$G$5000='DATA 2'!L$8)*('Отчет по покупателям УТ'!$M$6:$M$5000='DATA 2'!$A42)*('Отчет по покупателям УТ'!$K$6:$K$5000))</f>
        <v>0</v>
      </c>
      <c r="M42" s="254">
        <f t="array" ref="M42">SUM(('Отчет по покупателям УТ'!$G$6:$G$5000='DATA 2'!M$8)*('Отчет по покупателям УТ'!$M$6:$M$5000='DATA 2'!$A42)*('Отчет по покупателям УТ'!$K$6:$K$5000))</f>
        <v>0</v>
      </c>
      <c r="N42" s="254">
        <f t="array" ref="N42">SUM(('Отчет по покупателям УТ'!$G$6:$G$5000='DATA 2'!N$8)*('Отчет по покупателям УТ'!$M$6:$M$5000='DATA 2'!$A42)*('Отчет по покупателям УТ'!$K$6:$K$5000))</f>
        <v>-413.01</v>
      </c>
      <c r="O42" s="247">
        <f t="shared" si="11"/>
        <v>-413.01</v>
      </c>
      <c r="T42" s="9" t="b">
        <f t="shared" si="12"/>
        <v>1</v>
      </c>
      <c r="U42" s="228">
        <f t="shared" si="13"/>
        <v>0</v>
      </c>
      <c r="V42" s="228">
        <f t="shared" si="14"/>
        <v>-413.01</v>
      </c>
      <c r="W42" s="228">
        <f t="shared" si="15"/>
        <v>0</v>
      </c>
      <c r="X42" s="228">
        <f t="shared" si="16"/>
        <v>-413.01</v>
      </c>
      <c r="Y42" s="228">
        <f t="shared" si="17"/>
        <v>0</v>
      </c>
      <c r="Z42" s="228">
        <f t="shared" si="18"/>
        <v>-413.01</v>
      </c>
      <c r="AA42" s="228">
        <f t="shared" si="19"/>
        <v>0</v>
      </c>
      <c r="AB42" s="228">
        <f t="shared" si="20"/>
        <v>-413.01</v>
      </c>
      <c r="AC42" s="228">
        <f t="shared" si="21"/>
        <v>0</v>
      </c>
      <c r="AD42" s="228">
        <f t="shared" si="22"/>
        <v>-413.01</v>
      </c>
      <c r="AE42" s="228">
        <f t="shared" si="23"/>
        <v>0</v>
      </c>
      <c r="AF42" s="228">
        <f t="shared" si="24"/>
        <v>-413.01</v>
      </c>
      <c r="AG42" s="228">
        <f t="shared" si="25"/>
        <v>0</v>
      </c>
      <c r="AH42" s="228">
        <f t="shared" si="26"/>
        <v>-413.01</v>
      </c>
      <c r="AI42" s="247">
        <f t="shared" si="27"/>
        <v>-413.01</v>
      </c>
      <c r="AJ42" s="248">
        <f t="shared" si="28"/>
        <v>0</v>
      </c>
    </row>
    <row r="43" spans="1:36" x14ac:dyDescent="0.2">
      <c r="A43" s="47" t="s">
        <v>152</v>
      </c>
      <c r="C43" s="230">
        <v>-241562</v>
      </c>
      <c r="G43" s="254">
        <f t="array" ref="G43">SUM(('Отчет по покупателям УТ'!$G$6:$G$5000='DATA 2'!G$8)*('Отчет по покупателям УТ'!$M$6:$M$5000='DATA 2'!$A43)*('Отчет по покупателям УТ'!$K$6:$K$5000))</f>
        <v>0</v>
      </c>
      <c r="H43" s="254">
        <f t="array" ref="H43">SUM(('Отчет по покупателям УТ'!$G$6:$G$5000='DATA 2'!H$8)*('Отчет по покупателям УТ'!$M$6:$M$5000='DATA 2'!$A43)*('Отчет по покупателям УТ'!$K$6:$K$5000))</f>
        <v>0</v>
      </c>
      <c r="I43" s="254">
        <f t="array" ref="I43">SUM(('Отчет по покупателям УТ'!$G$6:$G$5000='DATA 2'!I$8)*('Отчет по покупателям УТ'!$M$6:$M$5000='DATA 2'!$A43)*('Отчет по покупателям УТ'!$K$6:$K$5000))</f>
        <v>0</v>
      </c>
      <c r="J43" s="254">
        <f t="array" ref="J43">SUM(('Отчет по покупателям УТ'!$G$6:$G$5000='DATA 2'!J$8)*('Отчет по покупателям УТ'!$M$6:$M$5000='DATA 2'!$A43)*('Отчет по покупателям УТ'!$K$6:$K$5000))</f>
        <v>0</v>
      </c>
      <c r="K43" s="254">
        <f t="array" ref="K43">SUM(('Отчет по покупателям УТ'!$G$6:$G$5000='DATA 2'!K$8)*('Отчет по покупателям УТ'!$M$6:$M$5000='DATA 2'!$A43)*('Отчет по покупателям УТ'!$K$6:$K$5000))</f>
        <v>0</v>
      </c>
      <c r="L43" s="254">
        <f t="array" ref="L43">SUM(('Отчет по покупателям УТ'!$G$6:$G$5000='DATA 2'!L$8)*('Отчет по покупателям УТ'!$M$6:$M$5000='DATA 2'!$A43)*('Отчет по покупателям УТ'!$K$6:$K$5000))</f>
        <v>0</v>
      </c>
      <c r="M43" s="254">
        <f t="array" ref="M43">SUM(('Отчет по покупателям УТ'!$G$6:$G$5000='DATA 2'!M$8)*('Отчет по покупателям УТ'!$M$6:$M$5000='DATA 2'!$A43)*('Отчет по покупателям УТ'!$K$6:$K$5000))</f>
        <v>0</v>
      </c>
      <c r="N43" s="254">
        <f t="array" ref="N43">SUM(('Отчет по покупателям УТ'!$G$6:$G$5000='DATA 2'!N$8)*('Отчет по покупателям УТ'!$M$6:$M$5000='DATA 2'!$A43)*('Отчет по покупателям УТ'!$K$6:$K$5000))</f>
        <v>-241562</v>
      </c>
      <c r="O43" s="247">
        <f t="shared" si="11"/>
        <v>-241562</v>
      </c>
      <c r="T43" s="9" t="b">
        <f t="shared" si="12"/>
        <v>1</v>
      </c>
      <c r="U43" s="228">
        <f t="shared" si="13"/>
        <v>0</v>
      </c>
      <c r="V43" s="228">
        <f t="shared" si="14"/>
        <v>-241562</v>
      </c>
      <c r="W43" s="228">
        <f t="shared" si="15"/>
        <v>0</v>
      </c>
      <c r="X43" s="228">
        <f t="shared" si="16"/>
        <v>-241562</v>
      </c>
      <c r="Y43" s="228">
        <f t="shared" si="17"/>
        <v>0</v>
      </c>
      <c r="Z43" s="228">
        <f t="shared" si="18"/>
        <v>-241562</v>
      </c>
      <c r="AA43" s="228">
        <f t="shared" si="19"/>
        <v>0</v>
      </c>
      <c r="AB43" s="228">
        <f t="shared" si="20"/>
        <v>-241562</v>
      </c>
      <c r="AC43" s="228">
        <f t="shared" si="21"/>
        <v>0</v>
      </c>
      <c r="AD43" s="228">
        <f t="shared" si="22"/>
        <v>-241562</v>
      </c>
      <c r="AE43" s="228">
        <f t="shared" si="23"/>
        <v>0</v>
      </c>
      <c r="AF43" s="228">
        <f t="shared" si="24"/>
        <v>-241562</v>
      </c>
      <c r="AG43" s="228">
        <f t="shared" si="25"/>
        <v>0</v>
      </c>
      <c r="AH43" s="228">
        <f t="shared" si="26"/>
        <v>-241562</v>
      </c>
      <c r="AI43" s="247">
        <f t="shared" si="27"/>
        <v>-241562</v>
      </c>
      <c r="AJ43" s="248">
        <f t="shared" si="28"/>
        <v>0</v>
      </c>
    </row>
    <row r="44" spans="1:36" x14ac:dyDescent="0.2">
      <c r="A44" s="47" t="s">
        <v>154</v>
      </c>
      <c r="C44" s="230">
        <v>-178707.59999999998</v>
      </c>
      <c r="G44" s="254">
        <f t="array" ref="G44">SUM(('Отчет по покупателям УТ'!$G$6:$G$5000='DATA 2'!G$8)*('Отчет по покупателям УТ'!$M$6:$M$5000='DATA 2'!$A44)*('Отчет по покупателям УТ'!$K$6:$K$5000))</f>
        <v>0</v>
      </c>
      <c r="H44" s="254">
        <f t="array" ref="H44">SUM(('Отчет по покупателям УТ'!$G$6:$G$5000='DATA 2'!H$8)*('Отчет по покупателям УТ'!$M$6:$M$5000='DATA 2'!$A44)*('Отчет по покупателям УТ'!$K$6:$K$5000))</f>
        <v>0</v>
      </c>
      <c r="I44" s="254">
        <f t="array" ref="I44">SUM(('Отчет по покупателям УТ'!$G$6:$G$5000='DATA 2'!I$8)*('Отчет по покупателям УТ'!$M$6:$M$5000='DATA 2'!$A44)*('Отчет по покупателям УТ'!$K$6:$K$5000))</f>
        <v>0</v>
      </c>
      <c r="J44" s="254">
        <f t="array" ref="J44">SUM(('Отчет по покупателям УТ'!$G$6:$G$5000='DATA 2'!J$8)*('Отчет по покупателям УТ'!$M$6:$M$5000='DATA 2'!$A44)*('Отчет по покупателям УТ'!$K$6:$K$5000))</f>
        <v>0</v>
      </c>
      <c r="K44" s="254">
        <f t="array" ref="K44">SUM(('Отчет по покупателям УТ'!$G$6:$G$5000='DATA 2'!K$8)*('Отчет по покупателям УТ'!$M$6:$M$5000='DATA 2'!$A44)*('Отчет по покупателям УТ'!$K$6:$K$5000))</f>
        <v>0</v>
      </c>
      <c r="L44" s="254">
        <f t="array" ref="L44">SUM(('Отчет по покупателям УТ'!$G$6:$G$5000='DATA 2'!L$8)*('Отчет по покупателям УТ'!$M$6:$M$5000='DATA 2'!$A44)*('Отчет по покупателям УТ'!$K$6:$K$5000))</f>
        <v>0</v>
      </c>
      <c r="M44" s="254">
        <f t="array" ref="M44">SUM(('Отчет по покупателям УТ'!$G$6:$G$5000='DATA 2'!M$8)*('Отчет по покупателям УТ'!$M$6:$M$5000='DATA 2'!$A44)*('Отчет по покупателям УТ'!$K$6:$K$5000))</f>
        <v>0</v>
      </c>
      <c r="N44" s="254">
        <f t="array" ref="N44">SUM(('Отчет по покупателям УТ'!$G$6:$G$5000='DATA 2'!N$8)*('Отчет по покупателям УТ'!$M$6:$M$5000='DATA 2'!$A44)*('Отчет по покупателям УТ'!$K$6:$K$5000))</f>
        <v>-178707.59999999998</v>
      </c>
      <c r="O44" s="247">
        <f t="shared" si="11"/>
        <v>-178707.59999999998</v>
      </c>
      <c r="T44" s="9" t="b">
        <f t="shared" si="12"/>
        <v>1</v>
      </c>
      <c r="U44" s="228">
        <f t="shared" si="13"/>
        <v>0</v>
      </c>
      <c r="V44" s="228">
        <f t="shared" si="14"/>
        <v>-178707.59999999998</v>
      </c>
      <c r="W44" s="228">
        <f t="shared" si="15"/>
        <v>0</v>
      </c>
      <c r="X44" s="228">
        <f t="shared" si="16"/>
        <v>-178707.59999999998</v>
      </c>
      <c r="Y44" s="228">
        <f t="shared" si="17"/>
        <v>0</v>
      </c>
      <c r="Z44" s="228">
        <f t="shared" si="18"/>
        <v>-178707.59999999998</v>
      </c>
      <c r="AA44" s="228">
        <f t="shared" si="19"/>
        <v>0</v>
      </c>
      <c r="AB44" s="228">
        <f t="shared" si="20"/>
        <v>-178707.59999999998</v>
      </c>
      <c r="AC44" s="228">
        <f t="shared" si="21"/>
        <v>0</v>
      </c>
      <c r="AD44" s="228">
        <f t="shared" si="22"/>
        <v>-178707.59999999998</v>
      </c>
      <c r="AE44" s="228">
        <f t="shared" si="23"/>
        <v>0</v>
      </c>
      <c r="AF44" s="228">
        <f t="shared" si="24"/>
        <v>-178707.59999999998</v>
      </c>
      <c r="AG44" s="228">
        <f t="shared" si="25"/>
        <v>0</v>
      </c>
      <c r="AH44" s="228">
        <f t="shared" si="26"/>
        <v>-178707.59999999998</v>
      </c>
      <c r="AI44" s="247">
        <f t="shared" si="27"/>
        <v>-178707.59999999998</v>
      </c>
      <c r="AJ44" s="248">
        <f t="shared" si="28"/>
        <v>0</v>
      </c>
    </row>
    <row r="45" spans="1:36" x14ac:dyDescent="0.2">
      <c r="A45" s="47" t="s">
        <v>156</v>
      </c>
      <c r="C45" s="230">
        <v>-110330.7</v>
      </c>
      <c r="G45" s="254">
        <f t="array" ref="G45">SUM(('Отчет по покупателям УТ'!$G$6:$G$5000='DATA 2'!G$8)*('Отчет по покупателям УТ'!$M$6:$M$5000='DATA 2'!$A45)*('Отчет по покупателям УТ'!$K$6:$K$5000))</f>
        <v>0</v>
      </c>
      <c r="H45" s="254">
        <f t="array" ref="H45">SUM(('Отчет по покупателям УТ'!$G$6:$G$5000='DATA 2'!H$8)*('Отчет по покупателям УТ'!$M$6:$M$5000='DATA 2'!$A45)*('Отчет по покупателям УТ'!$K$6:$K$5000))</f>
        <v>0</v>
      </c>
      <c r="I45" s="254">
        <f t="array" ref="I45">SUM(('Отчет по покупателям УТ'!$G$6:$G$5000='DATA 2'!I$8)*('Отчет по покупателям УТ'!$M$6:$M$5000='DATA 2'!$A45)*('Отчет по покупателям УТ'!$K$6:$K$5000))</f>
        <v>0</v>
      </c>
      <c r="J45" s="254">
        <f t="array" ref="J45">SUM(('Отчет по покупателям УТ'!$G$6:$G$5000='DATA 2'!J$8)*('Отчет по покупателям УТ'!$M$6:$M$5000='DATA 2'!$A45)*('Отчет по покупателям УТ'!$K$6:$K$5000))</f>
        <v>0</v>
      </c>
      <c r="K45" s="254">
        <f t="array" ref="K45">SUM(('Отчет по покупателям УТ'!$G$6:$G$5000='DATA 2'!K$8)*('Отчет по покупателям УТ'!$M$6:$M$5000='DATA 2'!$A45)*('Отчет по покупателям УТ'!$K$6:$K$5000))</f>
        <v>0</v>
      </c>
      <c r="L45" s="254">
        <f t="array" ref="L45">SUM(('Отчет по покупателям УТ'!$G$6:$G$5000='DATA 2'!L$8)*('Отчет по покупателям УТ'!$M$6:$M$5000='DATA 2'!$A45)*('Отчет по покупателям УТ'!$K$6:$K$5000))</f>
        <v>0</v>
      </c>
      <c r="M45" s="254">
        <f t="array" ref="M45">SUM(('Отчет по покупателям УТ'!$G$6:$G$5000='DATA 2'!M$8)*('Отчет по покупателям УТ'!$M$6:$M$5000='DATA 2'!$A45)*('Отчет по покупателям УТ'!$K$6:$K$5000))</f>
        <v>0</v>
      </c>
      <c r="N45" s="254">
        <f t="array" ref="N45">SUM(('Отчет по покупателям УТ'!$G$6:$G$5000='DATA 2'!N$8)*('Отчет по покупателям УТ'!$M$6:$M$5000='DATA 2'!$A45)*('Отчет по покупателям УТ'!$K$6:$K$5000))</f>
        <v>-110330.7</v>
      </c>
      <c r="O45" s="247">
        <f t="shared" si="11"/>
        <v>-110330.7</v>
      </c>
      <c r="T45" s="9" t="b">
        <f t="shared" si="12"/>
        <v>1</v>
      </c>
      <c r="U45" s="228">
        <f t="shared" si="13"/>
        <v>0</v>
      </c>
      <c r="V45" s="228">
        <f t="shared" si="14"/>
        <v>-110330.7</v>
      </c>
      <c r="W45" s="228">
        <f t="shared" si="15"/>
        <v>0</v>
      </c>
      <c r="X45" s="228">
        <f t="shared" si="16"/>
        <v>-110330.7</v>
      </c>
      <c r="Y45" s="228">
        <f t="shared" si="17"/>
        <v>0</v>
      </c>
      <c r="Z45" s="228">
        <f t="shared" si="18"/>
        <v>-110330.7</v>
      </c>
      <c r="AA45" s="228">
        <f t="shared" si="19"/>
        <v>0</v>
      </c>
      <c r="AB45" s="228">
        <f t="shared" si="20"/>
        <v>-110330.7</v>
      </c>
      <c r="AC45" s="228">
        <f t="shared" si="21"/>
        <v>0</v>
      </c>
      <c r="AD45" s="228">
        <f t="shared" si="22"/>
        <v>-110330.7</v>
      </c>
      <c r="AE45" s="228">
        <f t="shared" si="23"/>
        <v>0</v>
      </c>
      <c r="AF45" s="228">
        <f t="shared" si="24"/>
        <v>-110330.7</v>
      </c>
      <c r="AG45" s="228">
        <f t="shared" si="25"/>
        <v>0</v>
      </c>
      <c r="AH45" s="228">
        <f t="shared" si="26"/>
        <v>-110330.7</v>
      </c>
      <c r="AI45" s="247">
        <f t="shared" si="27"/>
        <v>-110330.7</v>
      </c>
      <c r="AJ45" s="248">
        <f t="shared" si="28"/>
        <v>0</v>
      </c>
    </row>
    <row r="46" spans="1:36" x14ac:dyDescent="0.2">
      <c r="A46" s="47" t="s">
        <v>158</v>
      </c>
      <c r="C46" s="230">
        <v>-245.97</v>
      </c>
      <c r="G46" s="254">
        <f t="array" ref="G46">SUM(('Отчет по покупателям УТ'!$G$6:$G$5000='DATA 2'!G$8)*('Отчет по покупателям УТ'!$M$6:$M$5000='DATA 2'!$A46)*('Отчет по покупателям УТ'!$K$6:$K$5000))</f>
        <v>0</v>
      </c>
      <c r="H46" s="254">
        <f t="array" ref="H46">SUM(('Отчет по покупателям УТ'!$G$6:$G$5000='DATA 2'!H$8)*('Отчет по покупателям УТ'!$M$6:$M$5000='DATA 2'!$A46)*('Отчет по покупателям УТ'!$K$6:$K$5000))</f>
        <v>0</v>
      </c>
      <c r="I46" s="254">
        <f t="array" ref="I46">SUM(('Отчет по покупателям УТ'!$G$6:$G$5000='DATA 2'!I$8)*('Отчет по покупателям УТ'!$M$6:$M$5000='DATA 2'!$A46)*('Отчет по покупателям УТ'!$K$6:$K$5000))</f>
        <v>0</v>
      </c>
      <c r="J46" s="254">
        <f t="array" ref="J46">SUM(('Отчет по покупателям УТ'!$G$6:$G$5000='DATA 2'!J$8)*('Отчет по покупателям УТ'!$M$6:$M$5000='DATA 2'!$A46)*('Отчет по покупателям УТ'!$K$6:$K$5000))</f>
        <v>0</v>
      </c>
      <c r="K46" s="254">
        <f t="array" ref="K46">SUM(('Отчет по покупателям УТ'!$G$6:$G$5000='DATA 2'!K$8)*('Отчет по покупателям УТ'!$M$6:$M$5000='DATA 2'!$A46)*('Отчет по покупателям УТ'!$K$6:$K$5000))</f>
        <v>0</v>
      </c>
      <c r="L46" s="254">
        <f t="array" ref="L46">SUM(('Отчет по покупателям УТ'!$G$6:$G$5000='DATA 2'!L$8)*('Отчет по покупателям УТ'!$M$6:$M$5000='DATA 2'!$A46)*('Отчет по покупателям УТ'!$K$6:$K$5000))</f>
        <v>0</v>
      </c>
      <c r="M46" s="254">
        <f t="array" ref="M46">SUM(('Отчет по покупателям УТ'!$G$6:$G$5000='DATA 2'!M$8)*('Отчет по покупателям УТ'!$M$6:$M$5000='DATA 2'!$A46)*('Отчет по покупателям УТ'!$K$6:$K$5000))</f>
        <v>0</v>
      </c>
      <c r="N46" s="254">
        <f t="array" ref="N46">SUM(('Отчет по покупателям УТ'!$G$6:$G$5000='DATA 2'!N$8)*('Отчет по покупателям УТ'!$M$6:$M$5000='DATA 2'!$A46)*('Отчет по покупателям УТ'!$K$6:$K$5000))</f>
        <v>-245.97</v>
      </c>
      <c r="O46" s="247">
        <f t="shared" si="11"/>
        <v>-245.97</v>
      </c>
      <c r="T46" s="9" t="b">
        <f t="shared" si="12"/>
        <v>1</v>
      </c>
      <c r="U46" s="228">
        <f t="shared" si="13"/>
        <v>0</v>
      </c>
      <c r="V46" s="228">
        <f t="shared" si="14"/>
        <v>-245.97</v>
      </c>
      <c r="W46" s="228">
        <f t="shared" si="15"/>
        <v>0</v>
      </c>
      <c r="X46" s="228">
        <f t="shared" si="16"/>
        <v>-245.97</v>
      </c>
      <c r="Y46" s="228">
        <f t="shared" si="17"/>
        <v>0</v>
      </c>
      <c r="Z46" s="228">
        <f t="shared" si="18"/>
        <v>-245.97</v>
      </c>
      <c r="AA46" s="228">
        <f t="shared" si="19"/>
        <v>0</v>
      </c>
      <c r="AB46" s="228">
        <f t="shared" si="20"/>
        <v>-245.97</v>
      </c>
      <c r="AC46" s="228">
        <f t="shared" si="21"/>
        <v>0</v>
      </c>
      <c r="AD46" s="228">
        <f t="shared" si="22"/>
        <v>-245.97</v>
      </c>
      <c r="AE46" s="228">
        <f t="shared" si="23"/>
        <v>0</v>
      </c>
      <c r="AF46" s="228">
        <f t="shared" si="24"/>
        <v>-245.97</v>
      </c>
      <c r="AG46" s="228">
        <f t="shared" si="25"/>
        <v>0</v>
      </c>
      <c r="AH46" s="228">
        <f t="shared" si="26"/>
        <v>-245.97</v>
      </c>
      <c r="AI46" s="247">
        <f t="shared" si="27"/>
        <v>-245.97</v>
      </c>
      <c r="AJ46" s="248">
        <f t="shared" si="28"/>
        <v>0</v>
      </c>
    </row>
    <row r="47" spans="1:36" x14ac:dyDescent="0.2">
      <c r="A47" s="47" t="s">
        <v>164</v>
      </c>
      <c r="C47" s="230">
        <v>-79689.259999999995</v>
      </c>
      <c r="G47" s="254">
        <f t="array" ref="G47">SUM(('Отчет по покупателям УТ'!$G$6:$G$5000='DATA 2'!G$8)*('Отчет по покупателям УТ'!$M$6:$M$5000='DATA 2'!$A47)*('Отчет по покупателям УТ'!$K$6:$K$5000))</f>
        <v>0</v>
      </c>
      <c r="H47" s="254">
        <f t="array" ref="H47">SUM(('Отчет по покупателям УТ'!$G$6:$G$5000='DATA 2'!H$8)*('Отчет по покупателям УТ'!$M$6:$M$5000='DATA 2'!$A47)*('Отчет по покупателям УТ'!$K$6:$K$5000))</f>
        <v>0</v>
      </c>
      <c r="I47" s="254">
        <f t="array" ref="I47">SUM(('Отчет по покупателям УТ'!$G$6:$G$5000='DATA 2'!I$8)*('Отчет по покупателям УТ'!$M$6:$M$5000='DATA 2'!$A47)*('Отчет по покупателям УТ'!$K$6:$K$5000))</f>
        <v>0</v>
      </c>
      <c r="J47" s="254">
        <f t="array" ref="J47">SUM(('Отчет по покупателям УТ'!$G$6:$G$5000='DATA 2'!J$8)*('Отчет по покупателям УТ'!$M$6:$M$5000='DATA 2'!$A47)*('Отчет по покупателям УТ'!$K$6:$K$5000))</f>
        <v>0</v>
      </c>
      <c r="K47" s="254">
        <f t="array" ref="K47">SUM(('Отчет по покупателям УТ'!$G$6:$G$5000='DATA 2'!K$8)*('Отчет по покупателям УТ'!$M$6:$M$5000='DATA 2'!$A47)*('Отчет по покупателям УТ'!$K$6:$K$5000))</f>
        <v>0</v>
      </c>
      <c r="L47" s="254">
        <f t="array" ref="L47">SUM(('Отчет по покупателям УТ'!$G$6:$G$5000='DATA 2'!L$8)*('Отчет по покупателям УТ'!$M$6:$M$5000='DATA 2'!$A47)*('Отчет по покупателям УТ'!$K$6:$K$5000))</f>
        <v>0</v>
      </c>
      <c r="M47" s="254">
        <f t="array" ref="M47">SUM(('Отчет по покупателям УТ'!$G$6:$G$5000='DATA 2'!M$8)*('Отчет по покупателям УТ'!$M$6:$M$5000='DATA 2'!$A47)*('Отчет по покупателям УТ'!$K$6:$K$5000))</f>
        <v>0</v>
      </c>
      <c r="N47" s="254">
        <f t="array" ref="N47">SUM(('Отчет по покупателям УТ'!$G$6:$G$5000='DATA 2'!N$8)*('Отчет по покупателям УТ'!$M$6:$M$5000='DATA 2'!$A47)*('Отчет по покупателям УТ'!$K$6:$K$5000))</f>
        <v>-79689.259999999995</v>
      </c>
      <c r="O47" s="247">
        <f t="shared" si="11"/>
        <v>-79689.259999999995</v>
      </c>
      <c r="T47" s="9" t="b">
        <f t="shared" si="12"/>
        <v>1</v>
      </c>
      <c r="U47" s="228">
        <f t="shared" si="13"/>
        <v>0</v>
      </c>
      <c r="V47" s="228">
        <f t="shared" si="14"/>
        <v>-79689.259999999995</v>
      </c>
      <c r="W47" s="228">
        <f t="shared" si="15"/>
        <v>0</v>
      </c>
      <c r="X47" s="228">
        <f t="shared" si="16"/>
        <v>-79689.259999999995</v>
      </c>
      <c r="Y47" s="228">
        <f t="shared" si="17"/>
        <v>0</v>
      </c>
      <c r="Z47" s="228">
        <f t="shared" si="18"/>
        <v>-79689.259999999995</v>
      </c>
      <c r="AA47" s="228">
        <f t="shared" si="19"/>
        <v>0</v>
      </c>
      <c r="AB47" s="228">
        <f t="shared" si="20"/>
        <v>-79689.259999999995</v>
      </c>
      <c r="AC47" s="228">
        <f t="shared" si="21"/>
        <v>0</v>
      </c>
      <c r="AD47" s="228">
        <f t="shared" si="22"/>
        <v>-79689.259999999995</v>
      </c>
      <c r="AE47" s="228">
        <f t="shared" si="23"/>
        <v>0</v>
      </c>
      <c r="AF47" s="228">
        <f t="shared" si="24"/>
        <v>-79689.259999999995</v>
      </c>
      <c r="AG47" s="228">
        <f t="shared" si="25"/>
        <v>0</v>
      </c>
      <c r="AH47" s="228">
        <f t="shared" si="26"/>
        <v>-79689.259999999995</v>
      </c>
      <c r="AI47" s="247">
        <f t="shared" si="27"/>
        <v>-79689.259999999995</v>
      </c>
      <c r="AJ47" s="248">
        <f t="shared" si="28"/>
        <v>0</v>
      </c>
    </row>
    <row r="48" spans="1:36" x14ac:dyDescent="0.2">
      <c r="A48" s="47" t="s">
        <v>168</v>
      </c>
      <c r="C48" s="230">
        <v>-35353.949999999997</v>
      </c>
      <c r="G48" s="254">
        <f t="array" ref="G48">SUM(('Отчет по покупателям УТ'!$G$6:$G$5000='DATA 2'!G$8)*('Отчет по покупателям УТ'!$M$6:$M$5000='DATA 2'!$A48)*('Отчет по покупателям УТ'!$K$6:$K$5000))</f>
        <v>0</v>
      </c>
      <c r="H48" s="254">
        <f t="array" ref="H48">SUM(('Отчет по покупателям УТ'!$G$6:$G$5000='DATA 2'!H$8)*('Отчет по покупателям УТ'!$M$6:$M$5000='DATA 2'!$A48)*('Отчет по покупателям УТ'!$K$6:$K$5000))</f>
        <v>0</v>
      </c>
      <c r="I48" s="254">
        <f t="array" ref="I48">SUM(('Отчет по покупателям УТ'!$G$6:$G$5000='DATA 2'!I$8)*('Отчет по покупателям УТ'!$M$6:$M$5000='DATA 2'!$A48)*('Отчет по покупателям УТ'!$K$6:$K$5000))</f>
        <v>0</v>
      </c>
      <c r="J48" s="254">
        <f t="array" ref="J48">SUM(('Отчет по покупателям УТ'!$G$6:$G$5000='DATA 2'!J$8)*('Отчет по покупателям УТ'!$M$6:$M$5000='DATA 2'!$A48)*('Отчет по покупателям УТ'!$K$6:$K$5000))</f>
        <v>0</v>
      </c>
      <c r="K48" s="254">
        <f t="array" ref="K48">SUM(('Отчет по покупателям УТ'!$G$6:$G$5000='DATA 2'!K$8)*('Отчет по покупателям УТ'!$M$6:$M$5000='DATA 2'!$A48)*('Отчет по покупателям УТ'!$K$6:$K$5000))</f>
        <v>0</v>
      </c>
      <c r="L48" s="254">
        <f t="array" ref="L48">SUM(('Отчет по покупателям УТ'!$G$6:$G$5000='DATA 2'!L$8)*('Отчет по покупателям УТ'!$M$6:$M$5000='DATA 2'!$A48)*('Отчет по покупателям УТ'!$K$6:$K$5000))</f>
        <v>0</v>
      </c>
      <c r="M48" s="254">
        <f t="array" ref="M48">SUM(('Отчет по покупателям УТ'!$G$6:$G$5000='DATA 2'!M$8)*('Отчет по покупателям УТ'!$M$6:$M$5000='DATA 2'!$A48)*('Отчет по покупателям УТ'!$K$6:$K$5000))</f>
        <v>0</v>
      </c>
      <c r="N48" s="254">
        <f t="array" ref="N48">SUM(('Отчет по покупателям УТ'!$G$6:$G$5000='DATA 2'!N$8)*('Отчет по покупателям УТ'!$M$6:$M$5000='DATA 2'!$A48)*('Отчет по покупателям УТ'!$K$6:$K$5000))</f>
        <v>-35353.949999999997</v>
      </c>
      <c r="O48" s="247">
        <f t="shared" si="11"/>
        <v>-35353.949999999997</v>
      </c>
      <c r="T48" s="9" t="b">
        <f t="shared" si="12"/>
        <v>1</v>
      </c>
      <c r="U48" s="228">
        <f t="shared" si="13"/>
        <v>0</v>
      </c>
      <c r="V48" s="228">
        <f t="shared" si="14"/>
        <v>-35353.949999999997</v>
      </c>
      <c r="W48" s="228">
        <f t="shared" si="15"/>
        <v>0</v>
      </c>
      <c r="X48" s="228">
        <f t="shared" si="16"/>
        <v>-35353.949999999997</v>
      </c>
      <c r="Y48" s="228">
        <f t="shared" si="17"/>
        <v>0</v>
      </c>
      <c r="Z48" s="228">
        <f t="shared" si="18"/>
        <v>-35353.949999999997</v>
      </c>
      <c r="AA48" s="228">
        <f t="shared" si="19"/>
        <v>0</v>
      </c>
      <c r="AB48" s="228">
        <f t="shared" si="20"/>
        <v>-35353.949999999997</v>
      </c>
      <c r="AC48" s="228">
        <f t="shared" si="21"/>
        <v>0</v>
      </c>
      <c r="AD48" s="228">
        <f t="shared" si="22"/>
        <v>-35353.949999999997</v>
      </c>
      <c r="AE48" s="228">
        <f t="shared" si="23"/>
        <v>0</v>
      </c>
      <c r="AF48" s="228">
        <f t="shared" si="24"/>
        <v>-35353.949999999997</v>
      </c>
      <c r="AG48" s="228">
        <f t="shared" si="25"/>
        <v>0</v>
      </c>
      <c r="AH48" s="228">
        <f t="shared" si="26"/>
        <v>-35353.949999999997</v>
      </c>
      <c r="AI48" s="247">
        <f t="shared" si="27"/>
        <v>-35353.949999999997</v>
      </c>
      <c r="AJ48" s="248">
        <f t="shared" si="28"/>
        <v>0</v>
      </c>
    </row>
    <row r="49" spans="1:36" x14ac:dyDescent="0.2">
      <c r="A49" s="47" t="s">
        <v>173</v>
      </c>
      <c r="C49" s="230">
        <v>-57267</v>
      </c>
      <c r="G49" s="254">
        <f t="array" ref="G49">SUM(('Отчет по покупателям УТ'!$G$6:$G$5000='DATA 2'!G$8)*('Отчет по покупателям УТ'!$M$6:$M$5000='DATA 2'!$A49)*('Отчет по покупателям УТ'!$K$6:$K$5000))</f>
        <v>0</v>
      </c>
      <c r="H49" s="254">
        <f t="array" ref="H49">SUM(('Отчет по покупателям УТ'!$G$6:$G$5000='DATA 2'!H$8)*('Отчет по покупателям УТ'!$M$6:$M$5000='DATA 2'!$A49)*('Отчет по покупателям УТ'!$K$6:$K$5000))</f>
        <v>0</v>
      </c>
      <c r="I49" s="254">
        <f t="array" ref="I49">SUM(('Отчет по покупателям УТ'!$G$6:$G$5000='DATA 2'!I$8)*('Отчет по покупателям УТ'!$M$6:$M$5000='DATA 2'!$A49)*('Отчет по покупателям УТ'!$K$6:$K$5000))</f>
        <v>0</v>
      </c>
      <c r="J49" s="254">
        <f t="array" ref="J49">SUM(('Отчет по покупателям УТ'!$G$6:$G$5000='DATA 2'!J$8)*('Отчет по покупателям УТ'!$M$6:$M$5000='DATA 2'!$A49)*('Отчет по покупателям УТ'!$K$6:$K$5000))</f>
        <v>0</v>
      </c>
      <c r="K49" s="254">
        <f t="array" ref="K49">SUM(('Отчет по покупателям УТ'!$G$6:$G$5000='DATA 2'!K$8)*('Отчет по покупателям УТ'!$M$6:$M$5000='DATA 2'!$A49)*('Отчет по покупателям УТ'!$K$6:$K$5000))</f>
        <v>0</v>
      </c>
      <c r="L49" s="254">
        <f t="array" ref="L49">SUM(('Отчет по покупателям УТ'!$G$6:$G$5000='DATA 2'!L$8)*('Отчет по покупателям УТ'!$M$6:$M$5000='DATA 2'!$A49)*('Отчет по покупателям УТ'!$K$6:$K$5000))</f>
        <v>0</v>
      </c>
      <c r="M49" s="254">
        <f t="array" ref="M49">SUM(('Отчет по покупателям УТ'!$G$6:$G$5000='DATA 2'!M$8)*('Отчет по покупателям УТ'!$M$6:$M$5000='DATA 2'!$A49)*('Отчет по покупателям УТ'!$K$6:$K$5000))</f>
        <v>0</v>
      </c>
      <c r="N49" s="254">
        <f t="array" ref="N49">SUM(('Отчет по покупателям УТ'!$G$6:$G$5000='DATA 2'!N$8)*('Отчет по покупателям УТ'!$M$6:$M$5000='DATA 2'!$A49)*('Отчет по покупателям УТ'!$K$6:$K$5000))</f>
        <v>-57267</v>
      </c>
      <c r="O49" s="247">
        <f t="shared" si="11"/>
        <v>-57267</v>
      </c>
      <c r="T49" s="9" t="b">
        <f t="shared" si="12"/>
        <v>1</v>
      </c>
      <c r="U49" s="228">
        <f t="shared" si="13"/>
        <v>0</v>
      </c>
      <c r="V49" s="228">
        <f t="shared" si="14"/>
        <v>-57267</v>
      </c>
      <c r="W49" s="228">
        <f t="shared" si="15"/>
        <v>0</v>
      </c>
      <c r="X49" s="228">
        <f t="shared" si="16"/>
        <v>-57267</v>
      </c>
      <c r="Y49" s="228">
        <f t="shared" si="17"/>
        <v>0</v>
      </c>
      <c r="Z49" s="228">
        <f t="shared" si="18"/>
        <v>-57267</v>
      </c>
      <c r="AA49" s="228">
        <f t="shared" si="19"/>
        <v>0</v>
      </c>
      <c r="AB49" s="228">
        <f t="shared" si="20"/>
        <v>-57267</v>
      </c>
      <c r="AC49" s="228">
        <f t="shared" si="21"/>
        <v>0</v>
      </c>
      <c r="AD49" s="228">
        <f t="shared" si="22"/>
        <v>-57267</v>
      </c>
      <c r="AE49" s="228">
        <f t="shared" si="23"/>
        <v>0</v>
      </c>
      <c r="AF49" s="228">
        <f t="shared" si="24"/>
        <v>-57267</v>
      </c>
      <c r="AG49" s="228">
        <f t="shared" si="25"/>
        <v>0</v>
      </c>
      <c r="AH49" s="228">
        <f t="shared" si="26"/>
        <v>-57267</v>
      </c>
      <c r="AI49" s="247">
        <f t="shared" si="27"/>
        <v>-57267</v>
      </c>
      <c r="AJ49" s="248">
        <f t="shared" si="28"/>
        <v>0</v>
      </c>
    </row>
    <row r="50" spans="1:36" x14ac:dyDescent="0.2">
      <c r="A50" s="47" t="s">
        <v>178</v>
      </c>
      <c r="C50" s="230">
        <v>-1123932.3999999999</v>
      </c>
      <c r="G50" s="254">
        <f t="array" ref="G50">SUM(('Отчет по покупателям УТ'!$G$6:$G$5000='DATA 2'!G$8)*('Отчет по покупателям УТ'!$M$6:$M$5000='DATA 2'!$A50)*('Отчет по покупателям УТ'!$K$6:$K$5000))</f>
        <v>0</v>
      </c>
      <c r="H50" s="254">
        <f t="array" ref="H50">SUM(('Отчет по покупателям УТ'!$G$6:$G$5000='DATA 2'!H$8)*('Отчет по покупателям УТ'!$M$6:$M$5000='DATA 2'!$A50)*('Отчет по покупателям УТ'!$K$6:$K$5000))</f>
        <v>0</v>
      </c>
      <c r="I50" s="254">
        <f t="array" ref="I50">SUM(('Отчет по покупателям УТ'!$G$6:$G$5000='DATA 2'!I$8)*('Отчет по покупателям УТ'!$M$6:$M$5000='DATA 2'!$A50)*('Отчет по покупателям УТ'!$K$6:$K$5000))</f>
        <v>0</v>
      </c>
      <c r="J50" s="254">
        <f t="array" ref="J50">SUM(('Отчет по покупателям УТ'!$G$6:$G$5000='DATA 2'!J$8)*('Отчет по покупателям УТ'!$M$6:$M$5000='DATA 2'!$A50)*('Отчет по покупателям УТ'!$K$6:$K$5000))</f>
        <v>0</v>
      </c>
      <c r="K50" s="254">
        <f t="array" ref="K50">SUM(('Отчет по покупателям УТ'!$G$6:$G$5000='DATA 2'!K$8)*('Отчет по покупателям УТ'!$M$6:$M$5000='DATA 2'!$A50)*('Отчет по покупателям УТ'!$K$6:$K$5000))</f>
        <v>0</v>
      </c>
      <c r="L50" s="254">
        <f t="array" ref="L50">SUM(('Отчет по покупателям УТ'!$G$6:$G$5000='DATA 2'!L$8)*('Отчет по покупателям УТ'!$M$6:$M$5000='DATA 2'!$A50)*('Отчет по покупателям УТ'!$K$6:$K$5000))</f>
        <v>0</v>
      </c>
      <c r="M50" s="254">
        <f t="array" ref="M50">SUM(('Отчет по покупателям УТ'!$G$6:$G$5000='DATA 2'!M$8)*('Отчет по покупателям УТ'!$M$6:$M$5000='DATA 2'!$A50)*('Отчет по покупателям УТ'!$K$6:$K$5000))</f>
        <v>0</v>
      </c>
      <c r="N50" s="254">
        <f t="array" ref="N50">SUM(('Отчет по покупателям УТ'!$G$6:$G$5000='DATA 2'!N$8)*('Отчет по покупателям УТ'!$M$6:$M$5000='DATA 2'!$A50)*('Отчет по покупателям УТ'!$K$6:$K$5000))</f>
        <v>-1123932.3999999999</v>
      </c>
      <c r="O50" s="247">
        <f t="shared" si="11"/>
        <v>-1123932.3999999999</v>
      </c>
      <c r="T50" s="9" t="b">
        <f t="shared" si="12"/>
        <v>1</v>
      </c>
      <c r="U50" s="228">
        <f t="shared" si="13"/>
        <v>0</v>
      </c>
      <c r="V50" s="228">
        <f t="shared" si="14"/>
        <v>-1123932.3999999999</v>
      </c>
      <c r="W50" s="228">
        <f t="shared" si="15"/>
        <v>0</v>
      </c>
      <c r="X50" s="228">
        <f t="shared" si="16"/>
        <v>-1123932.3999999999</v>
      </c>
      <c r="Y50" s="228">
        <f t="shared" si="17"/>
        <v>0</v>
      </c>
      <c r="Z50" s="228">
        <f t="shared" si="18"/>
        <v>-1123932.3999999999</v>
      </c>
      <c r="AA50" s="228">
        <f t="shared" si="19"/>
        <v>0</v>
      </c>
      <c r="AB50" s="228">
        <f t="shared" si="20"/>
        <v>-1123932.3999999999</v>
      </c>
      <c r="AC50" s="228">
        <f t="shared" si="21"/>
        <v>0</v>
      </c>
      <c r="AD50" s="228">
        <f t="shared" si="22"/>
        <v>-1123932.3999999999</v>
      </c>
      <c r="AE50" s="228">
        <f t="shared" si="23"/>
        <v>0</v>
      </c>
      <c r="AF50" s="228">
        <f t="shared" si="24"/>
        <v>-1123932.3999999999</v>
      </c>
      <c r="AG50" s="228">
        <f t="shared" si="25"/>
        <v>0</v>
      </c>
      <c r="AH50" s="228">
        <f t="shared" si="26"/>
        <v>-1123932.3999999999</v>
      </c>
      <c r="AI50" s="247">
        <f t="shared" si="27"/>
        <v>-1123932.3999999999</v>
      </c>
      <c r="AJ50" s="248">
        <f t="shared" si="28"/>
        <v>0</v>
      </c>
    </row>
    <row r="51" spans="1:36" x14ac:dyDescent="0.2">
      <c r="A51" s="47" t="s">
        <v>180</v>
      </c>
      <c r="C51" s="230">
        <v>85942.5</v>
      </c>
      <c r="G51" s="254">
        <f t="array" ref="G51">SUM(('Отчет по покупателям УТ'!$G$6:$G$5000='DATA 2'!G$8)*('Отчет по покупателям УТ'!$M$6:$M$5000='DATA 2'!$A51)*('Отчет по покупателям УТ'!$K$6:$K$5000))</f>
        <v>0</v>
      </c>
      <c r="H51" s="254">
        <f t="array" ref="H51">SUM(('Отчет по покупателям УТ'!$G$6:$G$5000='DATA 2'!H$8)*('Отчет по покупателям УТ'!$M$6:$M$5000='DATA 2'!$A51)*('Отчет по покупателям УТ'!$K$6:$K$5000))</f>
        <v>0</v>
      </c>
      <c r="I51" s="254">
        <f t="array" ref="I51">SUM(('Отчет по покупателям УТ'!$G$6:$G$5000='DATA 2'!I$8)*('Отчет по покупателям УТ'!$M$6:$M$5000='DATA 2'!$A51)*('Отчет по покупателям УТ'!$K$6:$K$5000))</f>
        <v>0</v>
      </c>
      <c r="J51" s="254">
        <f t="array" ref="J51">SUM(('Отчет по покупателям УТ'!$G$6:$G$5000='DATA 2'!J$8)*('Отчет по покупателям УТ'!$M$6:$M$5000='DATA 2'!$A51)*('Отчет по покупателям УТ'!$K$6:$K$5000))</f>
        <v>0</v>
      </c>
      <c r="K51" s="254">
        <f t="array" ref="K51">SUM(('Отчет по покупателям УТ'!$G$6:$G$5000='DATA 2'!K$8)*('Отчет по покупателям УТ'!$M$6:$M$5000='DATA 2'!$A51)*('Отчет по покупателям УТ'!$K$6:$K$5000))</f>
        <v>0</v>
      </c>
      <c r="L51" s="254">
        <f t="array" ref="L51">SUM(('Отчет по покупателям УТ'!$G$6:$G$5000='DATA 2'!L$8)*('Отчет по покупателям УТ'!$M$6:$M$5000='DATA 2'!$A51)*('Отчет по покупателям УТ'!$K$6:$K$5000))</f>
        <v>0</v>
      </c>
      <c r="M51" s="254">
        <f t="array" ref="M51">SUM(('Отчет по покупателям УТ'!$G$6:$G$5000='DATA 2'!M$8)*('Отчет по покупателям УТ'!$M$6:$M$5000='DATA 2'!$A51)*('Отчет по покупателям УТ'!$K$6:$K$5000))</f>
        <v>85942.5</v>
      </c>
      <c r="N51" s="254">
        <f t="array" ref="N51">SUM(('Отчет по покупателям УТ'!$G$6:$G$5000='DATA 2'!N$8)*('Отчет по покупателям УТ'!$M$6:$M$5000='DATA 2'!$A51)*('Отчет по покупателям УТ'!$K$6:$K$5000))</f>
        <v>0</v>
      </c>
      <c r="O51" s="247">
        <f t="shared" si="11"/>
        <v>85942.5</v>
      </c>
      <c r="T51" s="9" t="b">
        <f t="shared" si="12"/>
        <v>1</v>
      </c>
      <c r="U51" s="228">
        <f t="shared" si="13"/>
        <v>0</v>
      </c>
      <c r="V51" s="228">
        <f t="shared" si="14"/>
        <v>0</v>
      </c>
      <c r="W51" s="228">
        <f t="shared" si="15"/>
        <v>0</v>
      </c>
      <c r="X51" s="228">
        <f t="shared" si="16"/>
        <v>0</v>
      </c>
      <c r="Y51" s="228">
        <f t="shared" si="17"/>
        <v>0</v>
      </c>
      <c r="Z51" s="228">
        <f t="shared" si="18"/>
        <v>0</v>
      </c>
      <c r="AA51" s="228">
        <f t="shared" si="19"/>
        <v>0</v>
      </c>
      <c r="AB51" s="228">
        <f t="shared" si="20"/>
        <v>0</v>
      </c>
      <c r="AC51" s="228">
        <f t="shared" si="21"/>
        <v>0</v>
      </c>
      <c r="AD51" s="228">
        <f t="shared" si="22"/>
        <v>0</v>
      </c>
      <c r="AE51" s="228">
        <f t="shared" si="23"/>
        <v>0</v>
      </c>
      <c r="AF51" s="228">
        <f t="shared" si="24"/>
        <v>0</v>
      </c>
      <c r="AG51" s="228">
        <f t="shared" si="25"/>
        <v>85942.5</v>
      </c>
      <c r="AH51" s="228">
        <f t="shared" si="26"/>
        <v>0</v>
      </c>
      <c r="AI51" s="247">
        <f t="shared" si="27"/>
        <v>85942.5</v>
      </c>
      <c r="AJ51" s="248">
        <f t="shared" si="28"/>
        <v>85942.5</v>
      </c>
    </row>
    <row r="52" spans="1:36" x14ac:dyDescent="0.2">
      <c r="A52" s="47" t="s">
        <v>183</v>
      </c>
      <c r="C52" s="230">
        <v>-18087.14</v>
      </c>
      <c r="G52" s="254">
        <f t="array" ref="G52">SUM(('Отчет по покупателям УТ'!$G$6:$G$5000='DATA 2'!G$8)*('Отчет по покупателям УТ'!$M$6:$M$5000='DATA 2'!$A52)*('Отчет по покупателям УТ'!$K$6:$K$5000))</f>
        <v>0</v>
      </c>
      <c r="H52" s="254">
        <f t="array" ref="H52">SUM(('Отчет по покупателям УТ'!$G$6:$G$5000='DATA 2'!H$8)*('Отчет по покупателям УТ'!$M$6:$M$5000='DATA 2'!$A52)*('Отчет по покупателям УТ'!$K$6:$K$5000))</f>
        <v>0</v>
      </c>
      <c r="I52" s="254">
        <f t="array" ref="I52">SUM(('Отчет по покупателям УТ'!$G$6:$G$5000='DATA 2'!I$8)*('Отчет по покупателям УТ'!$M$6:$M$5000='DATA 2'!$A52)*('Отчет по покупателям УТ'!$K$6:$K$5000))</f>
        <v>0</v>
      </c>
      <c r="J52" s="254">
        <f t="array" ref="J52">SUM(('Отчет по покупателям УТ'!$G$6:$G$5000='DATA 2'!J$8)*('Отчет по покупателям УТ'!$M$6:$M$5000='DATA 2'!$A52)*('Отчет по покупателям УТ'!$K$6:$K$5000))</f>
        <v>0</v>
      </c>
      <c r="K52" s="254">
        <f t="array" ref="K52">SUM(('Отчет по покупателям УТ'!$G$6:$G$5000='DATA 2'!K$8)*('Отчет по покупателям УТ'!$M$6:$M$5000='DATA 2'!$A52)*('Отчет по покупателям УТ'!$K$6:$K$5000))</f>
        <v>0</v>
      </c>
      <c r="L52" s="254">
        <f t="array" ref="L52">SUM(('Отчет по покупателям УТ'!$G$6:$G$5000='DATA 2'!L$8)*('Отчет по покупателям УТ'!$M$6:$M$5000='DATA 2'!$A52)*('Отчет по покупателям УТ'!$K$6:$K$5000))</f>
        <v>0</v>
      </c>
      <c r="M52" s="254">
        <f t="array" ref="M52">SUM(('Отчет по покупателям УТ'!$G$6:$G$5000='DATA 2'!M$8)*('Отчет по покупателям УТ'!$M$6:$M$5000='DATA 2'!$A52)*('Отчет по покупателям УТ'!$K$6:$K$5000))</f>
        <v>0</v>
      </c>
      <c r="N52" s="254">
        <f t="array" ref="N52">SUM(('Отчет по покупателям УТ'!$G$6:$G$5000='DATA 2'!N$8)*('Отчет по покупателям УТ'!$M$6:$M$5000='DATA 2'!$A52)*('Отчет по покупателям УТ'!$K$6:$K$5000))</f>
        <v>-18087.14</v>
      </c>
      <c r="O52" s="247">
        <f t="shared" si="11"/>
        <v>-18087.14</v>
      </c>
      <c r="T52" s="9" t="b">
        <f t="shared" si="12"/>
        <v>1</v>
      </c>
      <c r="U52" s="228">
        <f t="shared" si="13"/>
        <v>0</v>
      </c>
      <c r="V52" s="228">
        <f t="shared" si="14"/>
        <v>-18087.14</v>
      </c>
      <c r="W52" s="228">
        <f t="shared" si="15"/>
        <v>0</v>
      </c>
      <c r="X52" s="228">
        <f t="shared" si="16"/>
        <v>-18087.14</v>
      </c>
      <c r="Y52" s="228">
        <f t="shared" si="17"/>
        <v>0</v>
      </c>
      <c r="Z52" s="228">
        <f t="shared" si="18"/>
        <v>-18087.14</v>
      </c>
      <c r="AA52" s="228">
        <f t="shared" si="19"/>
        <v>0</v>
      </c>
      <c r="AB52" s="228">
        <f t="shared" si="20"/>
        <v>-18087.14</v>
      </c>
      <c r="AC52" s="228">
        <f t="shared" si="21"/>
        <v>0</v>
      </c>
      <c r="AD52" s="228">
        <f t="shared" si="22"/>
        <v>-18087.14</v>
      </c>
      <c r="AE52" s="228">
        <f t="shared" si="23"/>
        <v>0</v>
      </c>
      <c r="AF52" s="228">
        <f t="shared" si="24"/>
        <v>-18087.14</v>
      </c>
      <c r="AG52" s="228">
        <f t="shared" si="25"/>
        <v>0</v>
      </c>
      <c r="AH52" s="228">
        <f t="shared" si="26"/>
        <v>-18087.14</v>
      </c>
      <c r="AI52" s="247">
        <f t="shared" si="27"/>
        <v>-18087.14</v>
      </c>
      <c r="AJ52" s="248">
        <f t="shared" si="28"/>
        <v>0</v>
      </c>
    </row>
    <row r="53" spans="1:36" x14ac:dyDescent="0.2">
      <c r="A53" s="47" t="s">
        <v>185</v>
      </c>
      <c r="C53" s="230">
        <v>5949681.5600000005</v>
      </c>
      <c r="G53" s="254">
        <f t="array" ref="G53">SUM(('Отчет по покупателям УТ'!$G$6:$G$5000='DATA 2'!G$8)*('Отчет по покупателям УТ'!$M$6:$M$5000='DATA 2'!$A53)*('Отчет по покупателям УТ'!$K$6:$K$5000))</f>
        <v>5949681.5600000005</v>
      </c>
      <c r="H53" s="254">
        <f t="array" ref="H53">SUM(('Отчет по покупателям УТ'!$G$6:$G$5000='DATA 2'!H$8)*('Отчет по покупателям УТ'!$M$6:$M$5000='DATA 2'!$A53)*('Отчет по покупателям УТ'!$K$6:$K$5000))</f>
        <v>0</v>
      </c>
      <c r="I53" s="254">
        <f t="array" ref="I53">SUM(('Отчет по покупателям УТ'!$G$6:$G$5000='DATA 2'!I$8)*('Отчет по покупателям УТ'!$M$6:$M$5000='DATA 2'!$A53)*('Отчет по покупателям УТ'!$K$6:$K$5000))</f>
        <v>0</v>
      </c>
      <c r="J53" s="254">
        <f t="array" ref="J53">SUM(('Отчет по покупателям УТ'!$G$6:$G$5000='DATA 2'!J$8)*('Отчет по покупателям УТ'!$M$6:$M$5000='DATA 2'!$A53)*('Отчет по покупателям УТ'!$K$6:$K$5000))</f>
        <v>0</v>
      </c>
      <c r="K53" s="254">
        <f t="array" ref="K53">SUM(('Отчет по покупателям УТ'!$G$6:$G$5000='DATA 2'!K$8)*('Отчет по покупателям УТ'!$M$6:$M$5000='DATA 2'!$A53)*('Отчет по покупателям УТ'!$K$6:$K$5000))</f>
        <v>0</v>
      </c>
      <c r="L53" s="254">
        <f t="array" ref="L53">SUM(('Отчет по покупателям УТ'!$G$6:$G$5000='DATA 2'!L$8)*('Отчет по покупателям УТ'!$M$6:$M$5000='DATA 2'!$A53)*('Отчет по покупателям УТ'!$K$6:$K$5000))</f>
        <v>0</v>
      </c>
      <c r="M53" s="254">
        <f t="array" ref="M53">SUM(('Отчет по покупателям УТ'!$G$6:$G$5000='DATA 2'!M$8)*('Отчет по покупателям УТ'!$M$6:$M$5000='DATA 2'!$A53)*('Отчет по покупателям УТ'!$K$6:$K$5000))</f>
        <v>0</v>
      </c>
      <c r="N53" s="254">
        <f t="array" ref="N53">SUM(('Отчет по покупателям УТ'!$G$6:$G$5000='DATA 2'!N$8)*('Отчет по покупателям УТ'!$M$6:$M$5000='DATA 2'!$A53)*('Отчет по покупателям УТ'!$K$6:$K$5000))</f>
        <v>0</v>
      </c>
      <c r="O53" s="247">
        <f t="shared" si="11"/>
        <v>5949681.5600000005</v>
      </c>
      <c r="T53" s="9" t="b">
        <f t="shared" si="12"/>
        <v>1</v>
      </c>
      <c r="U53" s="228">
        <f t="shared" si="13"/>
        <v>5949681.5600000005</v>
      </c>
      <c r="V53" s="228">
        <f t="shared" si="14"/>
        <v>0</v>
      </c>
      <c r="W53" s="228">
        <f t="shared" si="15"/>
        <v>0</v>
      </c>
      <c r="X53" s="228">
        <f t="shared" si="16"/>
        <v>0</v>
      </c>
      <c r="Y53" s="228">
        <f t="shared" si="17"/>
        <v>0</v>
      </c>
      <c r="Z53" s="228">
        <f t="shared" si="18"/>
        <v>0</v>
      </c>
      <c r="AA53" s="228">
        <f t="shared" si="19"/>
        <v>0</v>
      </c>
      <c r="AB53" s="228">
        <f t="shared" si="20"/>
        <v>0</v>
      </c>
      <c r="AC53" s="228">
        <f t="shared" si="21"/>
        <v>0</v>
      </c>
      <c r="AD53" s="228">
        <f t="shared" si="22"/>
        <v>0</v>
      </c>
      <c r="AE53" s="228">
        <f t="shared" si="23"/>
        <v>0</v>
      </c>
      <c r="AF53" s="228">
        <f t="shared" si="24"/>
        <v>0</v>
      </c>
      <c r="AG53" s="228">
        <f t="shared" si="25"/>
        <v>0</v>
      </c>
      <c r="AH53" s="228">
        <f t="shared" si="26"/>
        <v>0</v>
      </c>
      <c r="AI53" s="247">
        <f t="shared" si="27"/>
        <v>5949681.5600000005</v>
      </c>
      <c r="AJ53" s="248">
        <f t="shared" si="28"/>
        <v>5949681.5600000005</v>
      </c>
    </row>
    <row r="54" spans="1:36" x14ac:dyDescent="0.2">
      <c r="A54" s="47" t="s">
        <v>240</v>
      </c>
      <c r="C54" s="230">
        <v>35454892.789999992</v>
      </c>
      <c r="G54" s="254">
        <f t="array" ref="G54">SUM(('Отчет по покупателям УТ'!$G$6:$G$5000='DATA 2'!G$8)*('Отчет по покупателям УТ'!$M$6:$M$5000='DATA 2'!$A54)*('Отчет по покупателям УТ'!$K$6:$K$5000))</f>
        <v>72695969.930000007</v>
      </c>
      <c r="H54" s="254">
        <f t="array" ref="H54">SUM(('Отчет по покупателям УТ'!$G$6:$G$5000='DATA 2'!H$8)*('Отчет по покупателям УТ'!$M$6:$M$5000='DATA 2'!$A54)*('Отчет по покупателям УТ'!$K$6:$K$5000))</f>
        <v>0</v>
      </c>
      <c r="I54" s="254">
        <f t="array" ref="I54">SUM(('Отчет по покупателям УТ'!$G$6:$G$5000='DATA 2'!I$8)*('Отчет по покупателям УТ'!$M$6:$M$5000='DATA 2'!$A54)*('Отчет по покупателям УТ'!$K$6:$K$5000))</f>
        <v>0</v>
      </c>
      <c r="J54" s="254">
        <f t="array" ref="J54">SUM(('Отчет по покупателям УТ'!$G$6:$G$5000='DATA 2'!J$8)*('Отчет по покупателям УТ'!$M$6:$M$5000='DATA 2'!$A54)*('Отчет по покупателям УТ'!$K$6:$K$5000))</f>
        <v>0</v>
      </c>
      <c r="K54" s="254">
        <f t="array" ref="K54">SUM(('Отчет по покупателям УТ'!$G$6:$G$5000='DATA 2'!K$8)*('Отчет по покупателям УТ'!$M$6:$M$5000='DATA 2'!$A54)*('Отчет по покупателям УТ'!$K$6:$K$5000))</f>
        <v>0</v>
      </c>
      <c r="L54" s="254">
        <f t="array" ref="L54">SUM(('Отчет по покупателям УТ'!$G$6:$G$5000='DATA 2'!L$8)*('Отчет по покупателям УТ'!$M$6:$M$5000='DATA 2'!$A54)*('Отчет по покупателям УТ'!$K$6:$K$5000))</f>
        <v>0</v>
      </c>
      <c r="M54" s="254">
        <f t="array" ref="M54">SUM(('Отчет по покупателям УТ'!$G$6:$G$5000='DATA 2'!M$8)*('Отчет по покупателям УТ'!$M$6:$M$5000='DATA 2'!$A54)*('Отчет по покупателям УТ'!$K$6:$K$5000))</f>
        <v>0</v>
      </c>
      <c r="N54" s="254">
        <f t="array" ref="N54">SUM(('Отчет по покупателям УТ'!$G$6:$G$5000='DATA 2'!N$8)*('Отчет по покупателям УТ'!$M$6:$M$5000='DATA 2'!$A54)*('Отчет по покупателям УТ'!$K$6:$K$5000))</f>
        <v>-37241077.140000001</v>
      </c>
      <c r="O54" s="247">
        <f t="shared" si="11"/>
        <v>35454892.790000007</v>
      </c>
      <c r="T54" s="9" t="b">
        <f t="shared" si="12"/>
        <v>1</v>
      </c>
      <c r="U54" s="228">
        <f t="shared" si="13"/>
        <v>35454892.790000007</v>
      </c>
      <c r="V54" s="228">
        <f t="shared" si="14"/>
        <v>-37241077.140000001</v>
      </c>
      <c r="W54" s="228">
        <f t="shared" si="15"/>
        <v>0</v>
      </c>
      <c r="X54" s="228">
        <f t="shared" si="16"/>
        <v>-37241077.140000001</v>
      </c>
      <c r="Y54" s="228">
        <f t="shared" si="17"/>
        <v>0</v>
      </c>
      <c r="Z54" s="228">
        <f t="shared" si="18"/>
        <v>-37241077.140000001</v>
      </c>
      <c r="AA54" s="228">
        <f t="shared" si="19"/>
        <v>0</v>
      </c>
      <c r="AB54" s="228">
        <f t="shared" si="20"/>
        <v>-37241077.140000001</v>
      </c>
      <c r="AC54" s="228">
        <f t="shared" si="21"/>
        <v>0</v>
      </c>
      <c r="AD54" s="228">
        <f t="shared" si="22"/>
        <v>-37241077.140000001</v>
      </c>
      <c r="AE54" s="228">
        <f t="shared" si="23"/>
        <v>0</v>
      </c>
      <c r="AF54" s="228">
        <f t="shared" si="24"/>
        <v>-37241077.140000001</v>
      </c>
      <c r="AG54" s="228">
        <f t="shared" si="25"/>
        <v>0</v>
      </c>
      <c r="AH54" s="228">
        <f t="shared" si="26"/>
        <v>0</v>
      </c>
      <c r="AI54" s="247">
        <f t="shared" si="27"/>
        <v>35454892.790000007</v>
      </c>
      <c r="AJ54" s="248">
        <f t="shared" si="28"/>
        <v>35454892.790000007</v>
      </c>
    </row>
    <row r="55" spans="1:36" x14ac:dyDescent="0.2">
      <c r="A55" s="47" t="s">
        <v>250</v>
      </c>
      <c r="C55" s="230">
        <v>-3775.8</v>
      </c>
      <c r="G55" s="254">
        <f t="array" ref="G55">SUM(('Отчет по покупателям УТ'!$G$6:$G$5000='DATA 2'!G$8)*('Отчет по покупателям УТ'!$M$6:$M$5000='DATA 2'!$A55)*('Отчет по покупателям УТ'!$K$6:$K$5000))</f>
        <v>0</v>
      </c>
      <c r="H55" s="254">
        <f t="array" ref="H55">SUM(('Отчет по покупателям УТ'!$G$6:$G$5000='DATA 2'!H$8)*('Отчет по покупателям УТ'!$M$6:$M$5000='DATA 2'!$A55)*('Отчет по покупателям УТ'!$K$6:$K$5000))</f>
        <v>0</v>
      </c>
      <c r="I55" s="254">
        <f t="array" ref="I55">SUM(('Отчет по покупателям УТ'!$G$6:$G$5000='DATA 2'!I$8)*('Отчет по покупателям УТ'!$M$6:$M$5000='DATA 2'!$A55)*('Отчет по покупателям УТ'!$K$6:$K$5000))</f>
        <v>0</v>
      </c>
      <c r="J55" s="254">
        <f t="array" ref="J55">SUM(('Отчет по покупателям УТ'!$G$6:$G$5000='DATA 2'!J$8)*('Отчет по покупателям УТ'!$M$6:$M$5000='DATA 2'!$A55)*('Отчет по покупателям УТ'!$K$6:$K$5000))</f>
        <v>0</v>
      </c>
      <c r="K55" s="254">
        <f t="array" ref="K55">SUM(('Отчет по покупателям УТ'!$G$6:$G$5000='DATA 2'!K$8)*('Отчет по покупателям УТ'!$M$6:$M$5000='DATA 2'!$A55)*('Отчет по покупателям УТ'!$K$6:$K$5000))</f>
        <v>0</v>
      </c>
      <c r="L55" s="254">
        <f t="array" ref="L55">SUM(('Отчет по покупателям УТ'!$G$6:$G$5000='DATA 2'!L$8)*('Отчет по покупателям УТ'!$M$6:$M$5000='DATA 2'!$A55)*('Отчет по покупателям УТ'!$K$6:$K$5000))</f>
        <v>0</v>
      </c>
      <c r="M55" s="254">
        <f t="array" ref="M55">SUM(('Отчет по покупателям УТ'!$G$6:$G$5000='DATA 2'!M$8)*('Отчет по покупателям УТ'!$M$6:$M$5000='DATA 2'!$A55)*('Отчет по покупателям УТ'!$K$6:$K$5000))</f>
        <v>0</v>
      </c>
      <c r="N55" s="254">
        <f t="array" ref="N55">SUM(('Отчет по покупателям УТ'!$G$6:$G$5000='DATA 2'!N$8)*('Отчет по покупателям УТ'!$M$6:$M$5000='DATA 2'!$A55)*('Отчет по покупателям УТ'!$K$6:$K$5000))</f>
        <v>-3775.8</v>
      </c>
      <c r="O55" s="247">
        <f t="shared" si="11"/>
        <v>-3775.8</v>
      </c>
      <c r="T55" s="9" t="b">
        <f t="shared" si="12"/>
        <v>1</v>
      </c>
      <c r="U55" s="228">
        <f t="shared" si="13"/>
        <v>0</v>
      </c>
      <c r="V55" s="228">
        <f t="shared" si="14"/>
        <v>-3775.8</v>
      </c>
      <c r="W55" s="228">
        <f t="shared" si="15"/>
        <v>0</v>
      </c>
      <c r="X55" s="228">
        <f t="shared" si="16"/>
        <v>-3775.8</v>
      </c>
      <c r="Y55" s="228">
        <f t="shared" si="17"/>
        <v>0</v>
      </c>
      <c r="Z55" s="228">
        <f t="shared" si="18"/>
        <v>-3775.8</v>
      </c>
      <c r="AA55" s="228">
        <f t="shared" si="19"/>
        <v>0</v>
      </c>
      <c r="AB55" s="228">
        <f t="shared" si="20"/>
        <v>-3775.8</v>
      </c>
      <c r="AC55" s="228">
        <f t="shared" si="21"/>
        <v>0</v>
      </c>
      <c r="AD55" s="228">
        <f t="shared" si="22"/>
        <v>-3775.8</v>
      </c>
      <c r="AE55" s="228">
        <f t="shared" si="23"/>
        <v>0</v>
      </c>
      <c r="AF55" s="228">
        <f t="shared" si="24"/>
        <v>-3775.8</v>
      </c>
      <c r="AG55" s="228">
        <f t="shared" si="25"/>
        <v>0</v>
      </c>
      <c r="AH55" s="228">
        <f t="shared" si="26"/>
        <v>-3775.8</v>
      </c>
      <c r="AI55" s="247">
        <f t="shared" si="27"/>
        <v>-3775.8</v>
      </c>
      <c r="AJ55" s="248">
        <f t="shared" si="28"/>
        <v>0</v>
      </c>
    </row>
    <row r="56" spans="1:36" x14ac:dyDescent="0.2">
      <c r="A56" s="47" t="s">
        <v>256</v>
      </c>
      <c r="C56" s="230">
        <v>-144999.4</v>
      </c>
      <c r="G56" s="254">
        <f t="array" ref="G56">SUM(('Отчет по покупателям УТ'!$G$6:$G$5000='DATA 2'!G$8)*('Отчет по покупателям УТ'!$M$6:$M$5000='DATA 2'!$A56)*('Отчет по покупателям УТ'!$K$6:$K$5000))</f>
        <v>0</v>
      </c>
      <c r="H56" s="254">
        <f t="array" ref="H56">SUM(('Отчет по покупателям УТ'!$G$6:$G$5000='DATA 2'!H$8)*('Отчет по покупателям УТ'!$M$6:$M$5000='DATA 2'!$A56)*('Отчет по покупателям УТ'!$K$6:$K$5000))</f>
        <v>0</v>
      </c>
      <c r="I56" s="254">
        <f t="array" ref="I56">SUM(('Отчет по покупателям УТ'!$G$6:$G$5000='DATA 2'!I$8)*('Отчет по покупателям УТ'!$M$6:$M$5000='DATA 2'!$A56)*('Отчет по покупателям УТ'!$K$6:$K$5000))</f>
        <v>0</v>
      </c>
      <c r="J56" s="254">
        <f t="array" ref="J56">SUM(('Отчет по покупателям УТ'!$G$6:$G$5000='DATA 2'!J$8)*('Отчет по покупателям УТ'!$M$6:$M$5000='DATA 2'!$A56)*('Отчет по покупателям УТ'!$K$6:$K$5000))</f>
        <v>0</v>
      </c>
      <c r="K56" s="254">
        <f t="array" ref="K56">SUM(('Отчет по покупателям УТ'!$G$6:$G$5000='DATA 2'!K$8)*('Отчет по покупателям УТ'!$M$6:$M$5000='DATA 2'!$A56)*('Отчет по покупателям УТ'!$K$6:$K$5000))</f>
        <v>0</v>
      </c>
      <c r="L56" s="254">
        <f t="array" ref="L56">SUM(('Отчет по покупателям УТ'!$G$6:$G$5000='DATA 2'!L$8)*('Отчет по покупателям УТ'!$M$6:$M$5000='DATA 2'!$A56)*('Отчет по покупателям УТ'!$K$6:$K$5000))</f>
        <v>0</v>
      </c>
      <c r="M56" s="254">
        <f t="array" ref="M56">SUM(('Отчет по покупателям УТ'!$G$6:$G$5000='DATA 2'!M$8)*('Отчет по покупателям УТ'!$M$6:$M$5000='DATA 2'!$A56)*('Отчет по покупателям УТ'!$K$6:$K$5000))</f>
        <v>0</v>
      </c>
      <c r="N56" s="254">
        <f t="array" ref="N56">SUM(('Отчет по покупателям УТ'!$G$6:$G$5000='DATA 2'!N$8)*('Отчет по покупателям УТ'!$M$6:$M$5000='DATA 2'!$A56)*('Отчет по покупателям УТ'!$K$6:$K$5000))</f>
        <v>-144999.4</v>
      </c>
      <c r="O56" s="247">
        <f t="shared" si="11"/>
        <v>-144999.4</v>
      </c>
      <c r="T56" s="9" t="b">
        <f t="shared" si="12"/>
        <v>1</v>
      </c>
      <c r="U56" s="228">
        <f t="shared" si="13"/>
        <v>0</v>
      </c>
      <c r="V56" s="228">
        <f t="shared" si="14"/>
        <v>-144999.4</v>
      </c>
      <c r="W56" s="228">
        <f t="shared" si="15"/>
        <v>0</v>
      </c>
      <c r="X56" s="228">
        <f t="shared" si="16"/>
        <v>-144999.4</v>
      </c>
      <c r="Y56" s="228">
        <f t="shared" si="17"/>
        <v>0</v>
      </c>
      <c r="Z56" s="228">
        <f t="shared" si="18"/>
        <v>-144999.4</v>
      </c>
      <c r="AA56" s="228">
        <f t="shared" si="19"/>
        <v>0</v>
      </c>
      <c r="AB56" s="228">
        <f t="shared" si="20"/>
        <v>-144999.4</v>
      </c>
      <c r="AC56" s="228">
        <f t="shared" si="21"/>
        <v>0</v>
      </c>
      <c r="AD56" s="228">
        <f t="shared" si="22"/>
        <v>-144999.4</v>
      </c>
      <c r="AE56" s="228">
        <f t="shared" si="23"/>
        <v>0</v>
      </c>
      <c r="AF56" s="228">
        <f t="shared" si="24"/>
        <v>-144999.4</v>
      </c>
      <c r="AG56" s="228">
        <f t="shared" si="25"/>
        <v>0</v>
      </c>
      <c r="AH56" s="228">
        <f t="shared" si="26"/>
        <v>-144999.4</v>
      </c>
      <c r="AI56" s="247">
        <f t="shared" si="27"/>
        <v>-144999.4</v>
      </c>
      <c r="AJ56" s="248">
        <f t="shared" si="28"/>
        <v>0</v>
      </c>
    </row>
    <row r="57" spans="1:36" x14ac:dyDescent="0.2">
      <c r="A57" s="47" t="s">
        <v>258</v>
      </c>
      <c r="C57" s="230">
        <v>-694717.67999999993</v>
      </c>
      <c r="G57" s="254">
        <f t="array" ref="G57">SUM(('Отчет по покупателям УТ'!$G$6:$G$5000='DATA 2'!G$8)*('Отчет по покупателям УТ'!$M$6:$M$5000='DATA 2'!$A57)*('Отчет по покупателям УТ'!$K$6:$K$5000))</f>
        <v>0</v>
      </c>
      <c r="H57" s="254">
        <f t="array" ref="H57">SUM(('Отчет по покупателям УТ'!$G$6:$G$5000='DATA 2'!H$8)*('Отчет по покупателям УТ'!$M$6:$M$5000='DATA 2'!$A57)*('Отчет по покупателям УТ'!$K$6:$K$5000))</f>
        <v>0</v>
      </c>
      <c r="I57" s="254">
        <f t="array" ref="I57">SUM(('Отчет по покупателям УТ'!$G$6:$G$5000='DATA 2'!I$8)*('Отчет по покупателям УТ'!$M$6:$M$5000='DATA 2'!$A57)*('Отчет по покупателям УТ'!$K$6:$K$5000))</f>
        <v>0</v>
      </c>
      <c r="J57" s="254">
        <f t="array" ref="J57">SUM(('Отчет по покупателям УТ'!$G$6:$G$5000='DATA 2'!J$8)*('Отчет по покупателям УТ'!$M$6:$M$5000='DATA 2'!$A57)*('Отчет по покупателям УТ'!$K$6:$K$5000))</f>
        <v>0</v>
      </c>
      <c r="K57" s="254">
        <f t="array" ref="K57">SUM(('Отчет по покупателям УТ'!$G$6:$G$5000='DATA 2'!K$8)*('Отчет по покупателям УТ'!$M$6:$M$5000='DATA 2'!$A57)*('Отчет по покупателям УТ'!$K$6:$K$5000))</f>
        <v>0</v>
      </c>
      <c r="L57" s="254">
        <f t="array" ref="L57">SUM(('Отчет по покупателям УТ'!$G$6:$G$5000='DATA 2'!L$8)*('Отчет по покупателям УТ'!$M$6:$M$5000='DATA 2'!$A57)*('Отчет по покупателям УТ'!$K$6:$K$5000))</f>
        <v>0</v>
      </c>
      <c r="M57" s="254">
        <f t="array" ref="M57">SUM(('Отчет по покупателям УТ'!$G$6:$G$5000='DATA 2'!M$8)*('Отчет по покупателям УТ'!$M$6:$M$5000='DATA 2'!$A57)*('Отчет по покупателям УТ'!$K$6:$K$5000))</f>
        <v>0</v>
      </c>
      <c r="N57" s="254">
        <f t="array" ref="N57">SUM(('Отчет по покупателям УТ'!$G$6:$G$5000='DATA 2'!N$8)*('Отчет по покупателям УТ'!$M$6:$M$5000='DATA 2'!$A57)*('Отчет по покупателям УТ'!$K$6:$K$5000))</f>
        <v>-694717.67999999993</v>
      </c>
      <c r="O57" s="247">
        <f t="shared" si="11"/>
        <v>-694717.67999999993</v>
      </c>
      <c r="T57" s="9" t="b">
        <f t="shared" si="12"/>
        <v>1</v>
      </c>
      <c r="U57" s="228">
        <f t="shared" si="13"/>
        <v>0</v>
      </c>
      <c r="V57" s="228">
        <f t="shared" si="14"/>
        <v>-694717.67999999993</v>
      </c>
      <c r="W57" s="228">
        <f t="shared" si="15"/>
        <v>0</v>
      </c>
      <c r="X57" s="228">
        <f t="shared" si="16"/>
        <v>-694717.67999999993</v>
      </c>
      <c r="Y57" s="228">
        <f t="shared" si="17"/>
        <v>0</v>
      </c>
      <c r="Z57" s="228">
        <f t="shared" si="18"/>
        <v>-694717.67999999993</v>
      </c>
      <c r="AA57" s="228">
        <f t="shared" si="19"/>
        <v>0</v>
      </c>
      <c r="AB57" s="228">
        <f t="shared" si="20"/>
        <v>-694717.67999999993</v>
      </c>
      <c r="AC57" s="228">
        <f t="shared" si="21"/>
        <v>0</v>
      </c>
      <c r="AD57" s="228">
        <f t="shared" si="22"/>
        <v>-694717.67999999993</v>
      </c>
      <c r="AE57" s="228">
        <f t="shared" si="23"/>
        <v>0</v>
      </c>
      <c r="AF57" s="228">
        <f t="shared" si="24"/>
        <v>-694717.67999999993</v>
      </c>
      <c r="AG57" s="228">
        <f t="shared" si="25"/>
        <v>0</v>
      </c>
      <c r="AH57" s="228">
        <f t="shared" si="26"/>
        <v>-694717.67999999993</v>
      </c>
      <c r="AI57" s="247">
        <f t="shared" si="27"/>
        <v>-694717.67999999993</v>
      </c>
      <c r="AJ57" s="248">
        <f t="shared" si="28"/>
        <v>0</v>
      </c>
    </row>
    <row r="58" spans="1:36" x14ac:dyDescent="0.2">
      <c r="A58" s="47" t="s">
        <v>262</v>
      </c>
      <c r="C58" s="230">
        <v>-118621.49</v>
      </c>
      <c r="G58" s="254">
        <f t="array" ref="G58">SUM(('Отчет по покупателям УТ'!$G$6:$G$5000='DATA 2'!G$8)*('Отчет по покупателям УТ'!$M$6:$M$5000='DATA 2'!$A58)*('Отчет по покупателям УТ'!$K$6:$K$5000))</f>
        <v>0</v>
      </c>
      <c r="H58" s="254">
        <f t="array" ref="H58">SUM(('Отчет по покупателям УТ'!$G$6:$G$5000='DATA 2'!H$8)*('Отчет по покупателям УТ'!$M$6:$M$5000='DATA 2'!$A58)*('Отчет по покупателям УТ'!$K$6:$K$5000))</f>
        <v>0</v>
      </c>
      <c r="I58" s="254">
        <f t="array" ref="I58">SUM(('Отчет по покупателям УТ'!$G$6:$G$5000='DATA 2'!I$8)*('Отчет по покупателям УТ'!$M$6:$M$5000='DATA 2'!$A58)*('Отчет по покупателям УТ'!$K$6:$K$5000))</f>
        <v>0</v>
      </c>
      <c r="J58" s="254">
        <f t="array" ref="J58">SUM(('Отчет по покупателям УТ'!$G$6:$G$5000='DATA 2'!J$8)*('Отчет по покупателям УТ'!$M$6:$M$5000='DATA 2'!$A58)*('Отчет по покупателям УТ'!$K$6:$K$5000))</f>
        <v>0</v>
      </c>
      <c r="K58" s="254">
        <f t="array" ref="K58">SUM(('Отчет по покупателям УТ'!$G$6:$G$5000='DATA 2'!K$8)*('Отчет по покупателям УТ'!$M$6:$M$5000='DATA 2'!$A58)*('Отчет по покупателям УТ'!$K$6:$K$5000))</f>
        <v>0</v>
      </c>
      <c r="L58" s="254">
        <f t="array" ref="L58">SUM(('Отчет по покупателям УТ'!$G$6:$G$5000='DATA 2'!L$8)*('Отчет по покупателям УТ'!$M$6:$M$5000='DATA 2'!$A58)*('Отчет по покупателям УТ'!$K$6:$K$5000))</f>
        <v>0</v>
      </c>
      <c r="M58" s="254">
        <f t="array" ref="M58">SUM(('Отчет по покупателям УТ'!$G$6:$G$5000='DATA 2'!M$8)*('Отчет по покупателям УТ'!$M$6:$M$5000='DATA 2'!$A58)*('Отчет по покупателям УТ'!$K$6:$K$5000))</f>
        <v>0</v>
      </c>
      <c r="N58" s="254">
        <f t="array" ref="N58">SUM(('Отчет по покупателям УТ'!$G$6:$G$5000='DATA 2'!N$8)*('Отчет по покупателям УТ'!$M$6:$M$5000='DATA 2'!$A58)*('Отчет по покупателям УТ'!$K$6:$K$5000))</f>
        <v>-118621.49</v>
      </c>
      <c r="O58" s="247">
        <f t="shared" si="11"/>
        <v>-118621.49</v>
      </c>
      <c r="T58" s="9" t="b">
        <f t="shared" si="12"/>
        <v>1</v>
      </c>
      <c r="U58" s="228">
        <f t="shared" si="13"/>
        <v>0</v>
      </c>
      <c r="V58" s="228">
        <f t="shared" si="14"/>
        <v>-118621.49</v>
      </c>
      <c r="W58" s="228">
        <f t="shared" si="15"/>
        <v>0</v>
      </c>
      <c r="X58" s="228">
        <f t="shared" si="16"/>
        <v>-118621.49</v>
      </c>
      <c r="Y58" s="228">
        <f t="shared" si="17"/>
        <v>0</v>
      </c>
      <c r="Z58" s="228">
        <f t="shared" si="18"/>
        <v>-118621.49</v>
      </c>
      <c r="AA58" s="228">
        <f t="shared" si="19"/>
        <v>0</v>
      </c>
      <c r="AB58" s="228">
        <f t="shared" si="20"/>
        <v>-118621.49</v>
      </c>
      <c r="AC58" s="228">
        <f t="shared" si="21"/>
        <v>0</v>
      </c>
      <c r="AD58" s="228">
        <f t="shared" si="22"/>
        <v>-118621.49</v>
      </c>
      <c r="AE58" s="228">
        <f t="shared" si="23"/>
        <v>0</v>
      </c>
      <c r="AF58" s="228">
        <f t="shared" si="24"/>
        <v>-118621.49</v>
      </c>
      <c r="AG58" s="228">
        <f t="shared" si="25"/>
        <v>0</v>
      </c>
      <c r="AH58" s="228">
        <f t="shared" si="26"/>
        <v>-118621.49</v>
      </c>
      <c r="AI58" s="247">
        <f t="shared" si="27"/>
        <v>-118621.49</v>
      </c>
      <c r="AJ58" s="248">
        <f t="shared" si="28"/>
        <v>0</v>
      </c>
    </row>
    <row r="59" spans="1:36" x14ac:dyDescent="0.2">
      <c r="A59" s="47" t="s">
        <v>265</v>
      </c>
      <c r="C59" s="230">
        <v>-887638.04999999993</v>
      </c>
      <c r="G59" s="254">
        <f t="array" ref="G59">SUM(('Отчет по покупателям УТ'!$G$6:$G$5000='DATA 2'!G$8)*('Отчет по покупателям УТ'!$M$6:$M$5000='DATA 2'!$A59)*('Отчет по покупателям УТ'!$K$6:$K$5000))</f>
        <v>0</v>
      </c>
      <c r="H59" s="254">
        <f t="array" ref="H59">SUM(('Отчет по покупателям УТ'!$G$6:$G$5000='DATA 2'!H$8)*('Отчет по покупателям УТ'!$M$6:$M$5000='DATA 2'!$A59)*('Отчет по покупателям УТ'!$K$6:$K$5000))</f>
        <v>0</v>
      </c>
      <c r="I59" s="254">
        <f t="array" ref="I59">SUM(('Отчет по покупателям УТ'!$G$6:$G$5000='DATA 2'!I$8)*('Отчет по покупателям УТ'!$M$6:$M$5000='DATA 2'!$A59)*('Отчет по покупателям УТ'!$K$6:$K$5000))</f>
        <v>0</v>
      </c>
      <c r="J59" s="254">
        <f t="array" ref="J59">SUM(('Отчет по покупателям УТ'!$G$6:$G$5000='DATA 2'!J$8)*('Отчет по покупателям УТ'!$M$6:$M$5000='DATA 2'!$A59)*('Отчет по покупателям УТ'!$K$6:$K$5000))</f>
        <v>0</v>
      </c>
      <c r="K59" s="254">
        <f t="array" ref="K59">SUM(('Отчет по покупателям УТ'!$G$6:$G$5000='DATA 2'!K$8)*('Отчет по покупателям УТ'!$M$6:$M$5000='DATA 2'!$A59)*('Отчет по покупателям УТ'!$K$6:$K$5000))</f>
        <v>0</v>
      </c>
      <c r="L59" s="254">
        <f t="array" ref="L59">SUM(('Отчет по покупателям УТ'!$G$6:$G$5000='DATA 2'!L$8)*('Отчет по покупателям УТ'!$M$6:$M$5000='DATA 2'!$A59)*('Отчет по покупателям УТ'!$K$6:$K$5000))</f>
        <v>0</v>
      </c>
      <c r="M59" s="254">
        <f t="array" ref="M59">SUM(('Отчет по покупателям УТ'!$G$6:$G$5000='DATA 2'!M$8)*('Отчет по покупателям УТ'!$M$6:$M$5000='DATA 2'!$A59)*('Отчет по покупателям УТ'!$K$6:$K$5000))</f>
        <v>0</v>
      </c>
      <c r="N59" s="254">
        <f t="array" ref="N59">SUM(('Отчет по покупателям УТ'!$G$6:$G$5000='DATA 2'!N$8)*('Отчет по покупателям УТ'!$M$6:$M$5000='DATA 2'!$A59)*('Отчет по покупателям УТ'!$K$6:$K$5000))</f>
        <v>-887638.04999999993</v>
      </c>
      <c r="O59" s="247">
        <f t="shared" si="11"/>
        <v>-887638.04999999993</v>
      </c>
      <c r="T59" s="9" t="b">
        <f t="shared" si="12"/>
        <v>1</v>
      </c>
      <c r="U59" s="228">
        <f t="shared" si="13"/>
        <v>0</v>
      </c>
      <c r="V59" s="228">
        <f t="shared" si="14"/>
        <v>-887638.04999999993</v>
      </c>
      <c r="W59" s="228">
        <f t="shared" si="15"/>
        <v>0</v>
      </c>
      <c r="X59" s="228">
        <f t="shared" si="16"/>
        <v>-887638.04999999993</v>
      </c>
      <c r="Y59" s="228">
        <f t="shared" si="17"/>
        <v>0</v>
      </c>
      <c r="Z59" s="228">
        <f t="shared" si="18"/>
        <v>-887638.04999999993</v>
      </c>
      <c r="AA59" s="228">
        <f t="shared" si="19"/>
        <v>0</v>
      </c>
      <c r="AB59" s="228">
        <f t="shared" si="20"/>
        <v>-887638.04999999993</v>
      </c>
      <c r="AC59" s="228">
        <f t="shared" si="21"/>
        <v>0</v>
      </c>
      <c r="AD59" s="228">
        <f t="shared" si="22"/>
        <v>-887638.04999999993</v>
      </c>
      <c r="AE59" s="228">
        <f t="shared" si="23"/>
        <v>0</v>
      </c>
      <c r="AF59" s="228">
        <f t="shared" si="24"/>
        <v>-887638.04999999993</v>
      </c>
      <c r="AG59" s="228">
        <f t="shared" si="25"/>
        <v>0</v>
      </c>
      <c r="AH59" s="228">
        <f t="shared" si="26"/>
        <v>-887638.04999999993</v>
      </c>
      <c r="AI59" s="247">
        <f t="shared" si="27"/>
        <v>-887638.04999999993</v>
      </c>
      <c r="AJ59" s="248">
        <f t="shared" si="28"/>
        <v>0</v>
      </c>
    </row>
    <row r="60" spans="1:36" x14ac:dyDescent="0.2">
      <c r="A60" s="47" t="s">
        <v>266</v>
      </c>
      <c r="C60" s="230">
        <v>-47278.38</v>
      </c>
      <c r="G60" s="254">
        <f t="array" ref="G60">SUM(('Отчет по покупателям УТ'!$G$6:$G$5000='DATA 2'!G$8)*('Отчет по покупателям УТ'!$M$6:$M$5000='DATA 2'!$A60)*('Отчет по покупателям УТ'!$K$6:$K$5000))</f>
        <v>0</v>
      </c>
      <c r="H60" s="254">
        <f t="array" ref="H60">SUM(('Отчет по покупателям УТ'!$G$6:$G$5000='DATA 2'!H$8)*('Отчет по покупателям УТ'!$M$6:$M$5000='DATA 2'!$A60)*('Отчет по покупателям УТ'!$K$6:$K$5000))</f>
        <v>0</v>
      </c>
      <c r="I60" s="254">
        <f t="array" ref="I60">SUM(('Отчет по покупателям УТ'!$G$6:$G$5000='DATA 2'!I$8)*('Отчет по покупателям УТ'!$M$6:$M$5000='DATA 2'!$A60)*('Отчет по покупателям УТ'!$K$6:$K$5000))</f>
        <v>0</v>
      </c>
      <c r="J60" s="254">
        <f t="array" ref="J60">SUM(('Отчет по покупателям УТ'!$G$6:$G$5000='DATA 2'!J$8)*('Отчет по покупателям УТ'!$M$6:$M$5000='DATA 2'!$A60)*('Отчет по покупателям УТ'!$K$6:$K$5000))</f>
        <v>0</v>
      </c>
      <c r="K60" s="254">
        <f t="array" ref="K60">SUM(('Отчет по покупателям УТ'!$G$6:$G$5000='DATA 2'!K$8)*('Отчет по покупателям УТ'!$M$6:$M$5000='DATA 2'!$A60)*('Отчет по покупателям УТ'!$K$6:$K$5000))</f>
        <v>0</v>
      </c>
      <c r="L60" s="254">
        <f t="array" ref="L60">SUM(('Отчет по покупателям УТ'!$G$6:$G$5000='DATA 2'!L$8)*('Отчет по покупателям УТ'!$M$6:$M$5000='DATA 2'!$A60)*('Отчет по покупателям УТ'!$K$6:$K$5000))</f>
        <v>0</v>
      </c>
      <c r="M60" s="254">
        <f t="array" ref="M60">SUM(('Отчет по покупателям УТ'!$G$6:$G$5000='DATA 2'!M$8)*('Отчет по покупателям УТ'!$M$6:$M$5000='DATA 2'!$A60)*('Отчет по покупателям УТ'!$K$6:$K$5000))</f>
        <v>0</v>
      </c>
      <c r="N60" s="254">
        <f t="array" ref="N60">SUM(('Отчет по покупателям УТ'!$G$6:$G$5000='DATA 2'!N$8)*('Отчет по покупателям УТ'!$M$6:$M$5000='DATA 2'!$A60)*('Отчет по покупателям УТ'!$K$6:$K$5000))</f>
        <v>-47278.38</v>
      </c>
      <c r="O60" s="247">
        <f t="shared" si="11"/>
        <v>-47278.38</v>
      </c>
      <c r="T60" s="9" t="b">
        <f t="shared" si="12"/>
        <v>1</v>
      </c>
      <c r="U60" s="228">
        <f t="shared" si="13"/>
        <v>0</v>
      </c>
      <c r="V60" s="228">
        <f t="shared" si="14"/>
        <v>-47278.38</v>
      </c>
      <c r="W60" s="228">
        <f t="shared" si="15"/>
        <v>0</v>
      </c>
      <c r="X60" s="228">
        <f t="shared" si="16"/>
        <v>-47278.38</v>
      </c>
      <c r="Y60" s="228">
        <f t="shared" si="17"/>
        <v>0</v>
      </c>
      <c r="Z60" s="228">
        <f t="shared" si="18"/>
        <v>-47278.38</v>
      </c>
      <c r="AA60" s="228">
        <f t="shared" si="19"/>
        <v>0</v>
      </c>
      <c r="AB60" s="228">
        <f t="shared" si="20"/>
        <v>-47278.38</v>
      </c>
      <c r="AC60" s="228">
        <f t="shared" si="21"/>
        <v>0</v>
      </c>
      <c r="AD60" s="228">
        <f t="shared" si="22"/>
        <v>-47278.38</v>
      </c>
      <c r="AE60" s="228">
        <f t="shared" si="23"/>
        <v>0</v>
      </c>
      <c r="AF60" s="228">
        <f t="shared" si="24"/>
        <v>-47278.38</v>
      </c>
      <c r="AG60" s="228">
        <f t="shared" si="25"/>
        <v>0</v>
      </c>
      <c r="AH60" s="228">
        <f t="shared" si="26"/>
        <v>-47278.38</v>
      </c>
      <c r="AI60" s="247">
        <f t="shared" si="27"/>
        <v>-47278.38</v>
      </c>
      <c r="AJ60" s="248">
        <f t="shared" si="28"/>
        <v>0</v>
      </c>
    </row>
    <row r="61" spans="1:36" x14ac:dyDescent="0.2">
      <c r="A61" s="47" t="s">
        <v>267</v>
      </c>
      <c r="C61" s="230">
        <v>-149105.75</v>
      </c>
      <c r="G61" s="254">
        <f t="array" ref="G61">SUM(('Отчет по покупателям УТ'!$G$6:$G$5000='DATA 2'!G$8)*('Отчет по покупателям УТ'!$M$6:$M$5000='DATA 2'!$A61)*('Отчет по покупателям УТ'!$K$6:$K$5000))</f>
        <v>0</v>
      </c>
      <c r="H61" s="254">
        <f t="array" ref="H61">SUM(('Отчет по покупателям УТ'!$G$6:$G$5000='DATA 2'!H$8)*('Отчет по покупателям УТ'!$M$6:$M$5000='DATA 2'!$A61)*('Отчет по покупателям УТ'!$K$6:$K$5000))</f>
        <v>0</v>
      </c>
      <c r="I61" s="254">
        <f t="array" ref="I61">SUM(('Отчет по покупателям УТ'!$G$6:$G$5000='DATA 2'!I$8)*('Отчет по покупателям УТ'!$M$6:$M$5000='DATA 2'!$A61)*('Отчет по покупателям УТ'!$K$6:$K$5000))</f>
        <v>0</v>
      </c>
      <c r="J61" s="254">
        <f t="array" ref="J61">SUM(('Отчет по покупателям УТ'!$G$6:$G$5000='DATA 2'!J$8)*('Отчет по покупателям УТ'!$M$6:$M$5000='DATA 2'!$A61)*('Отчет по покупателям УТ'!$K$6:$K$5000))</f>
        <v>0</v>
      </c>
      <c r="K61" s="254">
        <f t="array" ref="K61">SUM(('Отчет по покупателям УТ'!$G$6:$G$5000='DATA 2'!K$8)*('Отчет по покупателям УТ'!$M$6:$M$5000='DATA 2'!$A61)*('Отчет по покупателям УТ'!$K$6:$K$5000))</f>
        <v>0</v>
      </c>
      <c r="L61" s="254">
        <f t="array" ref="L61">SUM(('Отчет по покупателям УТ'!$G$6:$G$5000='DATA 2'!L$8)*('Отчет по покупателям УТ'!$M$6:$M$5000='DATA 2'!$A61)*('Отчет по покупателям УТ'!$K$6:$K$5000))</f>
        <v>0</v>
      </c>
      <c r="M61" s="254">
        <f t="array" ref="M61">SUM(('Отчет по покупателям УТ'!$G$6:$G$5000='DATA 2'!M$8)*('Отчет по покупателям УТ'!$M$6:$M$5000='DATA 2'!$A61)*('Отчет по покупателям УТ'!$K$6:$K$5000))</f>
        <v>0</v>
      </c>
      <c r="N61" s="254">
        <f t="array" ref="N61">SUM(('Отчет по покупателям УТ'!$G$6:$G$5000='DATA 2'!N$8)*('Отчет по покупателям УТ'!$M$6:$M$5000='DATA 2'!$A61)*('Отчет по покупателям УТ'!$K$6:$K$5000))</f>
        <v>-149105.75</v>
      </c>
      <c r="O61" s="247">
        <f t="shared" si="11"/>
        <v>-149105.75</v>
      </c>
      <c r="T61" s="9" t="b">
        <f t="shared" si="12"/>
        <v>1</v>
      </c>
      <c r="U61" s="228">
        <f t="shared" si="13"/>
        <v>0</v>
      </c>
      <c r="V61" s="228">
        <f t="shared" si="14"/>
        <v>-149105.75</v>
      </c>
      <c r="W61" s="228">
        <f t="shared" si="15"/>
        <v>0</v>
      </c>
      <c r="X61" s="228">
        <f t="shared" si="16"/>
        <v>-149105.75</v>
      </c>
      <c r="Y61" s="228">
        <f t="shared" si="17"/>
        <v>0</v>
      </c>
      <c r="Z61" s="228">
        <f t="shared" si="18"/>
        <v>-149105.75</v>
      </c>
      <c r="AA61" s="228">
        <f t="shared" si="19"/>
        <v>0</v>
      </c>
      <c r="AB61" s="228">
        <f t="shared" si="20"/>
        <v>-149105.75</v>
      </c>
      <c r="AC61" s="228">
        <f t="shared" si="21"/>
        <v>0</v>
      </c>
      <c r="AD61" s="228">
        <f t="shared" si="22"/>
        <v>-149105.75</v>
      </c>
      <c r="AE61" s="228">
        <f t="shared" si="23"/>
        <v>0</v>
      </c>
      <c r="AF61" s="228">
        <f t="shared" si="24"/>
        <v>-149105.75</v>
      </c>
      <c r="AG61" s="228">
        <f t="shared" si="25"/>
        <v>0</v>
      </c>
      <c r="AH61" s="228">
        <f t="shared" si="26"/>
        <v>-149105.75</v>
      </c>
      <c r="AI61" s="247">
        <f t="shared" si="27"/>
        <v>-149105.75</v>
      </c>
      <c r="AJ61" s="248">
        <f t="shared" si="28"/>
        <v>0</v>
      </c>
    </row>
    <row r="62" spans="1:36" x14ac:dyDescent="0.2">
      <c r="A62" s="47" t="s">
        <v>271</v>
      </c>
      <c r="C62" s="230">
        <v>0.01</v>
      </c>
      <c r="G62" s="254">
        <f t="array" ref="G62">SUM(('Отчет по покупателям УТ'!$G$6:$G$5000='DATA 2'!G$8)*('Отчет по покупателям УТ'!$M$6:$M$5000='DATA 2'!$A62)*('Отчет по покупателям УТ'!$K$6:$K$5000))</f>
        <v>0</v>
      </c>
      <c r="H62" s="254">
        <f t="array" ref="H62">SUM(('Отчет по покупателям УТ'!$G$6:$G$5000='DATA 2'!H$8)*('Отчет по покупателям УТ'!$M$6:$M$5000='DATA 2'!$A62)*('Отчет по покупателям УТ'!$K$6:$K$5000))</f>
        <v>0</v>
      </c>
      <c r="I62" s="254">
        <f t="array" ref="I62">SUM(('Отчет по покупателям УТ'!$G$6:$G$5000='DATA 2'!I$8)*('Отчет по покупателям УТ'!$M$6:$M$5000='DATA 2'!$A62)*('Отчет по покупателям УТ'!$K$6:$K$5000))</f>
        <v>0</v>
      </c>
      <c r="J62" s="254">
        <f t="array" ref="J62">SUM(('Отчет по покупателям УТ'!$G$6:$G$5000='DATA 2'!J$8)*('Отчет по покупателям УТ'!$M$6:$M$5000='DATA 2'!$A62)*('Отчет по покупателям УТ'!$K$6:$K$5000))</f>
        <v>0</v>
      </c>
      <c r="K62" s="254">
        <f t="array" ref="K62">SUM(('Отчет по покупателям УТ'!$G$6:$G$5000='DATA 2'!K$8)*('Отчет по покупателям УТ'!$M$6:$M$5000='DATA 2'!$A62)*('Отчет по покупателям УТ'!$K$6:$K$5000))</f>
        <v>0</v>
      </c>
      <c r="L62" s="254">
        <f t="array" ref="L62">SUM(('Отчет по покупателям УТ'!$G$6:$G$5000='DATA 2'!L$8)*('Отчет по покупателям УТ'!$M$6:$M$5000='DATA 2'!$A62)*('Отчет по покупателям УТ'!$K$6:$K$5000))</f>
        <v>0</v>
      </c>
      <c r="M62" s="254">
        <f t="array" ref="M62">SUM(('Отчет по покупателям УТ'!$G$6:$G$5000='DATA 2'!M$8)*('Отчет по покупателям УТ'!$M$6:$M$5000='DATA 2'!$A62)*('Отчет по покупателям УТ'!$K$6:$K$5000))</f>
        <v>0.01</v>
      </c>
      <c r="N62" s="254">
        <f t="array" ref="N62">SUM(('Отчет по покупателям УТ'!$G$6:$G$5000='DATA 2'!N$8)*('Отчет по покупателям УТ'!$M$6:$M$5000='DATA 2'!$A62)*('Отчет по покупателям УТ'!$K$6:$K$5000))</f>
        <v>0</v>
      </c>
      <c r="O62" s="247">
        <f t="shared" si="11"/>
        <v>0.01</v>
      </c>
      <c r="T62" s="9" t="b">
        <f t="shared" si="12"/>
        <v>1</v>
      </c>
      <c r="U62" s="228">
        <f t="shared" si="13"/>
        <v>0</v>
      </c>
      <c r="V62" s="228">
        <f t="shared" si="14"/>
        <v>0</v>
      </c>
      <c r="W62" s="228">
        <f t="shared" si="15"/>
        <v>0</v>
      </c>
      <c r="X62" s="228">
        <f t="shared" si="16"/>
        <v>0</v>
      </c>
      <c r="Y62" s="228">
        <f t="shared" si="17"/>
        <v>0</v>
      </c>
      <c r="Z62" s="228">
        <f t="shared" si="18"/>
        <v>0</v>
      </c>
      <c r="AA62" s="228">
        <f t="shared" si="19"/>
        <v>0</v>
      </c>
      <c r="AB62" s="228">
        <f t="shared" si="20"/>
        <v>0</v>
      </c>
      <c r="AC62" s="228">
        <f t="shared" si="21"/>
        <v>0</v>
      </c>
      <c r="AD62" s="228">
        <f t="shared" si="22"/>
        <v>0</v>
      </c>
      <c r="AE62" s="228">
        <f t="shared" si="23"/>
        <v>0</v>
      </c>
      <c r="AF62" s="228">
        <f t="shared" si="24"/>
        <v>0</v>
      </c>
      <c r="AG62" s="228">
        <f t="shared" si="25"/>
        <v>0.01</v>
      </c>
      <c r="AH62" s="228">
        <f t="shared" si="26"/>
        <v>0</v>
      </c>
      <c r="AI62" s="247">
        <f t="shared" si="27"/>
        <v>0.01</v>
      </c>
      <c r="AJ62" s="248">
        <f t="shared" si="28"/>
        <v>0.01</v>
      </c>
    </row>
    <row r="63" spans="1:36" x14ac:dyDescent="0.2">
      <c r="A63" s="47" t="s">
        <v>275</v>
      </c>
      <c r="C63" s="230">
        <v>-944662.40000000014</v>
      </c>
      <c r="G63" s="254">
        <f t="array" ref="G63">SUM(('Отчет по покупателям УТ'!$G$6:$G$5000='DATA 2'!G$8)*('Отчет по покупателям УТ'!$M$6:$M$5000='DATA 2'!$A63)*('Отчет по покупателям УТ'!$K$6:$K$5000))</f>
        <v>0</v>
      </c>
      <c r="H63" s="254">
        <f t="array" ref="H63">SUM(('Отчет по покупателям УТ'!$G$6:$G$5000='DATA 2'!H$8)*('Отчет по покупателям УТ'!$M$6:$M$5000='DATA 2'!$A63)*('Отчет по покупателям УТ'!$K$6:$K$5000))</f>
        <v>0</v>
      </c>
      <c r="I63" s="254">
        <f t="array" ref="I63">SUM(('Отчет по покупателям УТ'!$G$6:$G$5000='DATA 2'!I$8)*('Отчет по покупателям УТ'!$M$6:$M$5000='DATA 2'!$A63)*('Отчет по покупателям УТ'!$K$6:$K$5000))</f>
        <v>0</v>
      </c>
      <c r="J63" s="254">
        <f t="array" ref="J63">SUM(('Отчет по покупателям УТ'!$G$6:$G$5000='DATA 2'!J$8)*('Отчет по покупателям УТ'!$M$6:$M$5000='DATA 2'!$A63)*('Отчет по покупателям УТ'!$K$6:$K$5000))</f>
        <v>0</v>
      </c>
      <c r="K63" s="254">
        <f t="array" ref="K63">SUM(('Отчет по покупателям УТ'!$G$6:$G$5000='DATA 2'!K$8)*('Отчет по покупателям УТ'!$M$6:$M$5000='DATA 2'!$A63)*('Отчет по покупателям УТ'!$K$6:$K$5000))</f>
        <v>0</v>
      </c>
      <c r="L63" s="254">
        <f t="array" ref="L63">SUM(('Отчет по покупателям УТ'!$G$6:$G$5000='DATA 2'!L$8)*('Отчет по покупателям УТ'!$M$6:$M$5000='DATA 2'!$A63)*('Отчет по покупателям УТ'!$K$6:$K$5000))</f>
        <v>0</v>
      </c>
      <c r="M63" s="254">
        <f t="array" ref="M63">SUM(('Отчет по покупателям УТ'!$G$6:$G$5000='DATA 2'!M$8)*('Отчет по покупателям УТ'!$M$6:$M$5000='DATA 2'!$A63)*('Отчет по покупателям УТ'!$K$6:$K$5000))</f>
        <v>0</v>
      </c>
      <c r="N63" s="254">
        <f t="array" ref="N63">SUM(('Отчет по покупателям УТ'!$G$6:$G$5000='DATA 2'!N$8)*('Отчет по покупателям УТ'!$M$6:$M$5000='DATA 2'!$A63)*('Отчет по покупателям УТ'!$K$6:$K$5000))</f>
        <v>-944662.40000000014</v>
      </c>
      <c r="O63" s="247">
        <f t="shared" si="11"/>
        <v>-944662.40000000014</v>
      </c>
      <c r="T63" s="9" t="b">
        <f t="shared" si="12"/>
        <v>1</v>
      </c>
      <c r="U63" s="228">
        <f t="shared" si="13"/>
        <v>0</v>
      </c>
      <c r="V63" s="228">
        <f t="shared" si="14"/>
        <v>-944662.40000000014</v>
      </c>
      <c r="W63" s="228">
        <f t="shared" si="15"/>
        <v>0</v>
      </c>
      <c r="X63" s="228">
        <f t="shared" si="16"/>
        <v>-944662.40000000014</v>
      </c>
      <c r="Y63" s="228">
        <f t="shared" si="17"/>
        <v>0</v>
      </c>
      <c r="Z63" s="228">
        <f t="shared" si="18"/>
        <v>-944662.40000000014</v>
      </c>
      <c r="AA63" s="228">
        <f t="shared" si="19"/>
        <v>0</v>
      </c>
      <c r="AB63" s="228">
        <f t="shared" si="20"/>
        <v>-944662.40000000014</v>
      </c>
      <c r="AC63" s="228">
        <f t="shared" si="21"/>
        <v>0</v>
      </c>
      <c r="AD63" s="228">
        <f t="shared" si="22"/>
        <v>-944662.40000000014</v>
      </c>
      <c r="AE63" s="228">
        <f t="shared" si="23"/>
        <v>0</v>
      </c>
      <c r="AF63" s="228">
        <f t="shared" si="24"/>
        <v>-944662.40000000014</v>
      </c>
      <c r="AG63" s="228">
        <f t="shared" si="25"/>
        <v>0</v>
      </c>
      <c r="AH63" s="228">
        <f t="shared" si="26"/>
        <v>-944662.40000000014</v>
      </c>
      <c r="AI63" s="247">
        <f t="shared" si="27"/>
        <v>-944662.40000000014</v>
      </c>
      <c r="AJ63" s="248">
        <f t="shared" si="28"/>
        <v>0</v>
      </c>
    </row>
    <row r="64" spans="1:36" x14ac:dyDescent="0.2">
      <c r="A64" s="47" t="s">
        <v>276</v>
      </c>
      <c r="C64" s="230">
        <v>-46500</v>
      </c>
      <c r="G64" s="254">
        <f t="array" ref="G64">SUM(('Отчет по покупателям УТ'!$G$6:$G$5000='DATA 2'!G$8)*('Отчет по покупателям УТ'!$M$6:$M$5000='DATA 2'!$A64)*('Отчет по покупателям УТ'!$K$6:$K$5000))</f>
        <v>0</v>
      </c>
      <c r="H64" s="254">
        <f t="array" ref="H64">SUM(('Отчет по покупателям УТ'!$G$6:$G$5000='DATA 2'!H$8)*('Отчет по покупателям УТ'!$M$6:$M$5000='DATA 2'!$A64)*('Отчет по покупателям УТ'!$K$6:$K$5000))</f>
        <v>0</v>
      </c>
      <c r="I64" s="254">
        <f t="array" ref="I64">SUM(('Отчет по покупателям УТ'!$G$6:$G$5000='DATA 2'!I$8)*('Отчет по покупателям УТ'!$M$6:$M$5000='DATA 2'!$A64)*('Отчет по покупателям УТ'!$K$6:$K$5000))</f>
        <v>0</v>
      </c>
      <c r="J64" s="254">
        <f t="array" ref="J64">SUM(('Отчет по покупателям УТ'!$G$6:$G$5000='DATA 2'!J$8)*('Отчет по покупателям УТ'!$M$6:$M$5000='DATA 2'!$A64)*('Отчет по покупателям УТ'!$K$6:$K$5000))</f>
        <v>0</v>
      </c>
      <c r="K64" s="254">
        <f t="array" ref="K64">SUM(('Отчет по покупателям УТ'!$G$6:$G$5000='DATA 2'!K$8)*('Отчет по покупателям УТ'!$M$6:$M$5000='DATA 2'!$A64)*('Отчет по покупателям УТ'!$K$6:$K$5000))</f>
        <v>0</v>
      </c>
      <c r="L64" s="254">
        <f t="array" ref="L64">SUM(('Отчет по покупателям УТ'!$G$6:$G$5000='DATA 2'!L$8)*('Отчет по покупателям УТ'!$M$6:$M$5000='DATA 2'!$A64)*('Отчет по покупателям УТ'!$K$6:$K$5000))</f>
        <v>0</v>
      </c>
      <c r="M64" s="254">
        <f t="array" ref="M64">SUM(('Отчет по покупателям УТ'!$G$6:$G$5000='DATA 2'!M$8)*('Отчет по покупателям УТ'!$M$6:$M$5000='DATA 2'!$A64)*('Отчет по покупателям УТ'!$K$6:$K$5000))</f>
        <v>0</v>
      </c>
      <c r="N64" s="254">
        <f t="array" ref="N64">SUM(('Отчет по покупателям УТ'!$G$6:$G$5000='DATA 2'!N$8)*('Отчет по покупателям УТ'!$M$6:$M$5000='DATA 2'!$A64)*('Отчет по покупателям УТ'!$K$6:$K$5000))</f>
        <v>-46500</v>
      </c>
      <c r="O64" s="247">
        <f t="shared" si="11"/>
        <v>-46500</v>
      </c>
      <c r="T64" s="9" t="b">
        <f t="shared" si="12"/>
        <v>1</v>
      </c>
      <c r="U64" s="228">
        <f t="shared" si="13"/>
        <v>0</v>
      </c>
      <c r="V64" s="228">
        <f t="shared" si="14"/>
        <v>-46500</v>
      </c>
      <c r="W64" s="228">
        <f t="shared" si="15"/>
        <v>0</v>
      </c>
      <c r="X64" s="228">
        <f t="shared" si="16"/>
        <v>-46500</v>
      </c>
      <c r="Y64" s="228">
        <f t="shared" si="17"/>
        <v>0</v>
      </c>
      <c r="Z64" s="228">
        <f t="shared" si="18"/>
        <v>-46500</v>
      </c>
      <c r="AA64" s="228">
        <f t="shared" si="19"/>
        <v>0</v>
      </c>
      <c r="AB64" s="228">
        <f t="shared" si="20"/>
        <v>-46500</v>
      </c>
      <c r="AC64" s="228">
        <f t="shared" si="21"/>
        <v>0</v>
      </c>
      <c r="AD64" s="228">
        <f t="shared" si="22"/>
        <v>-46500</v>
      </c>
      <c r="AE64" s="228">
        <f t="shared" si="23"/>
        <v>0</v>
      </c>
      <c r="AF64" s="228">
        <f t="shared" si="24"/>
        <v>-46500</v>
      </c>
      <c r="AG64" s="228">
        <f t="shared" si="25"/>
        <v>0</v>
      </c>
      <c r="AH64" s="228">
        <f t="shared" si="26"/>
        <v>-46500</v>
      </c>
      <c r="AI64" s="247">
        <f t="shared" si="27"/>
        <v>-46500</v>
      </c>
      <c r="AJ64" s="248">
        <f t="shared" si="28"/>
        <v>0</v>
      </c>
    </row>
    <row r="65" spans="1:36" x14ac:dyDescent="0.2">
      <c r="A65" s="47" t="s">
        <v>277</v>
      </c>
      <c r="C65" s="230">
        <v>1970591.38</v>
      </c>
      <c r="G65" s="254">
        <f t="array" ref="G65">SUM(('Отчет по покупателям УТ'!$G$6:$G$5000='DATA 2'!G$8)*('Отчет по покупателям УТ'!$M$6:$M$5000='DATA 2'!$A65)*('Отчет по покупателям УТ'!$K$6:$K$5000))</f>
        <v>1011182.09</v>
      </c>
      <c r="H65" s="254">
        <f t="array" ref="H65">SUM(('Отчет по покупателям УТ'!$G$6:$G$5000='DATA 2'!H$8)*('Отчет по покупателям УТ'!$M$6:$M$5000='DATA 2'!$A65)*('Отчет по покупателям УТ'!$K$6:$K$5000))</f>
        <v>0</v>
      </c>
      <c r="I65" s="254">
        <f t="array" ref="I65">SUM(('Отчет по покупателям УТ'!$G$6:$G$5000='DATA 2'!I$8)*('Отчет по покупателям УТ'!$M$6:$M$5000='DATA 2'!$A65)*('Отчет по покупателям УТ'!$K$6:$K$5000))</f>
        <v>0</v>
      </c>
      <c r="J65" s="254">
        <f t="array" ref="J65">SUM(('Отчет по покупателям УТ'!$G$6:$G$5000='DATA 2'!J$8)*('Отчет по покупателям УТ'!$M$6:$M$5000='DATA 2'!$A65)*('Отчет по покупателям УТ'!$K$6:$K$5000))</f>
        <v>788649.41999999993</v>
      </c>
      <c r="K65" s="254">
        <f t="array" ref="K65">SUM(('Отчет по покупателям УТ'!$G$6:$G$5000='DATA 2'!K$8)*('Отчет по покупателям УТ'!$M$6:$M$5000='DATA 2'!$A65)*('Отчет по покупателям УТ'!$K$6:$K$5000))</f>
        <v>167939.96000000002</v>
      </c>
      <c r="L65" s="254">
        <f t="array" ref="L65">SUM(('Отчет по покупателям УТ'!$G$6:$G$5000='DATA 2'!L$8)*('Отчет по покупателям УТ'!$M$6:$M$5000='DATA 2'!$A65)*('Отчет по покупателям УТ'!$K$6:$K$5000))</f>
        <v>2819.91</v>
      </c>
      <c r="M65" s="254">
        <f t="array" ref="M65">SUM(('Отчет по покупателям УТ'!$G$6:$G$5000='DATA 2'!M$8)*('Отчет по покупателям УТ'!$M$6:$M$5000='DATA 2'!$A65)*('Отчет по покупателям УТ'!$K$6:$K$5000))</f>
        <v>0</v>
      </c>
      <c r="N65" s="254">
        <f t="array" ref="N65">SUM(('Отчет по покупателям УТ'!$G$6:$G$5000='DATA 2'!N$8)*('Отчет по покупателям УТ'!$M$6:$M$5000='DATA 2'!$A65)*('Отчет по покупателям УТ'!$K$6:$K$5000))</f>
        <v>0</v>
      </c>
      <c r="O65" s="247">
        <f t="shared" si="11"/>
        <v>1970591.3799999997</v>
      </c>
      <c r="T65" s="9" t="b">
        <f t="shared" si="12"/>
        <v>1</v>
      </c>
      <c r="U65" s="228">
        <f t="shared" si="13"/>
        <v>1011182.09</v>
      </c>
      <c r="V65" s="228">
        <f t="shared" si="14"/>
        <v>0</v>
      </c>
      <c r="W65" s="228">
        <f t="shared" si="15"/>
        <v>0</v>
      </c>
      <c r="X65" s="228">
        <f t="shared" si="16"/>
        <v>0</v>
      </c>
      <c r="Y65" s="228">
        <f t="shared" si="17"/>
        <v>0</v>
      </c>
      <c r="Z65" s="228">
        <f t="shared" si="18"/>
        <v>0</v>
      </c>
      <c r="AA65" s="228">
        <f t="shared" si="19"/>
        <v>788649.41999999993</v>
      </c>
      <c r="AB65" s="228">
        <f t="shared" si="20"/>
        <v>0</v>
      </c>
      <c r="AC65" s="228">
        <f t="shared" si="21"/>
        <v>167939.96000000002</v>
      </c>
      <c r="AD65" s="228">
        <f t="shared" si="22"/>
        <v>0</v>
      </c>
      <c r="AE65" s="228">
        <f t="shared" si="23"/>
        <v>2819.91</v>
      </c>
      <c r="AF65" s="228">
        <f t="shared" si="24"/>
        <v>0</v>
      </c>
      <c r="AG65" s="228">
        <f t="shared" si="25"/>
        <v>0</v>
      </c>
      <c r="AH65" s="228">
        <f t="shared" si="26"/>
        <v>0</v>
      </c>
      <c r="AI65" s="247">
        <f t="shared" si="27"/>
        <v>1970591.3799999997</v>
      </c>
      <c r="AJ65" s="248">
        <f t="shared" si="28"/>
        <v>1970591.3799999997</v>
      </c>
    </row>
    <row r="66" spans="1:36" x14ac:dyDescent="0.2">
      <c r="A66" s="47" t="s">
        <v>279</v>
      </c>
      <c r="C66" s="230">
        <v>-400029.78</v>
      </c>
      <c r="G66" s="254">
        <f t="array" ref="G66">SUM(('Отчет по покупателям УТ'!$G$6:$G$5000='DATA 2'!G$8)*('Отчет по покупателям УТ'!$M$6:$M$5000='DATA 2'!$A66)*('Отчет по покупателям УТ'!$K$6:$K$5000))</f>
        <v>0</v>
      </c>
      <c r="H66" s="254">
        <f t="array" ref="H66">SUM(('Отчет по покупателям УТ'!$G$6:$G$5000='DATA 2'!H$8)*('Отчет по покупателям УТ'!$M$6:$M$5000='DATA 2'!$A66)*('Отчет по покупателям УТ'!$K$6:$K$5000))</f>
        <v>0</v>
      </c>
      <c r="I66" s="254">
        <f t="array" ref="I66">SUM(('Отчет по покупателям УТ'!$G$6:$G$5000='DATA 2'!I$8)*('Отчет по покупателям УТ'!$M$6:$M$5000='DATA 2'!$A66)*('Отчет по покупателям УТ'!$K$6:$K$5000))</f>
        <v>0</v>
      </c>
      <c r="J66" s="254">
        <f t="array" ref="J66">SUM(('Отчет по покупателям УТ'!$G$6:$G$5000='DATA 2'!J$8)*('Отчет по покупателям УТ'!$M$6:$M$5000='DATA 2'!$A66)*('Отчет по покупателям УТ'!$K$6:$K$5000))</f>
        <v>0</v>
      </c>
      <c r="K66" s="254">
        <f t="array" ref="K66">SUM(('Отчет по покупателям УТ'!$G$6:$G$5000='DATA 2'!K$8)*('Отчет по покупателям УТ'!$M$6:$M$5000='DATA 2'!$A66)*('Отчет по покупателям УТ'!$K$6:$K$5000))</f>
        <v>0</v>
      </c>
      <c r="L66" s="254">
        <f t="array" ref="L66">SUM(('Отчет по покупателям УТ'!$G$6:$G$5000='DATA 2'!L$8)*('Отчет по покупателям УТ'!$M$6:$M$5000='DATA 2'!$A66)*('Отчет по покупателям УТ'!$K$6:$K$5000))</f>
        <v>0</v>
      </c>
      <c r="M66" s="254">
        <f t="array" ref="M66">SUM(('Отчет по покупателям УТ'!$G$6:$G$5000='DATA 2'!M$8)*('Отчет по покупателям УТ'!$M$6:$M$5000='DATA 2'!$A66)*('Отчет по покупателям УТ'!$K$6:$K$5000))</f>
        <v>0</v>
      </c>
      <c r="N66" s="254">
        <f t="array" ref="N66">SUM(('Отчет по покупателям УТ'!$G$6:$G$5000='DATA 2'!N$8)*('Отчет по покупателям УТ'!$M$6:$M$5000='DATA 2'!$A66)*('Отчет по покупателям УТ'!$K$6:$K$5000))</f>
        <v>-400029.78</v>
      </c>
      <c r="O66" s="247">
        <f t="shared" si="11"/>
        <v>-400029.78</v>
      </c>
      <c r="T66" s="9" t="b">
        <f t="shared" si="12"/>
        <v>1</v>
      </c>
      <c r="U66" s="228">
        <f t="shared" si="13"/>
        <v>0</v>
      </c>
      <c r="V66" s="228">
        <f t="shared" si="14"/>
        <v>-400029.78</v>
      </c>
      <c r="W66" s="228">
        <f t="shared" si="15"/>
        <v>0</v>
      </c>
      <c r="X66" s="228">
        <f t="shared" si="16"/>
        <v>-400029.78</v>
      </c>
      <c r="Y66" s="228">
        <f t="shared" si="17"/>
        <v>0</v>
      </c>
      <c r="Z66" s="228">
        <f t="shared" si="18"/>
        <v>-400029.78</v>
      </c>
      <c r="AA66" s="228">
        <f t="shared" si="19"/>
        <v>0</v>
      </c>
      <c r="AB66" s="228">
        <f t="shared" si="20"/>
        <v>-400029.78</v>
      </c>
      <c r="AC66" s="228">
        <f t="shared" si="21"/>
        <v>0</v>
      </c>
      <c r="AD66" s="228">
        <f t="shared" si="22"/>
        <v>-400029.78</v>
      </c>
      <c r="AE66" s="228">
        <f t="shared" si="23"/>
        <v>0</v>
      </c>
      <c r="AF66" s="228">
        <f t="shared" si="24"/>
        <v>-400029.78</v>
      </c>
      <c r="AG66" s="228">
        <f t="shared" si="25"/>
        <v>0</v>
      </c>
      <c r="AH66" s="228">
        <f t="shared" si="26"/>
        <v>-400029.78</v>
      </c>
      <c r="AI66" s="247">
        <f t="shared" si="27"/>
        <v>-400029.78</v>
      </c>
      <c r="AJ66" s="248">
        <f t="shared" si="28"/>
        <v>0</v>
      </c>
    </row>
    <row r="67" spans="1:36" x14ac:dyDescent="0.2">
      <c r="A67" s="47" t="s">
        <v>280</v>
      </c>
      <c r="C67" s="230">
        <v>-1449075.7300000042</v>
      </c>
      <c r="G67" s="254">
        <f t="array" ref="G67">SUM(('Отчет по покупателям УТ'!$G$6:$G$5000='DATA 2'!G$8)*('Отчет по покупателям УТ'!$M$6:$M$5000='DATA 2'!$A67)*('Отчет по покупателям УТ'!$K$6:$K$5000))</f>
        <v>42790263</v>
      </c>
      <c r="H67" s="254">
        <f t="array" ref="H67">SUM(('Отчет по покупателям УТ'!$G$6:$G$5000='DATA 2'!H$8)*('Отчет по покупателям УТ'!$M$6:$M$5000='DATA 2'!$A67)*('Отчет по покупателям УТ'!$K$6:$K$5000))</f>
        <v>0</v>
      </c>
      <c r="I67" s="254">
        <f t="array" ref="I67">SUM(('Отчет по покупателям УТ'!$G$6:$G$5000='DATA 2'!I$8)*('Отчет по покупателям УТ'!$M$6:$M$5000='DATA 2'!$A67)*('Отчет по покупателям УТ'!$K$6:$K$5000))</f>
        <v>0</v>
      </c>
      <c r="J67" s="254">
        <f t="array" ref="J67">SUM(('Отчет по покупателям УТ'!$G$6:$G$5000='DATA 2'!J$8)*('Отчет по покупателям УТ'!$M$6:$M$5000='DATA 2'!$A67)*('Отчет по покупателям УТ'!$K$6:$K$5000))</f>
        <v>0</v>
      </c>
      <c r="K67" s="254">
        <f t="array" ref="K67">SUM(('Отчет по покупателям УТ'!$G$6:$G$5000='DATA 2'!K$8)*('Отчет по покупателям УТ'!$M$6:$M$5000='DATA 2'!$A67)*('Отчет по покупателям УТ'!$K$6:$K$5000))</f>
        <v>0</v>
      </c>
      <c r="L67" s="254">
        <f t="array" ref="L67">SUM(('Отчет по покупателям УТ'!$G$6:$G$5000='DATA 2'!L$8)*('Отчет по покупателям УТ'!$M$6:$M$5000='DATA 2'!$A67)*('Отчет по покупателям УТ'!$K$6:$K$5000))</f>
        <v>0</v>
      </c>
      <c r="M67" s="254">
        <f t="array" ref="M67">SUM(('Отчет по покупателям УТ'!$G$6:$G$5000='DATA 2'!M$8)*('Отчет по покупателям УТ'!$M$6:$M$5000='DATA 2'!$A67)*('Отчет по покупателям УТ'!$K$6:$K$5000))</f>
        <v>0</v>
      </c>
      <c r="N67" s="254">
        <f t="array" ref="N67">SUM(('Отчет по покупателям УТ'!$G$6:$G$5000='DATA 2'!N$8)*('Отчет по покупателям УТ'!$M$6:$M$5000='DATA 2'!$A67)*('Отчет по покупателям УТ'!$K$6:$K$5000))</f>
        <v>-44239338.730000004</v>
      </c>
      <c r="O67" s="247">
        <f t="shared" si="11"/>
        <v>-1449075.7300000042</v>
      </c>
      <c r="T67" s="9" t="b">
        <f t="shared" si="12"/>
        <v>1</v>
      </c>
      <c r="U67" s="228">
        <f t="shared" si="13"/>
        <v>0</v>
      </c>
      <c r="V67" s="228">
        <f t="shared" si="14"/>
        <v>-44239338.730000004</v>
      </c>
      <c r="W67" s="228">
        <f t="shared" si="15"/>
        <v>0</v>
      </c>
      <c r="X67" s="228">
        <f t="shared" si="16"/>
        <v>-44239338.730000004</v>
      </c>
      <c r="Y67" s="228">
        <f t="shared" si="17"/>
        <v>0</v>
      </c>
      <c r="Z67" s="228">
        <f t="shared" si="18"/>
        <v>-44239338.730000004</v>
      </c>
      <c r="AA67" s="228">
        <f t="shared" si="19"/>
        <v>0</v>
      </c>
      <c r="AB67" s="228">
        <f t="shared" si="20"/>
        <v>-44239338.730000004</v>
      </c>
      <c r="AC67" s="228">
        <f t="shared" si="21"/>
        <v>0</v>
      </c>
      <c r="AD67" s="228">
        <f t="shared" si="22"/>
        <v>-44239338.730000004</v>
      </c>
      <c r="AE67" s="228">
        <f t="shared" si="23"/>
        <v>0</v>
      </c>
      <c r="AF67" s="228">
        <f t="shared" si="24"/>
        <v>-44239338.730000004</v>
      </c>
      <c r="AG67" s="228">
        <f t="shared" si="25"/>
        <v>0</v>
      </c>
      <c r="AH67" s="228">
        <f t="shared" si="26"/>
        <v>-1449075.7300000042</v>
      </c>
      <c r="AI67" s="247">
        <f t="shared" si="27"/>
        <v>-1449075.7300000042</v>
      </c>
      <c r="AJ67" s="248">
        <f t="shared" si="28"/>
        <v>0</v>
      </c>
    </row>
    <row r="68" spans="1:36" x14ac:dyDescent="0.2">
      <c r="A68" s="47" t="s">
        <v>285</v>
      </c>
      <c r="C68" s="230">
        <v>22489984.609999992</v>
      </c>
      <c r="G68" s="254">
        <f t="array" ref="G68">SUM(('Отчет по покупателям УТ'!$G$6:$G$5000='DATA 2'!G$8)*('Отчет по покупателям УТ'!$M$6:$M$5000='DATA 2'!$A68)*('Отчет по покупателям УТ'!$K$6:$K$5000))</f>
        <v>50792891</v>
      </c>
      <c r="H68" s="254">
        <f t="array" ref="H68">SUM(('Отчет по покупателям УТ'!$G$6:$G$5000='DATA 2'!H$8)*('Отчет по покупателям УТ'!$M$6:$M$5000='DATA 2'!$A68)*('Отчет по покупателям УТ'!$K$6:$K$5000))</f>
        <v>0</v>
      </c>
      <c r="I68" s="254">
        <f t="array" ref="I68">SUM(('Отчет по покупателям УТ'!$G$6:$G$5000='DATA 2'!I$8)*('Отчет по покупателям УТ'!$M$6:$M$5000='DATA 2'!$A68)*('Отчет по покупателям УТ'!$K$6:$K$5000))</f>
        <v>0</v>
      </c>
      <c r="J68" s="254">
        <f t="array" ref="J68">SUM(('Отчет по покупателям УТ'!$G$6:$G$5000='DATA 2'!J$8)*('Отчет по покупателям УТ'!$M$6:$M$5000='DATA 2'!$A68)*('Отчет по покупателям УТ'!$K$6:$K$5000))</f>
        <v>0</v>
      </c>
      <c r="K68" s="254">
        <f t="array" ref="K68">SUM(('Отчет по покупателям УТ'!$G$6:$G$5000='DATA 2'!K$8)*('Отчет по покупателям УТ'!$M$6:$M$5000='DATA 2'!$A68)*('Отчет по покупателям УТ'!$K$6:$K$5000))</f>
        <v>0</v>
      </c>
      <c r="L68" s="254">
        <f t="array" ref="L68">SUM(('Отчет по покупателям УТ'!$G$6:$G$5000='DATA 2'!L$8)*('Отчет по покупателям УТ'!$M$6:$M$5000='DATA 2'!$A68)*('Отчет по покупателям УТ'!$K$6:$K$5000))</f>
        <v>0</v>
      </c>
      <c r="M68" s="254">
        <f t="array" ref="M68">SUM(('Отчет по покупателям УТ'!$G$6:$G$5000='DATA 2'!M$8)*('Отчет по покупателям УТ'!$M$6:$M$5000='DATA 2'!$A68)*('Отчет по покупателям УТ'!$K$6:$K$5000))</f>
        <v>0</v>
      </c>
      <c r="N68" s="254">
        <f t="array" ref="N68">SUM(('Отчет по покупателям УТ'!$G$6:$G$5000='DATA 2'!N$8)*('Отчет по покупателям УТ'!$M$6:$M$5000='DATA 2'!$A68)*('Отчет по покупателям УТ'!$K$6:$K$5000))</f>
        <v>-28302906.390000001</v>
      </c>
      <c r="O68" s="247">
        <f t="shared" si="11"/>
        <v>22489984.609999999</v>
      </c>
      <c r="T68" s="9" t="b">
        <f t="shared" si="12"/>
        <v>1</v>
      </c>
      <c r="U68" s="228">
        <f t="shared" si="13"/>
        <v>22489984.609999999</v>
      </c>
      <c r="V68" s="228">
        <f t="shared" si="14"/>
        <v>-28302906.390000001</v>
      </c>
      <c r="W68" s="228">
        <f t="shared" si="15"/>
        <v>0</v>
      </c>
      <c r="X68" s="228">
        <f t="shared" si="16"/>
        <v>-28302906.390000001</v>
      </c>
      <c r="Y68" s="228">
        <f t="shared" si="17"/>
        <v>0</v>
      </c>
      <c r="Z68" s="228">
        <f t="shared" si="18"/>
        <v>-28302906.390000001</v>
      </c>
      <c r="AA68" s="228">
        <f t="shared" si="19"/>
        <v>0</v>
      </c>
      <c r="AB68" s="228">
        <f t="shared" si="20"/>
        <v>-28302906.390000001</v>
      </c>
      <c r="AC68" s="228">
        <f t="shared" si="21"/>
        <v>0</v>
      </c>
      <c r="AD68" s="228">
        <f t="shared" si="22"/>
        <v>-28302906.390000001</v>
      </c>
      <c r="AE68" s="228">
        <f t="shared" si="23"/>
        <v>0</v>
      </c>
      <c r="AF68" s="228">
        <f t="shared" si="24"/>
        <v>-28302906.390000001</v>
      </c>
      <c r="AG68" s="228">
        <f t="shared" si="25"/>
        <v>0</v>
      </c>
      <c r="AH68" s="228">
        <f t="shared" si="26"/>
        <v>0</v>
      </c>
      <c r="AI68" s="247">
        <f t="shared" si="27"/>
        <v>22489984.609999999</v>
      </c>
      <c r="AJ68" s="248">
        <f t="shared" si="28"/>
        <v>22489984.609999999</v>
      </c>
    </row>
    <row r="69" spans="1:36" x14ac:dyDescent="0.2">
      <c r="A69" s="47" t="s">
        <v>292</v>
      </c>
      <c r="C69" s="230">
        <v>-422658.77</v>
      </c>
      <c r="G69" s="254">
        <f t="array" ref="G69">SUM(('Отчет по покупателям УТ'!$G$6:$G$5000='DATA 2'!G$8)*('Отчет по покупателям УТ'!$M$6:$M$5000='DATA 2'!$A69)*('Отчет по покупателям УТ'!$K$6:$K$5000))</f>
        <v>565994.06999999995</v>
      </c>
      <c r="H69" s="254">
        <f t="array" ref="H69">SUM(('Отчет по покупателям УТ'!$G$6:$G$5000='DATA 2'!H$8)*('Отчет по покупателям УТ'!$M$6:$M$5000='DATA 2'!$A69)*('Отчет по покупателям УТ'!$K$6:$K$5000))</f>
        <v>0</v>
      </c>
      <c r="I69" s="254">
        <f t="array" ref="I69">SUM(('Отчет по покупателям УТ'!$G$6:$G$5000='DATA 2'!I$8)*('Отчет по покупателям УТ'!$M$6:$M$5000='DATA 2'!$A69)*('Отчет по покупателям УТ'!$K$6:$K$5000))</f>
        <v>0</v>
      </c>
      <c r="J69" s="254">
        <f t="array" ref="J69">SUM(('Отчет по покупателям УТ'!$G$6:$G$5000='DATA 2'!J$8)*('Отчет по покупателям УТ'!$M$6:$M$5000='DATA 2'!$A69)*('Отчет по покупателям УТ'!$K$6:$K$5000))</f>
        <v>0</v>
      </c>
      <c r="K69" s="254">
        <f t="array" ref="K69">SUM(('Отчет по покупателям УТ'!$G$6:$G$5000='DATA 2'!K$8)*('Отчет по покупателям УТ'!$M$6:$M$5000='DATA 2'!$A69)*('Отчет по покупателям УТ'!$K$6:$K$5000))</f>
        <v>0</v>
      </c>
      <c r="L69" s="254">
        <f t="array" ref="L69">SUM(('Отчет по покупателям УТ'!$G$6:$G$5000='DATA 2'!L$8)*('Отчет по покупателям УТ'!$M$6:$M$5000='DATA 2'!$A69)*('Отчет по покупателям УТ'!$K$6:$K$5000))</f>
        <v>0</v>
      </c>
      <c r="M69" s="254">
        <f t="array" ref="M69">SUM(('Отчет по покупателям УТ'!$G$6:$G$5000='DATA 2'!M$8)*('Отчет по покупателям УТ'!$M$6:$M$5000='DATA 2'!$A69)*('Отчет по покупателям УТ'!$K$6:$K$5000))</f>
        <v>0</v>
      </c>
      <c r="N69" s="254">
        <f t="array" ref="N69">SUM(('Отчет по покупателям УТ'!$G$6:$G$5000='DATA 2'!N$8)*('Отчет по покупателям УТ'!$M$6:$M$5000='DATA 2'!$A69)*('Отчет по покупателям УТ'!$K$6:$K$5000))</f>
        <v>-988652.84</v>
      </c>
      <c r="O69" s="247">
        <f t="shared" si="11"/>
        <v>-422658.77</v>
      </c>
      <c r="T69" s="9" t="b">
        <f t="shared" si="12"/>
        <v>1</v>
      </c>
      <c r="U69" s="228">
        <f t="shared" si="13"/>
        <v>0</v>
      </c>
      <c r="V69" s="228">
        <f t="shared" si="14"/>
        <v>-988652.84</v>
      </c>
      <c r="W69" s="228">
        <f t="shared" si="15"/>
        <v>0</v>
      </c>
      <c r="X69" s="228">
        <f t="shared" si="16"/>
        <v>-988652.84</v>
      </c>
      <c r="Y69" s="228">
        <f t="shared" si="17"/>
        <v>0</v>
      </c>
      <c r="Z69" s="228">
        <f t="shared" si="18"/>
        <v>-988652.84</v>
      </c>
      <c r="AA69" s="228">
        <f t="shared" si="19"/>
        <v>0</v>
      </c>
      <c r="AB69" s="228">
        <f t="shared" si="20"/>
        <v>-988652.84</v>
      </c>
      <c r="AC69" s="228">
        <f t="shared" si="21"/>
        <v>0</v>
      </c>
      <c r="AD69" s="228">
        <f t="shared" si="22"/>
        <v>-988652.84</v>
      </c>
      <c r="AE69" s="228">
        <f t="shared" si="23"/>
        <v>0</v>
      </c>
      <c r="AF69" s="228">
        <f t="shared" si="24"/>
        <v>-988652.84</v>
      </c>
      <c r="AG69" s="228">
        <f t="shared" si="25"/>
        <v>0</v>
      </c>
      <c r="AH69" s="228">
        <f t="shared" si="26"/>
        <v>-422658.77</v>
      </c>
      <c r="AI69" s="247">
        <f t="shared" si="27"/>
        <v>-422658.77</v>
      </c>
      <c r="AJ69" s="248">
        <f t="shared" si="28"/>
        <v>0</v>
      </c>
    </row>
    <row r="70" spans="1:36" x14ac:dyDescent="0.2">
      <c r="A70" s="47" t="s">
        <v>296</v>
      </c>
      <c r="C70" s="230">
        <v>-538811.61</v>
      </c>
      <c r="G70" s="254">
        <f t="array" ref="G70">SUM(('Отчет по покупателям УТ'!$G$6:$G$5000='DATA 2'!G$8)*('Отчет по покупателям УТ'!$M$6:$M$5000='DATA 2'!$A70)*('Отчет по покупателям УТ'!$K$6:$K$5000))</f>
        <v>0</v>
      </c>
      <c r="H70" s="254">
        <f t="array" ref="H70">SUM(('Отчет по покупателям УТ'!$G$6:$G$5000='DATA 2'!H$8)*('Отчет по покупателям УТ'!$M$6:$M$5000='DATA 2'!$A70)*('Отчет по покупателям УТ'!$K$6:$K$5000))</f>
        <v>0</v>
      </c>
      <c r="I70" s="254">
        <f t="array" ref="I70">SUM(('Отчет по покупателям УТ'!$G$6:$G$5000='DATA 2'!I$8)*('Отчет по покупателям УТ'!$M$6:$M$5000='DATA 2'!$A70)*('Отчет по покупателям УТ'!$K$6:$K$5000))</f>
        <v>0</v>
      </c>
      <c r="J70" s="254">
        <f t="array" ref="J70">SUM(('Отчет по покупателям УТ'!$G$6:$G$5000='DATA 2'!J$8)*('Отчет по покупателям УТ'!$M$6:$M$5000='DATA 2'!$A70)*('Отчет по покупателям УТ'!$K$6:$K$5000))</f>
        <v>0</v>
      </c>
      <c r="K70" s="254">
        <f t="array" ref="K70">SUM(('Отчет по покупателям УТ'!$G$6:$G$5000='DATA 2'!K$8)*('Отчет по покупателям УТ'!$M$6:$M$5000='DATA 2'!$A70)*('Отчет по покупателям УТ'!$K$6:$K$5000))</f>
        <v>0</v>
      </c>
      <c r="L70" s="254">
        <f t="array" ref="L70">SUM(('Отчет по покупателям УТ'!$G$6:$G$5000='DATA 2'!L$8)*('Отчет по покупателям УТ'!$M$6:$M$5000='DATA 2'!$A70)*('Отчет по покупателям УТ'!$K$6:$K$5000))</f>
        <v>0</v>
      </c>
      <c r="M70" s="254">
        <f t="array" ref="M70">SUM(('Отчет по покупателям УТ'!$G$6:$G$5000='DATA 2'!M$8)*('Отчет по покупателям УТ'!$M$6:$M$5000='DATA 2'!$A70)*('Отчет по покупателям УТ'!$K$6:$K$5000))</f>
        <v>0</v>
      </c>
      <c r="N70" s="254">
        <f t="array" ref="N70">SUM(('Отчет по покупателям УТ'!$G$6:$G$5000='DATA 2'!N$8)*('Отчет по покупателям УТ'!$M$6:$M$5000='DATA 2'!$A70)*('Отчет по покупателям УТ'!$K$6:$K$5000))</f>
        <v>-538811.61</v>
      </c>
      <c r="O70" s="247">
        <f t="shared" si="11"/>
        <v>-538811.61</v>
      </c>
      <c r="T70" s="9" t="b">
        <f t="shared" si="12"/>
        <v>1</v>
      </c>
      <c r="U70" s="228">
        <f t="shared" si="13"/>
        <v>0</v>
      </c>
      <c r="V70" s="228">
        <f t="shared" si="14"/>
        <v>-538811.61</v>
      </c>
      <c r="W70" s="228">
        <f t="shared" si="15"/>
        <v>0</v>
      </c>
      <c r="X70" s="228">
        <f t="shared" si="16"/>
        <v>-538811.61</v>
      </c>
      <c r="Y70" s="228">
        <f t="shared" si="17"/>
        <v>0</v>
      </c>
      <c r="Z70" s="228">
        <f t="shared" si="18"/>
        <v>-538811.61</v>
      </c>
      <c r="AA70" s="228">
        <f t="shared" si="19"/>
        <v>0</v>
      </c>
      <c r="AB70" s="228">
        <f t="shared" si="20"/>
        <v>-538811.61</v>
      </c>
      <c r="AC70" s="228">
        <f t="shared" si="21"/>
        <v>0</v>
      </c>
      <c r="AD70" s="228">
        <f t="shared" si="22"/>
        <v>-538811.61</v>
      </c>
      <c r="AE70" s="228">
        <f t="shared" si="23"/>
        <v>0</v>
      </c>
      <c r="AF70" s="228">
        <f t="shared" si="24"/>
        <v>-538811.61</v>
      </c>
      <c r="AG70" s="228">
        <f t="shared" si="25"/>
        <v>0</v>
      </c>
      <c r="AH70" s="228">
        <f t="shared" si="26"/>
        <v>-538811.61</v>
      </c>
      <c r="AI70" s="247">
        <f t="shared" si="27"/>
        <v>-538811.61</v>
      </c>
      <c r="AJ70" s="248">
        <f t="shared" si="28"/>
        <v>0</v>
      </c>
    </row>
    <row r="71" spans="1:36" x14ac:dyDescent="0.2">
      <c r="A71" t="s">
        <v>298</v>
      </c>
      <c r="C71" s="230">
        <v>3353368</v>
      </c>
      <c r="G71" s="254">
        <f t="array" ref="G71">SUM(('Отчет по покупателям УТ'!$G$6:$G$5000='DATA 2'!G$8)*('Отчет по покупателям УТ'!$M$6:$M$5000='DATA 2'!$A71)*('Отчет по покупателям УТ'!$K$6:$K$5000))</f>
        <v>3383464</v>
      </c>
      <c r="H71" s="254">
        <f t="array" ref="H71">SUM(('Отчет по покупателям УТ'!$G$6:$G$5000='DATA 2'!H$8)*('Отчет по покупателям УТ'!$M$6:$M$5000='DATA 2'!$A71)*('Отчет по покупателям УТ'!$K$6:$K$5000))</f>
        <v>0</v>
      </c>
      <c r="I71" s="254">
        <f t="array" ref="I71">SUM(('Отчет по покупателям УТ'!$G$6:$G$5000='DATA 2'!I$8)*('Отчет по покупателям УТ'!$M$6:$M$5000='DATA 2'!$A71)*('Отчет по покупателям УТ'!$K$6:$K$5000))</f>
        <v>0</v>
      </c>
      <c r="J71" s="254">
        <f t="array" ref="J71">SUM(('Отчет по покупателям УТ'!$G$6:$G$5000='DATA 2'!J$8)*('Отчет по покупателям УТ'!$M$6:$M$5000='DATA 2'!$A71)*('Отчет по покупателям УТ'!$K$6:$K$5000))</f>
        <v>0</v>
      </c>
      <c r="K71" s="254">
        <f t="array" ref="K71">SUM(('Отчет по покупателям УТ'!$G$6:$G$5000='DATA 2'!K$8)*('Отчет по покупателям УТ'!$M$6:$M$5000='DATA 2'!$A71)*('Отчет по покупателям УТ'!$K$6:$K$5000))</f>
        <v>0</v>
      </c>
      <c r="L71" s="254">
        <f t="array" ref="L71">SUM(('Отчет по покупателям УТ'!$G$6:$G$5000='DATA 2'!L$8)*('Отчет по покупателям УТ'!$M$6:$M$5000='DATA 2'!$A71)*('Отчет по покупателям УТ'!$K$6:$K$5000))</f>
        <v>0</v>
      </c>
      <c r="M71" s="254">
        <f t="array" ref="M71">SUM(('Отчет по покупателям УТ'!$G$6:$G$5000='DATA 2'!M$8)*('Отчет по покупателям УТ'!$M$6:$M$5000='DATA 2'!$A71)*('Отчет по покупателям УТ'!$K$6:$K$5000))</f>
        <v>0</v>
      </c>
      <c r="N71" s="254">
        <f t="array" ref="N71">SUM(('Отчет по покупателям УТ'!$G$6:$G$5000='DATA 2'!N$8)*('Отчет по покупателям УТ'!$M$6:$M$5000='DATA 2'!$A71)*('Отчет по покупателям УТ'!$K$6:$K$5000))</f>
        <v>-30096</v>
      </c>
      <c r="O71" s="247">
        <f t="shared" si="11"/>
        <v>3353368</v>
      </c>
      <c r="T71" s="9" t="b">
        <f t="shared" si="12"/>
        <v>1</v>
      </c>
      <c r="U71" s="228">
        <f t="shared" si="13"/>
        <v>3353368</v>
      </c>
      <c r="V71" s="228">
        <f t="shared" si="14"/>
        <v>-30096</v>
      </c>
      <c r="W71" s="228">
        <f t="shared" si="15"/>
        <v>0</v>
      </c>
      <c r="X71" s="228">
        <f t="shared" si="16"/>
        <v>-30096</v>
      </c>
      <c r="Y71" s="228">
        <f t="shared" si="17"/>
        <v>0</v>
      </c>
      <c r="Z71" s="228">
        <f t="shared" si="18"/>
        <v>-30096</v>
      </c>
      <c r="AA71" s="228">
        <f t="shared" si="19"/>
        <v>0</v>
      </c>
      <c r="AB71" s="228">
        <f t="shared" si="20"/>
        <v>-30096</v>
      </c>
      <c r="AC71" s="228">
        <f t="shared" si="21"/>
        <v>0</v>
      </c>
      <c r="AD71" s="228">
        <f t="shared" si="22"/>
        <v>-30096</v>
      </c>
      <c r="AE71" s="228">
        <f t="shared" si="23"/>
        <v>0</v>
      </c>
      <c r="AF71" s="228">
        <f t="shared" si="24"/>
        <v>-30096</v>
      </c>
      <c r="AG71" s="228">
        <f t="shared" si="25"/>
        <v>0</v>
      </c>
      <c r="AH71" s="228">
        <f t="shared" si="26"/>
        <v>0</v>
      </c>
      <c r="AI71" s="247">
        <f t="shared" si="27"/>
        <v>3353368</v>
      </c>
      <c r="AJ71" s="248">
        <f t="shared" si="28"/>
        <v>3353368</v>
      </c>
    </row>
    <row r="72" spans="1:36" x14ac:dyDescent="0.2">
      <c r="A72" s="47" t="s">
        <v>310</v>
      </c>
      <c r="C72" s="230">
        <v>5024207.99</v>
      </c>
      <c r="G72" s="254">
        <f t="array" ref="G72">SUM(('Отчет по покупателям УТ'!$G$6:$G$5000='DATA 2'!G$8)*('Отчет по покупателям УТ'!$M$6:$M$5000='DATA 2'!$A72)*('Отчет по покупателям УТ'!$K$6:$K$5000))</f>
        <v>5018850</v>
      </c>
      <c r="H72" s="254">
        <f t="array" ref="H72">SUM(('Отчет по покупателям УТ'!$G$6:$G$5000='DATA 2'!H$8)*('Отчет по покупателям УТ'!$M$6:$M$5000='DATA 2'!$A72)*('Отчет по покупателям УТ'!$K$6:$K$5000))</f>
        <v>0</v>
      </c>
      <c r="I72" s="254">
        <f t="array" ref="I72">SUM(('Отчет по покупателям УТ'!$G$6:$G$5000='DATA 2'!I$8)*('Отчет по покупателям УТ'!$M$6:$M$5000='DATA 2'!$A72)*('Отчет по покупателям УТ'!$K$6:$K$5000))</f>
        <v>0</v>
      </c>
      <c r="J72" s="254">
        <f t="array" ref="J72">SUM(('Отчет по покупателям УТ'!$G$6:$G$5000='DATA 2'!J$8)*('Отчет по покупателям УТ'!$M$6:$M$5000='DATA 2'!$A72)*('Отчет по покупателям УТ'!$K$6:$K$5000))</f>
        <v>0</v>
      </c>
      <c r="K72" s="254">
        <f t="array" ref="K72">SUM(('Отчет по покупателям УТ'!$G$6:$G$5000='DATA 2'!K$8)*('Отчет по покупателям УТ'!$M$6:$M$5000='DATA 2'!$A72)*('Отчет по покупателям УТ'!$K$6:$K$5000))</f>
        <v>0</v>
      </c>
      <c r="L72" s="254">
        <f t="array" ref="L72">SUM(('Отчет по покупателям УТ'!$G$6:$G$5000='DATA 2'!L$8)*('Отчет по покупателям УТ'!$M$6:$M$5000='DATA 2'!$A72)*('Отчет по покупателям УТ'!$K$6:$K$5000))</f>
        <v>0</v>
      </c>
      <c r="M72" s="254">
        <f t="array" ref="M72">SUM(('Отчет по покупателям УТ'!$G$6:$G$5000='DATA 2'!M$8)*('Отчет по покупателям УТ'!$M$6:$M$5000='DATA 2'!$A72)*('Отчет по покупателям УТ'!$K$6:$K$5000))</f>
        <v>5358</v>
      </c>
      <c r="N72" s="254">
        <f t="array" ref="N72">SUM(('Отчет по покупателям УТ'!$G$6:$G$5000='DATA 2'!N$8)*('Отчет по покупателям УТ'!$M$6:$M$5000='DATA 2'!$A72)*('Отчет по покупателям УТ'!$K$6:$K$5000))</f>
        <v>-0.01</v>
      </c>
      <c r="O72" s="247">
        <f t="shared" si="11"/>
        <v>5024207.99</v>
      </c>
      <c r="T72" s="9" t="b">
        <f t="shared" si="12"/>
        <v>1</v>
      </c>
      <c r="U72" s="228">
        <f t="shared" si="13"/>
        <v>5018850</v>
      </c>
      <c r="V72" s="228">
        <f t="shared" si="14"/>
        <v>0</v>
      </c>
      <c r="W72" s="228">
        <f t="shared" si="15"/>
        <v>0</v>
      </c>
      <c r="X72" s="228">
        <f t="shared" si="16"/>
        <v>0</v>
      </c>
      <c r="Y72" s="228">
        <f t="shared" si="17"/>
        <v>0</v>
      </c>
      <c r="Z72" s="228">
        <f t="shared" si="18"/>
        <v>0</v>
      </c>
      <c r="AA72" s="228">
        <f t="shared" si="19"/>
        <v>0</v>
      </c>
      <c r="AB72" s="228">
        <f t="shared" si="20"/>
        <v>0</v>
      </c>
      <c r="AC72" s="228">
        <f t="shared" si="21"/>
        <v>0</v>
      </c>
      <c r="AD72" s="228">
        <f t="shared" si="22"/>
        <v>0</v>
      </c>
      <c r="AE72" s="228">
        <f t="shared" si="23"/>
        <v>0</v>
      </c>
      <c r="AF72" s="228">
        <f t="shared" si="24"/>
        <v>0</v>
      </c>
      <c r="AG72" s="228">
        <f t="shared" si="25"/>
        <v>5357.99</v>
      </c>
      <c r="AH72" s="228">
        <f t="shared" si="26"/>
        <v>0</v>
      </c>
      <c r="AI72" s="247">
        <f t="shared" si="27"/>
        <v>5024207.99</v>
      </c>
      <c r="AJ72" s="248">
        <f t="shared" si="28"/>
        <v>5024207.99</v>
      </c>
    </row>
    <row r="73" spans="1:36" x14ac:dyDescent="0.2">
      <c r="A73" s="47" t="s">
        <v>315</v>
      </c>
      <c r="C73" s="230">
        <v>-1345382.9100000001</v>
      </c>
      <c r="G73" s="254">
        <f t="array" ref="G73">SUM(('Отчет по покупателям УТ'!$G$6:$G$5000='DATA 2'!G$8)*('Отчет по покупателям УТ'!$M$6:$M$5000='DATA 2'!$A73)*('Отчет по покупателям УТ'!$K$6:$K$5000))</f>
        <v>0</v>
      </c>
      <c r="H73" s="254">
        <f t="array" ref="H73">SUM(('Отчет по покупателям УТ'!$G$6:$G$5000='DATA 2'!H$8)*('Отчет по покупателям УТ'!$M$6:$M$5000='DATA 2'!$A73)*('Отчет по покупателям УТ'!$K$6:$K$5000))</f>
        <v>0</v>
      </c>
      <c r="I73" s="254">
        <f t="array" ref="I73">SUM(('Отчет по покупателям УТ'!$G$6:$G$5000='DATA 2'!I$8)*('Отчет по покупателям УТ'!$M$6:$M$5000='DATA 2'!$A73)*('Отчет по покупателям УТ'!$K$6:$K$5000))</f>
        <v>0</v>
      </c>
      <c r="J73" s="254">
        <f t="array" ref="J73">SUM(('Отчет по покупателям УТ'!$G$6:$G$5000='DATA 2'!J$8)*('Отчет по покупателям УТ'!$M$6:$M$5000='DATA 2'!$A73)*('Отчет по покупателям УТ'!$K$6:$K$5000))</f>
        <v>0</v>
      </c>
      <c r="K73" s="254">
        <f t="array" ref="K73">SUM(('Отчет по покупателям УТ'!$G$6:$G$5000='DATA 2'!K$8)*('Отчет по покупателям УТ'!$M$6:$M$5000='DATA 2'!$A73)*('Отчет по покупателям УТ'!$K$6:$K$5000))</f>
        <v>0</v>
      </c>
      <c r="L73" s="254">
        <f t="array" ref="L73">SUM(('Отчет по покупателям УТ'!$G$6:$G$5000='DATA 2'!L$8)*('Отчет по покупателям УТ'!$M$6:$M$5000='DATA 2'!$A73)*('Отчет по покупателям УТ'!$K$6:$K$5000))</f>
        <v>0</v>
      </c>
      <c r="M73" s="254">
        <f t="array" ref="M73">SUM(('Отчет по покупателям УТ'!$G$6:$G$5000='DATA 2'!M$8)*('Отчет по покупателям УТ'!$M$6:$M$5000='DATA 2'!$A73)*('Отчет по покупателям УТ'!$K$6:$K$5000))</f>
        <v>0</v>
      </c>
      <c r="N73" s="254">
        <f t="array" ref="N73">SUM(('Отчет по покупателям УТ'!$G$6:$G$5000='DATA 2'!N$8)*('Отчет по покупателям УТ'!$M$6:$M$5000='DATA 2'!$A73)*('Отчет по покупателям УТ'!$K$6:$K$5000))</f>
        <v>-1345382.9100000001</v>
      </c>
      <c r="O73" s="247">
        <f t="shared" si="11"/>
        <v>-1345382.9100000001</v>
      </c>
      <c r="T73" s="9" t="b">
        <f t="shared" si="12"/>
        <v>1</v>
      </c>
      <c r="U73" s="228">
        <f t="shared" si="13"/>
        <v>0</v>
      </c>
      <c r="V73" s="228">
        <f t="shared" si="14"/>
        <v>-1345382.9100000001</v>
      </c>
      <c r="W73" s="228">
        <f t="shared" si="15"/>
        <v>0</v>
      </c>
      <c r="X73" s="228">
        <f t="shared" si="16"/>
        <v>-1345382.9100000001</v>
      </c>
      <c r="Y73" s="228">
        <f t="shared" si="17"/>
        <v>0</v>
      </c>
      <c r="Z73" s="228">
        <f t="shared" si="18"/>
        <v>-1345382.9100000001</v>
      </c>
      <c r="AA73" s="228">
        <f t="shared" si="19"/>
        <v>0</v>
      </c>
      <c r="AB73" s="228">
        <f t="shared" si="20"/>
        <v>-1345382.9100000001</v>
      </c>
      <c r="AC73" s="228">
        <f t="shared" si="21"/>
        <v>0</v>
      </c>
      <c r="AD73" s="228">
        <f t="shared" si="22"/>
        <v>-1345382.9100000001</v>
      </c>
      <c r="AE73" s="228">
        <f t="shared" si="23"/>
        <v>0</v>
      </c>
      <c r="AF73" s="228">
        <f t="shared" si="24"/>
        <v>-1345382.9100000001</v>
      </c>
      <c r="AG73" s="228">
        <f t="shared" si="25"/>
        <v>0</v>
      </c>
      <c r="AH73" s="228">
        <f t="shared" si="26"/>
        <v>-1345382.9100000001</v>
      </c>
      <c r="AI73" s="247">
        <f t="shared" si="27"/>
        <v>-1345382.9100000001</v>
      </c>
      <c r="AJ73" s="248">
        <f t="shared" si="28"/>
        <v>0</v>
      </c>
    </row>
    <row r="74" spans="1:36" x14ac:dyDescent="0.2">
      <c r="A74" s="47" t="s">
        <v>324</v>
      </c>
      <c r="C74" s="230">
        <v>826065.4</v>
      </c>
      <c r="G74" s="254">
        <f t="array" ref="G74">SUM(('Отчет по покупателям УТ'!$G$6:$G$5000='DATA 2'!G$8)*('Отчет по покупателям УТ'!$M$6:$M$5000='DATA 2'!$A74)*('Отчет по покупателям УТ'!$K$6:$K$5000))</f>
        <v>1370346.4</v>
      </c>
      <c r="H74" s="254">
        <f t="array" ref="H74">SUM(('Отчет по покупателям УТ'!$G$6:$G$5000='DATA 2'!H$8)*('Отчет по покупателям УТ'!$M$6:$M$5000='DATA 2'!$A74)*('Отчет по покупателям УТ'!$K$6:$K$5000))</f>
        <v>0</v>
      </c>
      <c r="I74" s="254">
        <f t="array" ref="I74">SUM(('Отчет по покупателям УТ'!$G$6:$G$5000='DATA 2'!I$8)*('Отчет по покупателям УТ'!$M$6:$M$5000='DATA 2'!$A74)*('Отчет по покупателям УТ'!$K$6:$K$5000))</f>
        <v>0</v>
      </c>
      <c r="J74" s="254">
        <f t="array" ref="J74">SUM(('Отчет по покупателям УТ'!$G$6:$G$5000='DATA 2'!J$8)*('Отчет по покупателям УТ'!$M$6:$M$5000='DATA 2'!$A74)*('Отчет по покупателям УТ'!$K$6:$K$5000))</f>
        <v>0</v>
      </c>
      <c r="K74" s="254">
        <f t="array" ref="K74">SUM(('Отчет по покупателям УТ'!$G$6:$G$5000='DATA 2'!K$8)*('Отчет по покупателям УТ'!$M$6:$M$5000='DATA 2'!$A74)*('Отчет по покупателям УТ'!$K$6:$K$5000))</f>
        <v>0</v>
      </c>
      <c r="L74" s="254">
        <f t="array" ref="L74">SUM(('Отчет по покупателям УТ'!$G$6:$G$5000='DATA 2'!L$8)*('Отчет по покупателям УТ'!$M$6:$M$5000='DATA 2'!$A74)*('Отчет по покупателям УТ'!$K$6:$K$5000))</f>
        <v>0</v>
      </c>
      <c r="M74" s="254">
        <f t="array" ref="M74">SUM(('Отчет по покупателям УТ'!$G$6:$G$5000='DATA 2'!M$8)*('Отчет по покупателям УТ'!$M$6:$M$5000='DATA 2'!$A74)*('Отчет по покупателям УТ'!$K$6:$K$5000))</f>
        <v>0</v>
      </c>
      <c r="N74" s="254">
        <f t="array" ref="N74">SUM(('Отчет по покупателям УТ'!$G$6:$G$5000='DATA 2'!N$8)*('Отчет по покупателям УТ'!$M$6:$M$5000='DATA 2'!$A74)*('Отчет по покупателям УТ'!$K$6:$K$5000))</f>
        <v>-544281</v>
      </c>
      <c r="O74" s="247">
        <f t="shared" ref="O74:O95" si="29">SUM(G74:N74)</f>
        <v>826065.39999999991</v>
      </c>
      <c r="T74" s="9" t="b">
        <f t="shared" ref="T74:T95" si="30">O74=SUM(U74,W74,Y74,AA74,AC74,AH74,AE74,AG74)</f>
        <v>1</v>
      </c>
      <c r="U74" s="228">
        <f t="shared" ref="U74:U95" si="31">IF(G74+V74&lt;0,0,G74+V74)</f>
        <v>826065.39999999991</v>
      </c>
      <c r="V74" s="228">
        <f t="shared" ref="V74:V95" si="32">IF(L74+K74+J74+I74+H74+M74+N74&lt;0,L74+K74+J74+I74+H74+M74+N74,0)</f>
        <v>-544281</v>
      </c>
      <c r="W74" s="228">
        <f t="shared" ref="W74:W95" si="33">IF(H74+X74&lt;0,0,H74+X74)</f>
        <v>0</v>
      </c>
      <c r="X74" s="228">
        <f t="shared" ref="X74:X95" si="34">IF(L74+K74+J74+I74+M74+N74&lt;0,L74+K74+J74+I74+M74+N74,0)</f>
        <v>-544281</v>
      </c>
      <c r="Y74" s="228">
        <f t="shared" ref="Y74:Y95" si="35">IF(I74+Z74&lt;0,0,I74+Z74)</f>
        <v>0</v>
      </c>
      <c r="Z74" s="228">
        <f t="shared" ref="Z74:Z95" si="36">IF(L74+K74+J74+M74+N74&lt;0,L74+K74+J74+M74+N74,0)</f>
        <v>-544281</v>
      </c>
      <c r="AA74" s="228">
        <f t="shared" ref="AA74:AA95" si="37">IF(J74+AB74&lt;0,0,J74+AB74)</f>
        <v>0</v>
      </c>
      <c r="AB74" s="228">
        <f t="shared" ref="AB74:AB95" si="38">IF(L74+K74+M74+N74&lt;0,L74+K74+M74+N74,0)</f>
        <v>-544281</v>
      </c>
      <c r="AC74" s="228">
        <f t="shared" ref="AC74:AC95" si="39">IF(K74+AD74&lt;0,0,K74+AD74)</f>
        <v>0</v>
      </c>
      <c r="AD74" s="228">
        <f t="shared" ref="AD74:AD95" si="40">IF(M74+L74+N74&lt;0,M74+L74+N74,0)</f>
        <v>-544281</v>
      </c>
      <c r="AE74" s="228">
        <f t="shared" ref="AE74:AE95" si="41">IF(L74+AF74&lt;0,0,L74+AF74)</f>
        <v>0</v>
      </c>
      <c r="AF74" s="228">
        <f t="shared" ref="AF74:AF95" si="42">IF(N74+M74&lt;0,N74+M74,0)</f>
        <v>-544281</v>
      </c>
      <c r="AG74" s="228">
        <f t="shared" ref="AG74:AG95" si="43">IF(M74+N74&lt;0,0,M74+N74)</f>
        <v>0</v>
      </c>
      <c r="AH74" s="228">
        <f t="shared" ref="AH74:AH95" si="44">IF(SUM(G74:N74)&lt;0,O74,0)</f>
        <v>0</v>
      </c>
      <c r="AI74" s="247">
        <f t="shared" ref="AI74:AI95" si="45">SUM(AH74,AC74,AA74,Y74,W74,U74,AE74,AG74)</f>
        <v>826065.39999999991</v>
      </c>
      <c r="AJ74" s="248">
        <f t="shared" ref="AJ74:AJ95" si="46">SUM(U74,W74,Y74,AA74,AC74,AE74,AG74)</f>
        <v>826065.39999999991</v>
      </c>
    </row>
    <row r="75" spans="1:36" x14ac:dyDescent="0.2">
      <c r="A75" s="47" t="s">
        <v>327</v>
      </c>
      <c r="C75" s="230">
        <v>-85944.35</v>
      </c>
      <c r="G75" s="254">
        <f t="array" ref="G75">SUM(('Отчет по покупателям УТ'!$G$6:$G$5000='DATA 2'!G$8)*('Отчет по покупателям УТ'!$M$6:$M$5000='DATA 2'!$A75)*('Отчет по покупателям УТ'!$K$6:$K$5000))</f>
        <v>0</v>
      </c>
      <c r="H75" s="254">
        <f t="array" ref="H75">SUM(('Отчет по покупателям УТ'!$G$6:$G$5000='DATA 2'!H$8)*('Отчет по покупателям УТ'!$M$6:$M$5000='DATA 2'!$A75)*('Отчет по покупателям УТ'!$K$6:$K$5000))</f>
        <v>0</v>
      </c>
      <c r="I75" s="254">
        <f t="array" ref="I75">SUM(('Отчет по покупателям УТ'!$G$6:$G$5000='DATA 2'!I$8)*('Отчет по покупателям УТ'!$M$6:$M$5000='DATA 2'!$A75)*('Отчет по покупателям УТ'!$K$6:$K$5000))</f>
        <v>0</v>
      </c>
      <c r="J75" s="254">
        <f t="array" ref="J75">SUM(('Отчет по покупателям УТ'!$G$6:$G$5000='DATA 2'!J$8)*('Отчет по покупателям УТ'!$M$6:$M$5000='DATA 2'!$A75)*('Отчет по покупателям УТ'!$K$6:$K$5000))</f>
        <v>0</v>
      </c>
      <c r="K75" s="254">
        <f t="array" ref="K75">SUM(('Отчет по покупателям УТ'!$G$6:$G$5000='DATA 2'!K$8)*('Отчет по покупателям УТ'!$M$6:$M$5000='DATA 2'!$A75)*('Отчет по покупателям УТ'!$K$6:$K$5000))</f>
        <v>0</v>
      </c>
      <c r="L75" s="254">
        <f t="array" ref="L75">SUM(('Отчет по покупателям УТ'!$G$6:$G$5000='DATA 2'!L$8)*('Отчет по покупателям УТ'!$M$6:$M$5000='DATA 2'!$A75)*('Отчет по покупателям УТ'!$K$6:$K$5000))</f>
        <v>0</v>
      </c>
      <c r="M75" s="254">
        <f t="array" ref="M75">SUM(('Отчет по покупателям УТ'!$G$6:$G$5000='DATA 2'!M$8)*('Отчет по покупателям УТ'!$M$6:$M$5000='DATA 2'!$A75)*('Отчет по покупателям УТ'!$K$6:$K$5000))</f>
        <v>0</v>
      </c>
      <c r="N75" s="254">
        <f t="array" ref="N75">SUM(('Отчет по покупателям УТ'!$G$6:$G$5000='DATA 2'!N$8)*('Отчет по покупателям УТ'!$M$6:$M$5000='DATA 2'!$A75)*('Отчет по покупателям УТ'!$K$6:$K$5000))</f>
        <v>-85944.35</v>
      </c>
      <c r="O75" s="247">
        <f t="shared" si="29"/>
        <v>-85944.35</v>
      </c>
      <c r="T75" s="9" t="b">
        <f t="shared" si="30"/>
        <v>1</v>
      </c>
      <c r="U75" s="228">
        <f t="shared" si="31"/>
        <v>0</v>
      </c>
      <c r="V75" s="228">
        <f t="shared" si="32"/>
        <v>-85944.35</v>
      </c>
      <c r="W75" s="228">
        <f t="shared" si="33"/>
        <v>0</v>
      </c>
      <c r="X75" s="228">
        <f t="shared" si="34"/>
        <v>-85944.35</v>
      </c>
      <c r="Y75" s="228">
        <f t="shared" si="35"/>
        <v>0</v>
      </c>
      <c r="Z75" s="228">
        <f t="shared" si="36"/>
        <v>-85944.35</v>
      </c>
      <c r="AA75" s="228">
        <f t="shared" si="37"/>
        <v>0</v>
      </c>
      <c r="AB75" s="228">
        <f t="shared" si="38"/>
        <v>-85944.35</v>
      </c>
      <c r="AC75" s="228">
        <f t="shared" si="39"/>
        <v>0</v>
      </c>
      <c r="AD75" s="228">
        <f t="shared" si="40"/>
        <v>-85944.35</v>
      </c>
      <c r="AE75" s="228">
        <f t="shared" si="41"/>
        <v>0</v>
      </c>
      <c r="AF75" s="228">
        <f t="shared" si="42"/>
        <v>-85944.35</v>
      </c>
      <c r="AG75" s="228">
        <f t="shared" si="43"/>
        <v>0</v>
      </c>
      <c r="AH75" s="228">
        <f t="shared" si="44"/>
        <v>-85944.35</v>
      </c>
      <c r="AI75" s="247">
        <f t="shared" si="45"/>
        <v>-85944.35</v>
      </c>
      <c r="AJ75" s="248">
        <f t="shared" si="46"/>
        <v>0</v>
      </c>
    </row>
    <row r="76" spans="1:36" x14ac:dyDescent="0.2">
      <c r="A76" s="47" t="s">
        <v>328</v>
      </c>
      <c r="C76" s="230">
        <v>-273140.3</v>
      </c>
      <c r="G76" s="254">
        <f t="array" ref="G76">SUM(('Отчет по покупателям УТ'!$G$6:$G$5000='DATA 2'!G$8)*('Отчет по покупателям УТ'!$M$6:$M$5000='DATA 2'!$A76)*('Отчет по покупателям УТ'!$K$6:$K$5000))</f>
        <v>0</v>
      </c>
      <c r="H76" s="254">
        <f t="array" ref="H76">SUM(('Отчет по покупателям УТ'!$G$6:$G$5000='DATA 2'!H$8)*('Отчет по покупателям УТ'!$M$6:$M$5000='DATA 2'!$A76)*('Отчет по покупателям УТ'!$K$6:$K$5000))</f>
        <v>0</v>
      </c>
      <c r="I76" s="254">
        <f t="array" ref="I76">SUM(('Отчет по покупателям УТ'!$G$6:$G$5000='DATA 2'!I$8)*('Отчет по покупателям УТ'!$M$6:$M$5000='DATA 2'!$A76)*('Отчет по покупателям УТ'!$K$6:$K$5000))</f>
        <v>0</v>
      </c>
      <c r="J76" s="254">
        <f t="array" ref="J76">SUM(('Отчет по покупателям УТ'!$G$6:$G$5000='DATA 2'!J$8)*('Отчет по покупателям УТ'!$M$6:$M$5000='DATA 2'!$A76)*('Отчет по покупателям УТ'!$K$6:$K$5000))</f>
        <v>0</v>
      </c>
      <c r="K76" s="254">
        <f t="array" ref="K76">SUM(('Отчет по покупателям УТ'!$G$6:$G$5000='DATA 2'!K$8)*('Отчет по покупателям УТ'!$M$6:$M$5000='DATA 2'!$A76)*('Отчет по покупателям УТ'!$K$6:$K$5000))</f>
        <v>0</v>
      </c>
      <c r="L76" s="254">
        <f t="array" ref="L76">SUM(('Отчет по покупателям УТ'!$G$6:$G$5000='DATA 2'!L$8)*('Отчет по покупателям УТ'!$M$6:$M$5000='DATA 2'!$A76)*('Отчет по покупателям УТ'!$K$6:$K$5000))</f>
        <v>0</v>
      </c>
      <c r="M76" s="254">
        <f t="array" ref="M76">SUM(('Отчет по покупателям УТ'!$G$6:$G$5000='DATA 2'!M$8)*('Отчет по покупателям УТ'!$M$6:$M$5000='DATA 2'!$A76)*('Отчет по покупателям УТ'!$K$6:$K$5000))</f>
        <v>0</v>
      </c>
      <c r="N76" s="254">
        <f t="array" ref="N76">SUM(('Отчет по покупателям УТ'!$G$6:$G$5000='DATA 2'!N$8)*('Отчет по покупателям УТ'!$M$6:$M$5000='DATA 2'!$A76)*('Отчет по покупателям УТ'!$K$6:$K$5000))</f>
        <v>-273140.3</v>
      </c>
      <c r="O76" s="247">
        <f t="shared" si="29"/>
        <v>-273140.3</v>
      </c>
      <c r="T76" s="9" t="b">
        <f t="shared" si="30"/>
        <v>1</v>
      </c>
      <c r="U76" s="228">
        <f t="shared" si="31"/>
        <v>0</v>
      </c>
      <c r="V76" s="228">
        <f t="shared" si="32"/>
        <v>-273140.3</v>
      </c>
      <c r="W76" s="228">
        <f t="shared" si="33"/>
        <v>0</v>
      </c>
      <c r="X76" s="228">
        <f t="shared" si="34"/>
        <v>-273140.3</v>
      </c>
      <c r="Y76" s="228">
        <f t="shared" si="35"/>
        <v>0</v>
      </c>
      <c r="Z76" s="228">
        <f t="shared" si="36"/>
        <v>-273140.3</v>
      </c>
      <c r="AA76" s="228">
        <f t="shared" si="37"/>
        <v>0</v>
      </c>
      <c r="AB76" s="228">
        <f t="shared" si="38"/>
        <v>-273140.3</v>
      </c>
      <c r="AC76" s="228">
        <f t="shared" si="39"/>
        <v>0</v>
      </c>
      <c r="AD76" s="228">
        <f t="shared" si="40"/>
        <v>-273140.3</v>
      </c>
      <c r="AE76" s="228">
        <f t="shared" si="41"/>
        <v>0</v>
      </c>
      <c r="AF76" s="228">
        <f t="shared" si="42"/>
        <v>-273140.3</v>
      </c>
      <c r="AG76" s="228">
        <f t="shared" si="43"/>
        <v>0</v>
      </c>
      <c r="AH76" s="228">
        <f t="shared" si="44"/>
        <v>-273140.3</v>
      </c>
      <c r="AI76" s="247">
        <f t="shared" si="45"/>
        <v>-273140.3</v>
      </c>
      <c r="AJ76" s="248">
        <f t="shared" si="46"/>
        <v>0</v>
      </c>
    </row>
    <row r="77" spans="1:36" x14ac:dyDescent="0.2">
      <c r="A77" s="47" t="s">
        <v>549</v>
      </c>
      <c r="C77" s="230">
        <v>-95438.37</v>
      </c>
      <c r="G77" s="254">
        <f t="array" ref="G77">SUM(('Отчет по покупателям УТ'!$G$6:$G$5000='DATA 2'!G$8)*('Отчет по покупателям УТ'!$M$6:$M$5000='DATA 2'!$A77)*('Отчет по покупателям УТ'!$K$6:$K$5000))</f>
        <v>0</v>
      </c>
      <c r="H77" s="254">
        <f t="array" ref="H77">SUM(('Отчет по покупателям УТ'!$G$6:$G$5000='DATA 2'!H$8)*('Отчет по покупателям УТ'!$M$6:$M$5000='DATA 2'!$A77)*('Отчет по покупателям УТ'!$K$6:$K$5000))</f>
        <v>0</v>
      </c>
      <c r="I77" s="254">
        <f t="array" ref="I77">SUM(('Отчет по покупателям УТ'!$G$6:$G$5000='DATA 2'!I$8)*('Отчет по покупателям УТ'!$M$6:$M$5000='DATA 2'!$A77)*('Отчет по покупателям УТ'!$K$6:$K$5000))</f>
        <v>0</v>
      </c>
      <c r="J77" s="254">
        <f t="array" ref="J77">SUM(('Отчет по покупателям УТ'!$G$6:$G$5000='DATA 2'!J$8)*('Отчет по покупателям УТ'!$M$6:$M$5000='DATA 2'!$A77)*('Отчет по покупателям УТ'!$K$6:$K$5000))</f>
        <v>0</v>
      </c>
      <c r="K77" s="254">
        <f t="array" ref="K77">SUM(('Отчет по покупателям УТ'!$G$6:$G$5000='DATA 2'!K$8)*('Отчет по покупателям УТ'!$M$6:$M$5000='DATA 2'!$A77)*('Отчет по покупателям УТ'!$K$6:$K$5000))</f>
        <v>0</v>
      </c>
      <c r="L77" s="254">
        <f t="array" ref="L77">SUM(('Отчет по покупателям УТ'!$G$6:$G$5000='DATA 2'!L$8)*('Отчет по покупателям УТ'!$M$6:$M$5000='DATA 2'!$A77)*('Отчет по покупателям УТ'!$K$6:$K$5000))</f>
        <v>0</v>
      </c>
      <c r="M77" s="254">
        <f t="array" ref="M77">SUM(('Отчет по покупателям УТ'!$G$6:$G$5000='DATA 2'!M$8)*('Отчет по покупателям УТ'!$M$6:$M$5000='DATA 2'!$A77)*('Отчет по покупателям УТ'!$K$6:$K$5000))</f>
        <v>0</v>
      </c>
      <c r="N77" s="254">
        <f t="array" ref="N77">SUM(('Отчет по покупателям УТ'!$G$6:$G$5000='DATA 2'!N$8)*('Отчет по покупателям УТ'!$M$6:$M$5000='DATA 2'!$A77)*('Отчет по покупателям УТ'!$K$6:$K$5000))</f>
        <v>-95438.37</v>
      </c>
      <c r="O77" s="247">
        <f t="shared" si="29"/>
        <v>-95438.37</v>
      </c>
      <c r="T77" s="9" t="b">
        <f t="shared" si="30"/>
        <v>1</v>
      </c>
      <c r="U77" s="228">
        <f t="shared" si="31"/>
        <v>0</v>
      </c>
      <c r="V77" s="228">
        <f t="shared" si="32"/>
        <v>-95438.37</v>
      </c>
      <c r="W77" s="228">
        <f t="shared" si="33"/>
        <v>0</v>
      </c>
      <c r="X77" s="228">
        <f t="shared" si="34"/>
        <v>-95438.37</v>
      </c>
      <c r="Y77" s="228">
        <f t="shared" si="35"/>
        <v>0</v>
      </c>
      <c r="Z77" s="228">
        <f t="shared" si="36"/>
        <v>-95438.37</v>
      </c>
      <c r="AA77" s="228">
        <f t="shared" si="37"/>
        <v>0</v>
      </c>
      <c r="AB77" s="228">
        <f t="shared" si="38"/>
        <v>-95438.37</v>
      </c>
      <c r="AC77" s="228">
        <f t="shared" si="39"/>
        <v>0</v>
      </c>
      <c r="AD77" s="228">
        <f t="shared" si="40"/>
        <v>-95438.37</v>
      </c>
      <c r="AE77" s="228">
        <f t="shared" si="41"/>
        <v>0</v>
      </c>
      <c r="AF77" s="228">
        <f t="shared" si="42"/>
        <v>-95438.37</v>
      </c>
      <c r="AG77" s="228">
        <f t="shared" si="43"/>
        <v>0</v>
      </c>
      <c r="AH77" s="228">
        <f t="shared" si="44"/>
        <v>-95438.37</v>
      </c>
      <c r="AI77" s="247">
        <f t="shared" si="45"/>
        <v>-95438.37</v>
      </c>
      <c r="AJ77" s="248">
        <f t="shared" si="46"/>
        <v>0</v>
      </c>
    </row>
    <row r="78" spans="1:36" x14ac:dyDescent="0.2">
      <c r="A78" s="47" t="s">
        <v>726</v>
      </c>
      <c r="C78" s="230">
        <v>-1144349</v>
      </c>
      <c r="G78" s="254">
        <f t="array" ref="G78">SUM(('Отчет по покупателям УТ'!$G$6:$G$5000='DATA 2'!G$8)*('Отчет по покупателям УТ'!$M$6:$M$5000='DATA 2'!$A78)*('Отчет по покупателям УТ'!$K$6:$K$5000))</f>
        <v>0</v>
      </c>
      <c r="H78" s="254">
        <f t="array" ref="H78">SUM(('Отчет по покупателям УТ'!$G$6:$G$5000='DATA 2'!H$8)*('Отчет по покупателям УТ'!$M$6:$M$5000='DATA 2'!$A78)*('Отчет по покупателям УТ'!$K$6:$K$5000))</f>
        <v>0</v>
      </c>
      <c r="I78" s="254">
        <f t="array" ref="I78">SUM(('Отчет по покупателям УТ'!$G$6:$G$5000='DATA 2'!I$8)*('Отчет по покупателям УТ'!$M$6:$M$5000='DATA 2'!$A78)*('Отчет по покупателям УТ'!$K$6:$K$5000))</f>
        <v>0</v>
      </c>
      <c r="J78" s="254">
        <f t="array" ref="J78">SUM(('Отчет по покупателям УТ'!$G$6:$G$5000='DATA 2'!J$8)*('Отчет по покупателям УТ'!$M$6:$M$5000='DATA 2'!$A78)*('Отчет по покупателям УТ'!$K$6:$K$5000))</f>
        <v>0</v>
      </c>
      <c r="K78" s="254">
        <f t="array" ref="K78">SUM(('Отчет по покупателям УТ'!$G$6:$G$5000='DATA 2'!K$8)*('Отчет по покупателям УТ'!$M$6:$M$5000='DATA 2'!$A78)*('Отчет по покупателям УТ'!$K$6:$K$5000))</f>
        <v>0</v>
      </c>
      <c r="L78" s="254">
        <f t="array" ref="L78">SUM(('Отчет по покупателям УТ'!$G$6:$G$5000='DATA 2'!L$8)*('Отчет по покупателям УТ'!$M$6:$M$5000='DATA 2'!$A78)*('Отчет по покупателям УТ'!$K$6:$K$5000))</f>
        <v>0</v>
      </c>
      <c r="M78" s="254">
        <f t="array" ref="M78">SUM(('Отчет по покупателям УТ'!$G$6:$G$5000='DATA 2'!M$8)*('Отчет по покупателям УТ'!$M$6:$M$5000='DATA 2'!$A78)*('Отчет по покупателям УТ'!$K$6:$K$5000))</f>
        <v>0</v>
      </c>
      <c r="N78" s="254">
        <f t="array" ref="N78">SUM(('Отчет по покупателям УТ'!$G$6:$G$5000='DATA 2'!N$8)*('Отчет по покупателям УТ'!$M$6:$M$5000='DATA 2'!$A78)*('Отчет по покупателям УТ'!$K$6:$K$5000))</f>
        <v>-1144349</v>
      </c>
      <c r="O78" s="247">
        <f t="shared" si="29"/>
        <v>-1144349</v>
      </c>
      <c r="T78" s="9" t="b">
        <f t="shared" si="30"/>
        <v>1</v>
      </c>
      <c r="U78" s="228">
        <f t="shared" si="31"/>
        <v>0</v>
      </c>
      <c r="V78" s="228">
        <f t="shared" si="32"/>
        <v>-1144349</v>
      </c>
      <c r="W78" s="228">
        <f t="shared" si="33"/>
        <v>0</v>
      </c>
      <c r="X78" s="228">
        <f t="shared" si="34"/>
        <v>-1144349</v>
      </c>
      <c r="Y78" s="228">
        <f t="shared" si="35"/>
        <v>0</v>
      </c>
      <c r="Z78" s="228">
        <f t="shared" si="36"/>
        <v>-1144349</v>
      </c>
      <c r="AA78" s="228">
        <f t="shared" si="37"/>
        <v>0</v>
      </c>
      <c r="AB78" s="228">
        <f t="shared" si="38"/>
        <v>-1144349</v>
      </c>
      <c r="AC78" s="228">
        <f t="shared" si="39"/>
        <v>0</v>
      </c>
      <c r="AD78" s="228">
        <f t="shared" si="40"/>
        <v>-1144349</v>
      </c>
      <c r="AE78" s="228">
        <f t="shared" si="41"/>
        <v>0</v>
      </c>
      <c r="AF78" s="228">
        <f t="shared" si="42"/>
        <v>-1144349</v>
      </c>
      <c r="AG78" s="228">
        <f t="shared" si="43"/>
        <v>0</v>
      </c>
      <c r="AH78" s="228">
        <f t="shared" si="44"/>
        <v>-1144349</v>
      </c>
      <c r="AI78" s="247">
        <f t="shared" si="45"/>
        <v>-1144349</v>
      </c>
      <c r="AJ78" s="248">
        <f t="shared" si="46"/>
        <v>0</v>
      </c>
    </row>
    <row r="79" spans="1:36" x14ac:dyDescent="0.2">
      <c r="A79" s="47" t="s">
        <v>730</v>
      </c>
      <c r="C79" s="230">
        <v>-69037.63</v>
      </c>
      <c r="G79" s="254">
        <f t="array" ref="G79">SUM(('Отчет по покупателям УТ'!$G$6:$G$5000='DATA 2'!G$8)*('Отчет по покупателям УТ'!$M$6:$M$5000='DATA 2'!$A79)*('Отчет по покупателям УТ'!$K$6:$K$5000))</f>
        <v>0</v>
      </c>
      <c r="H79" s="254">
        <f t="array" ref="H79">SUM(('Отчет по покупателям УТ'!$G$6:$G$5000='DATA 2'!H$8)*('Отчет по покупателям УТ'!$M$6:$M$5000='DATA 2'!$A79)*('Отчет по покупателям УТ'!$K$6:$K$5000))</f>
        <v>0</v>
      </c>
      <c r="I79" s="254">
        <f t="array" ref="I79">SUM(('Отчет по покупателям УТ'!$G$6:$G$5000='DATA 2'!I$8)*('Отчет по покупателям УТ'!$M$6:$M$5000='DATA 2'!$A79)*('Отчет по покупателям УТ'!$K$6:$K$5000))</f>
        <v>0</v>
      </c>
      <c r="J79" s="254">
        <f t="array" ref="J79">SUM(('Отчет по покупателям УТ'!$G$6:$G$5000='DATA 2'!J$8)*('Отчет по покупателям УТ'!$M$6:$M$5000='DATA 2'!$A79)*('Отчет по покупателям УТ'!$K$6:$K$5000))</f>
        <v>0</v>
      </c>
      <c r="K79" s="254">
        <f t="array" ref="K79">SUM(('Отчет по покупателям УТ'!$G$6:$G$5000='DATA 2'!K$8)*('Отчет по покупателям УТ'!$M$6:$M$5000='DATA 2'!$A79)*('Отчет по покупателям УТ'!$K$6:$K$5000))</f>
        <v>0</v>
      </c>
      <c r="L79" s="254">
        <f t="array" ref="L79">SUM(('Отчет по покупателям УТ'!$G$6:$G$5000='DATA 2'!L$8)*('Отчет по покупателям УТ'!$M$6:$M$5000='DATA 2'!$A79)*('Отчет по покупателям УТ'!$K$6:$K$5000))</f>
        <v>0</v>
      </c>
      <c r="M79" s="254">
        <f t="array" ref="M79">SUM(('Отчет по покупателям УТ'!$G$6:$G$5000='DATA 2'!M$8)*('Отчет по покупателям УТ'!$M$6:$M$5000='DATA 2'!$A79)*('Отчет по покупателям УТ'!$K$6:$K$5000))</f>
        <v>0</v>
      </c>
      <c r="N79" s="254">
        <f t="array" ref="N79">SUM(('Отчет по покупателям УТ'!$G$6:$G$5000='DATA 2'!N$8)*('Отчет по покупателям УТ'!$M$6:$M$5000='DATA 2'!$A79)*('Отчет по покупателям УТ'!$K$6:$K$5000))</f>
        <v>-69037.63</v>
      </c>
      <c r="O79" s="247">
        <f t="shared" si="29"/>
        <v>-69037.63</v>
      </c>
      <c r="T79" s="9" t="b">
        <f t="shared" si="30"/>
        <v>1</v>
      </c>
      <c r="U79" s="228">
        <f t="shared" si="31"/>
        <v>0</v>
      </c>
      <c r="V79" s="228">
        <f t="shared" si="32"/>
        <v>-69037.63</v>
      </c>
      <c r="W79" s="228">
        <f t="shared" si="33"/>
        <v>0</v>
      </c>
      <c r="X79" s="228">
        <f t="shared" si="34"/>
        <v>-69037.63</v>
      </c>
      <c r="Y79" s="228">
        <f t="shared" si="35"/>
        <v>0</v>
      </c>
      <c r="Z79" s="228">
        <f t="shared" si="36"/>
        <v>-69037.63</v>
      </c>
      <c r="AA79" s="228">
        <f t="shared" si="37"/>
        <v>0</v>
      </c>
      <c r="AB79" s="228">
        <f t="shared" si="38"/>
        <v>-69037.63</v>
      </c>
      <c r="AC79" s="228">
        <f t="shared" si="39"/>
        <v>0</v>
      </c>
      <c r="AD79" s="228">
        <f t="shared" si="40"/>
        <v>-69037.63</v>
      </c>
      <c r="AE79" s="228">
        <f t="shared" si="41"/>
        <v>0</v>
      </c>
      <c r="AF79" s="228">
        <f t="shared" si="42"/>
        <v>-69037.63</v>
      </c>
      <c r="AG79" s="228">
        <f t="shared" si="43"/>
        <v>0</v>
      </c>
      <c r="AH79" s="228">
        <f t="shared" si="44"/>
        <v>-69037.63</v>
      </c>
      <c r="AI79" s="247">
        <f t="shared" si="45"/>
        <v>-69037.63</v>
      </c>
      <c r="AJ79" s="248">
        <f t="shared" si="46"/>
        <v>0</v>
      </c>
    </row>
    <row r="80" spans="1:36" x14ac:dyDescent="0.2">
      <c r="A80" s="47" t="s">
        <v>732</v>
      </c>
      <c r="C80" s="230">
        <v>-103355.81</v>
      </c>
      <c r="G80" s="254">
        <f t="array" ref="G80">SUM(('Отчет по покупателям УТ'!$G$6:$G$5000='DATA 2'!G$8)*('Отчет по покупателям УТ'!$M$6:$M$5000='DATA 2'!$A80)*('Отчет по покупателям УТ'!$K$6:$K$5000))</f>
        <v>0</v>
      </c>
      <c r="H80" s="254">
        <f t="array" ref="H80">SUM(('Отчет по покупателям УТ'!$G$6:$G$5000='DATA 2'!H$8)*('Отчет по покупателям УТ'!$M$6:$M$5000='DATA 2'!$A80)*('Отчет по покупателям УТ'!$K$6:$K$5000))</f>
        <v>0</v>
      </c>
      <c r="I80" s="254">
        <f t="array" ref="I80">SUM(('Отчет по покупателям УТ'!$G$6:$G$5000='DATA 2'!I$8)*('Отчет по покупателям УТ'!$M$6:$M$5000='DATA 2'!$A80)*('Отчет по покупателям УТ'!$K$6:$K$5000))</f>
        <v>0</v>
      </c>
      <c r="J80" s="254">
        <f t="array" ref="J80">SUM(('Отчет по покупателям УТ'!$G$6:$G$5000='DATA 2'!J$8)*('Отчет по покупателям УТ'!$M$6:$M$5000='DATA 2'!$A80)*('Отчет по покупателям УТ'!$K$6:$K$5000))</f>
        <v>0</v>
      </c>
      <c r="K80" s="254">
        <f t="array" ref="K80">SUM(('Отчет по покупателям УТ'!$G$6:$G$5000='DATA 2'!K$8)*('Отчет по покупателям УТ'!$M$6:$M$5000='DATA 2'!$A80)*('Отчет по покупателям УТ'!$K$6:$K$5000))</f>
        <v>0</v>
      </c>
      <c r="L80" s="254">
        <f t="array" ref="L80">SUM(('Отчет по покупателям УТ'!$G$6:$G$5000='DATA 2'!L$8)*('Отчет по покупателям УТ'!$M$6:$M$5000='DATA 2'!$A80)*('Отчет по покупателям УТ'!$K$6:$K$5000))</f>
        <v>0</v>
      </c>
      <c r="M80" s="254">
        <f t="array" ref="M80">SUM(('Отчет по покупателям УТ'!$G$6:$G$5000='DATA 2'!M$8)*('Отчет по покупателям УТ'!$M$6:$M$5000='DATA 2'!$A80)*('Отчет по покупателям УТ'!$K$6:$K$5000))</f>
        <v>0</v>
      </c>
      <c r="N80" s="254">
        <f t="array" ref="N80">SUM(('Отчет по покупателям УТ'!$G$6:$G$5000='DATA 2'!N$8)*('Отчет по покупателям УТ'!$M$6:$M$5000='DATA 2'!$A80)*('Отчет по покупателям УТ'!$K$6:$K$5000))</f>
        <v>-103355.81</v>
      </c>
      <c r="O80" s="247">
        <f t="shared" si="29"/>
        <v>-103355.81</v>
      </c>
      <c r="T80" s="9" t="b">
        <f t="shared" si="30"/>
        <v>1</v>
      </c>
      <c r="U80" s="228">
        <f t="shared" si="31"/>
        <v>0</v>
      </c>
      <c r="V80" s="228">
        <f t="shared" si="32"/>
        <v>-103355.81</v>
      </c>
      <c r="W80" s="228">
        <f t="shared" si="33"/>
        <v>0</v>
      </c>
      <c r="X80" s="228">
        <f t="shared" si="34"/>
        <v>-103355.81</v>
      </c>
      <c r="Y80" s="228">
        <f t="shared" si="35"/>
        <v>0</v>
      </c>
      <c r="Z80" s="228">
        <f t="shared" si="36"/>
        <v>-103355.81</v>
      </c>
      <c r="AA80" s="228">
        <f t="shared" si="37"/>
        <v>0</v>
      </c>
      <c r="AB80" s="228">
        <f t="shared" si="38"/>
        <v>-103355.81</v>
      </c>
      <c r="AC80" s="228">
        <f t="shared" si="39"/>
        <v>0</v>
      </c>
      <c r="AD80" s="228">
        <f t="shared" si="40"/>
        <v>-103355.81</v>
      </c>
      <c r="AE80" s="228">
        <f t="shared" si="41"/>
        <v>0</v>
      </c>
      <c r="AF80" s="228">
        <f t="shared" si="42"/>
        <v>-103355.81</v>
      </c>
      <c r="AG80" s="228">
        <f t="shared" si="43"/>
        <v>0</v>
      </c>
      <c r="AH80" s="228">
        <f t="shared" si="44"/>
        <v>-103355.81</v>
      </c>
      <c r="AI80" s="247">
        <f t="shared" si="45"/>
        <v>-103355.81</v>
      </c>
      <c r="AJ80" s="248">
        <f t="shared" si="46"/>
        <v>0</v>
      </c>
    </row>
    <row r="81" spans="1:36" x14ac:dyDescent="0.2">
      <c r="A81" s="47" t="s">
        <v>733</v>
      </c>
      <c r="C81" s="230">
        <v>-721170</v>
      </c>
      <c r="G81" s="254">
        <f t="array" ref="G81">SUM(('Отчет по покупателям УТ'!$G$6:$G$5000='DATA 2'!G$8)*('Отчет по покупателям УТ'!$M$6:$M$5000='DATA 2'!$A81)*('Отчет по покупателям УТ'!$K$6:$K$5000))</f>
        <v>0</v>
      </c>
      <c r="H81" s="254">
        <f t="array" ref="H81">SUM(('Отчет по покупателям УТ'!$G$6:$G$5000='DATA 2'!H$8)*('Отчет по покупателям УТ'!$M$6:$M$5000='DATA 2'!$A81)*('Отчет по покупателям УТ'!$K$6:$K$5000))</f>
        <v>0</v>
      </c>
      <c r="I81" s="254">
        <f t="array" ref="I81">SUM(('Отчет по покупателям УТ'!$G$6:$G$5000='DATA 2'!I$8)*('Отчет по покупателям УТ'!$M$6:$M$5000='DATA 2'!$A81)*('Отчет по покупателям УТ'!$K$6:$K$5000))</f>
        <v>0</v>
      </c>
      <c r="J81" s="254">
        <f t="array" ref="J81">SUM(('Отчет по покупателям УТ'!$G$6:$G$5000='DATA 2'!J$8)*('Отчет по покупателям УТ'!$M$6:$M$5000='DATA 2'!$A81)*('Отчет по покупателям УТ'!$K$6:$K$5000))</f>
        <v>0</v>
      </c>
      <c r="K81" s="254">
        <f t="array" ref="K81">SUM(('Отчет по покупателям УТ'!$G$6:$G$5000='DATA 2'!K$8)*('Отчет по покупателям УТ'!$M$6:$M$5000='DATA 2'!$A81)*('Отчет по покупателям УТ'!$K$6:$K$5000))</f>
        <v>0</v>
      </c>
      <c r="L81" s="254">
        <f t="array" ref="L81">SUM(('Отчет по покупателям УТ'!$G$6:$G$5000='DATA 2'!L$8)*('Отчет по покупателям УТ'!$M$6:$M$5000='DATA 2'!$A81)*('Отчет по покупателям УТ'!$K$6:$K$5000))</f>
        <v>0</v>
      </c>
      <c r="M81" s="254">
        <f t="array" ref="M81">SUM(('Отчет по покупателям УТ'!$G$6:$G$5000='DATA 2'!M$8)*('Отчет по покупателям УТ'!$M$6:$M$5000='DATA 2'!$A81)*('Отчет по покупателям УТ'!$K$6:$K$5000))</f>
        <v>0</v>
      </c>
      <c r="N81" s="254">
        <f t="array" ref="N81">SUM(('Отчет по покупателям УТ'!$G$6:$G$5000='DATA 2'!N$8)*('Отчет по покупателям УТ'!$M$6:$M$5000='DATA 2'!$A81)*('Отчет по покупателям УТ'!$K$6:$K$5000))</f>
        <v>-721170</v>
      </c>
      <c r="O81" s="247">
        <f t="shared" si="29"/>
        <v>-721170</v>
      </c>
      <c r="T81" s="9" t="b">
        <f t="shared" si="30"/>
        <v>1</v>
      </c>
      <c r="U81" s="228">
        <f t="shared" si="31"/>
        <v>0</v>
      </c>
      <c r="V81" s="228">
        <f t="shared" si="32"/>
        <v>-721170</v>
      </c>
      <c r="W81" s="228">
        <f t="shared" si="33"/>
        <v>0</v>
      </c>
      <c r="X81" s="228">
        <f t="shared" si="34"/>
        <v>-721170</v>
      </c>
      <c r="Y81" s="228">
        <f t="shared" si="35"/>
        <v>0</v>
      </c>
      <c r="Z81" s="228">
        <f t="shared" si="36"/>
        <v>-721170</v>
      </c>
      <c r="AA81" s="228">
        <f t="shared" si="37"/>
        <v>0</v>
      </c>
      <c r="AB81" s="228">
        <f t="shared" si="38"/>
        <v>-721170</v>
      </c>
      <c r="AC81" s="228">
        <f t="shared" si="39"/>
        <v>0</v>
      </c>
      <c r="AD81" s="228">
        <f t="shared" si="40"/>
        <v>-721170</v>
      </c>
      <c r="AE81" s="228">
        <f t="shared" si="41"/>
        <v>0</v>
      </c>
      <c r="AF81" s="228">
        <f t="shared" si="42"/>
        <v>-721170</v>
      </c>
      <c r="AG81" s="228">
        <f t="shared" si="43"/>
        <v>0</v>
      </c>
      <c r="AH81" s="228">
        <f t="shared" si="44"/>
        <v>-721170</v>
      </c>
      <c r="AI81" s="247">
        <f t="shared" si="45"/>
        <v>-721170</v>
      </c>
      <c r="AJ81" s="248">
        <f t="shared" si="46"/>
        <v>0</v>
      </c>
    </row>
    <row r="82" spans="1:36" x14ac:dyDescent="0.2">
      <c r="A82" s="47" t="s">
        <v>734</v>
      </c>
      <c r="C82" s="230">
        <v>-278680.69</v>
      </c>
      <c r="G82" s="254">
        <f t="array" ref="G82">SUM(('Отчет по покупателям УТ'!$G$6:$G$5000='DATA 2'!G$8)*('Отчет по покупателям УТ'!$M$6:$M$5000='DATA 2'!$A82)*('Отчет по покупателям УТ'!$K$6:$K$5000))</f>
        <v>0</v>
      </c>
      <c r="H82" s="254">
        <f t="array" ref="H82">SUM(('Отчет по покупателям УТ'!$G$6:$G$5000='DATA 2'!H$8)*('Отчет по покупателям УТ'!$M$6:$M$5000='DATA 2'!$A82)*('Отчет по покупателям УТ'!$K$6:$K$5000))</f>
        <v>0</v>
      </c>
      <c r="I82" s="254">
        <f t="array" ref="I82">SUM(('Отчет по покупателям УТ'!$G$6:$G$5000='DATA 2'!I$8)*('Отчет по покупателям УТ'!$M$6:$M$5000='DATA 2'!$A82)*('Отчет по покупателям УТ'!$K$6:$K$5000))</f>
        <v>0</v>
      </c>
      <c r="J82" s="254">
        <f t="array" ref="J82">SUM(('Отчет по покупателям УТ'!$G$6:$G$5000='DATA 2'!J$8)*('Отчет по покупателям УТ'!$M$6:$M$5000='DATA 2'!$A82)*('Отчет по покупателям УТ'!$K$6:$K$5000))</f>
        <v>0</v>
      </c>
      <c r="K82" s="254">
        <f t="array" ref="K82">SUM(('Отчет по покупателям УТ'!$G$6:$G$5000='DATA 2'!K$8)*('Отчет по покупателям УТ'!$M$6:$M$5000='DATA 2'!$A82)*('Отчет по покупателям УТ'!$K$6:$K$5000))</f>
        <v>0</v>
      </c>
      <c r="L82" s="254">
        <f t="array" ref="L82">SUM(('Отчет по покупателям УТ'!$G$6:$G$5000='DATA 2'!L$8)*('Отчет по покупателям УТ'!$M$6:$M$5000='DATA 2'!$A82)*('Отчет по покупателям УТ'!$K$6:$K$5000))</f>
        <v>0</v>
      </c>
      <c r="M82" s="254">
        <f t="array" ref="M82">SUM(('Отчет по покупателям УТ'!$G$6:$G$5000='DATA 2'!M$8)*('Отчет по покупателям УТ'!$M$6:$M$5000='DATA 2'!$A82)*('Отчет по покупателям УТ'!$K$6:$K$5000))</f>
        <v>0</v>
      </c>
      <c r="N82" s="254">
        <f t="array" ref="N82">SUM(('Отчет по покупателям УТ'!$G$6:$G$5000='DATA 2'!N$8)*('Отчет по покупателям УТ'!$M$6:$M$5000='DATA 2'!$A82)*('Отчет по покупателям УТ'!$K$6:$K$5000))</f>
        <v>-278680.69</v>
      </c>
      <c r="O82" s="247">
        <f t="shared" si="29"/>
        <v>-278680.69</v>
      </c>
      <c r="T82" s="9" t="b">
        <f t="shared" si="30"/>
        <v>1</v>
      </c>
      <c r="U82" s="228">
        <f t="shared" si="31"/>
        <v>0</v>
      </c>
      <c r="V82" s="228">
        <f t="shared" si="32"/>
        <v>-278680.69</v>
      </c>
      <c r="W82" s="228">
        <f t="shared" si="33"/>
        <v>0</v>
      </c>
      <c r="X82" s="228">
        <f t="shared" si="34"/>
        <v>-278680.69</v>
      </c>
      <c r="Y82" s="228">
        <f t="shared" si="35"/>
        <v>0</v>
      </c>
      <c r="Z82" s="228">
        <f t="shared" si="36"/>
        <v>-278680.69</v>
      </c>
      <c r="AA82" s="228">
        <f t="shared" si="37"/>
        <v>0</v>
      </c>
      <c r="AB82" s="228">
        <f t="shared" si="38"/>
        <v>-278680.69</v>
      </c>
      <c r="AC82" s="228">
        <f t="shared" si="39"/>
        <v>0</v>
      </c>
      <c r="AD82" s="228">
        <f t="shared" si="40"/>
        <v>-278680.69</v>
      </c>
      <c r="AE82" s="228">
        <f t="shared" si="41"/>
        <v>0</v>
      </c>
      <c r="AF82" s="228">
        <f t="shared" si="42"/>
        <v>-278680.69</v>
      </c>
      <c r="AG82" s="228">
        <f t="shared" si="43"/>
        <v>0</v>
      </c>
      <c r="AH82" s="228">
        <f t="shared" si="44"/>
        <v>-278680.69</v>
      </c>
      <c r="AI82" s="247">
        <f t="shared" si="45"/>
        <v>-278680.69</v>
      </c>
      <c r="AJ82" s="248">
        <f t="shared" si="46"/>
        <v>0</v>
      </c>
    </row>
    <row r="83" spans="1:36" x14ac:dyDescent="0.2">
      <c r="A83" t="s">
        <v>1040</v>
      </c>
      <c r="C83" s="230"/>
      <c r="G83" s="254">
        <f t="array" ref="G83">SUM(('Отчет по покупателям УТ'!$G$6:$G$5000='DATA 2'!G$8)*('Отчет по покупателям УТ'!$M$6:$M$5000='DATA 2'!$A83)*('Отчет по покупателям УТ'!$K$6:$K$5000))</f>
        <v>0</v>
      </c>
      <c r="H83" s="254">
        <f t="array" ref="H83">SUM(('Отчет по покупателям УТ'!$G$6:$G$5000='DATA 2'!H$8)*('Отчет по покупателям УТ'!$M$6:$M$5000='DATA 2'!$A83)*('Отчет по покупателям УТ'!$K$6:$K$5000))</f>
        <v>0</v>
      </c>
      <c r="I83" s="254">
        <f t="array" ref="I83">SUM(('Отчет по покупателям УТ'!$G$6:$G$5000='DATA 2'!I$8)*('Отчет по покупателям УТ'!$M$6:$M$5000='DATA 2'!$A83)*('Отчет по покупателям УТ'!$K$6:$K$5000))</f>
        <v>0</v>
      </c>
      <c r="J83" s="254">
        <f t="array" ref="J83">SUM(('Отчет по покупателям УТ'!$G$6:$G$5000='DATA 2'!J$8)*('Отчет по покупателям УТ'!$M$6:$M$5000='DATA 2'!$A83)*('Отчет по покупателям УТ'!$K$6:$K$5000))</f>
        <v>0</v>
      </c>
      <c r="K83" s="254">
        <f t="array" ref="K83">SUM(('Отчет по покупателям УТ'!$G$6:$G$5000='DATA 2'!K$8)*('Отчет по покупателям УТ'!$M$6:$M$5000='DATA 2'!$A83)*('Отчет по покупателям УТ'!$K$6:$K$5000))</f>
        <v>0</v>
      </c>
      <c r="L83" s="254">
        <f t="array" ref="L83">SUM(('Отчет по покупателям УТ'!$G$6:$G$5000='DATA 2'!L$8)*('Отчет по покупателям УТ'!$M$6:$M$5000='DATA 2'!$A83)*('Отчет по покупателям УТ'!$K$6:$K$5000))</f>
        <v>0</v>
      </c>
      <c r="M83" s="254">
        <f t="array" ref="M83">SUM(('Отчет по покупателям УТ'!$G$6:$G$5000='DATA 2'!M$8)*('Отчет по покупателям УТ'!$M$6:$M$5000='DATA 2'!$A83)*('Отчет по покупателям УТ'!$K$6:$K$5000))</f>
        <v>0</v>
      </c>
      <c r="N83" s="254">
        <f t="array" ref="N83">SUM(('Отчет по покупателям УТ'!$G$6:$G$5000='DATA 2'!N$8)*('Отчет по покупателям УТ'!$M$6:$M$5000='DATA 2'!$A83)*('Отчет по покупателям УТ'!$K$6:$K$5000))</f>
        <v>0</v>
      </c>
      <c r="O83" s="247">
        <f t="shared" si="29"/>
        <v>0</v>
      </c>
      <c r="T83" s="9" t="b">
        <f t="shared" si="30"/>
        <v>1</v>
      </c>
      <c r="U83" s="228">
        <f t="shared" si="31"/>
        <v>0</v>
      </c>
      <c r="V83" s="228">
        <f t="shared" si="32"/>
        <v>0</v>
      </c>
      <c r="W83" s="228">
        <f t="shared" si="33"/>
        <v>0</v>
      </c>
      <c r="X83" s="228">
        <f t="shared" si="34"/>
        <v>0</v>
      </c>
      <c r="Y83" s="228">
        <f t="shared" si="35"/>
        <v>0</v>
      </c>
      <c r="Z83" s="228">
        <f t="shared" si="36"/>
        <v>0</v>
      </c>
      <c r="AA83" s="228">
        <f t="shared" si="37"/>
        <v>0</v>
      </c>
      <c r="AB83" s="228">
        <f t="shared" si="38"/>
        <v>0</v>
      </c>
      <c r="AC83" s="228">
        <f t="shared" si="39"/>
        <v>0</v>
      </c>
      <c r="AD83" s="228">
        <f t="shared" si="40"/>
        <v>0</v>
      </c>
      <c r="AE83" s="228">
        <f t="shared" si="41"/>
        <v>0</v>
      </c>
      <c r="AF83" s="228">
        <f t="shared" si="42"/>
        <v>0</v>
      </c>
      <c r="AG83" s="228">
        <f t="shared" si="43"/>
        <v>0</v>
      </c>
      <c r="AH83" s="228">
        <f t="shared" si="44"/>
        <v>0</v>
      </c>
      <c r="AI83" s="247">
        <f t="shared" si="45"/>
        <v>0</v>
      </c>
      <c r="AJ83" s="248">
        <f t="shared" si="46"/>
        <v>0</v>
      </c>
    </row>
    <row r="84" spans="1:36" x14ac:dyDescent="0.2">
      <c r="A84" t="s">
        <v>874</v>
      </c>
      <c r="C84" s="230">
        <v>-139331</v>
      </c>
      <c r="G84" s="254">
        <f t="array" ref="G84">SUM(('Отчет по покупателям УТ'!$G$6:$G$5000='DATA 2'!G$8)*('Отчет по покупателям УТ'!$M$6:$M$5000='DATA 2'!$A84)*('Отчет по покупателям УТ'!$K$6:$K$5000))</f>
        <v>0</v>
      </c>
      <c r="H84" s="254">
        <f t="array" ref="H84">SUM(('Отчет по покупателям УТ'!$G$6:$G$5000='DATA 2'!H$8)*('Отчет по покупателям УТ'!$M$6:$M$5000='DATA 2'!$A84)*('Отчет по покупателям УТ'!$K$6:$K$5000))</f>
        <v>0</v>
      </c>
      <c r="I84" s="254">
        <f t="array" ref="I84">SUM(('Отчет по покупателям УТ'!$G$6:$G$5000='DATA 2'!I$8)*('Отчет по покупателям УТ'!$M$6:$M$5000='DATA 2'!$A84)*('Отчет по покупателям УТ'!$K$6:$K$5000))</f>
        <v>0</v>
      </c>
      <c r="J84" s="254">
        <f t="array" ref="J84">SUM(('Отчет по покупателям УТ'!$G$6:$G$5000='DATA 2'!J$8)*('Отчет по покупателям УТ'!$M$6:$M$5000='DATA 2'!$A84)*('Отчет по покупателям УТ'!$K$6:$K$5000))</f>
        <v>0</v>
      </c>
      <c r="K84" s="254">
        <f t="array" ref="K84">SUM(('Отчет по покупателям УТ'!$G$6:$G$5000='DATA 2'!K$8)*('Отчет по покупателям УТ'!$M$6:$M$5000='DATA 2'!$A84)*('Отчет по покупателям УТ'!$K$6:$K$5000))</f>
        <v>0</v>
      </c>
      <c r="L84" s="254">
        <f t="array" ref="L84">SUM(('Отчет по покупателям УТ'!$G$6:$G$5000='DATA 2'!L$8)*('Отчет по покупателям УТ'!$M$6:$M$5000='DATA 2'!$A84)*('Отчет по покупателям УТ'!$K$6:$K$5000))</f>
        <v>0</v>
      </c>
      <c r="M84" s="254">
        <f t="array" ref="M84">SUM(('Отчет по покупателям УТ'!$G$6:$G$5000='DATA 2'!M$8)*('Отчет по покупателям УТ'!$M$6:$M$5000='DATA 2'!$A84)*('Отчет по покупателям УТ'!$K$6:$K$5000))</f>
        <v>0</v>
      </c>
      <c r="N84" s="254">
        <f t="array" ref="N84">SUM(('Отчет по покупателям УТ'!$G$6:$G$5000='DATA 2'!N$8)*('Отчет по покупателям УТ'!$M$6:$M$5000='DATA 2'!$A84)*('Отчет по покупателям УТ'!$K$6:$K$5000))</f>
        <v>-139331</v>
      </c>
      <c r="O84" s="247">
        <f t="shared" si="29"/>
        <v>-139331</v>
      </c>
      <c r="T84" s="9" t="b">
        <f t="shared" si="30"/>
        <v>1</v>
      </c>
      <c r="U84" s="228">
        <f t="shared" si="31"/>
        <v>0</v>
      </c>
      <c r="V84" s="228">
        <f t="shared" si="32"/>
        <v>-139331</v>
      </c>
      <c r="W84" s="228">
        <f t="shared" si="33"/>
        <v>0</v>
      </c>
      <c r="X84" s="228">
        <f t="shared" si="34"/>
        <v>-139331</v>
      </c>
      <c r="Y84" s="228">
        <f t="shared" si="35"/>
        <v>0</v>
      </c>
      <c r="Z84" s="228">
        <f t="shared" si="36"/>
        <v>-139331</v>
      </c>
      <c r="AA84" s="228">
        <f t="shared" si="37"/>
        <v>0</v>
      </c>
      <c r="AB84" s="228">
        <f t="shared" si="38"/>
        <v>-139331</v>
      </c>
      <c r="AC84" s="228">
        <f t="shared" si="39"/>
        <v>0</v>
      </c>
      <c r="AD84" s="228">
        <f t="shared" si="40"/>
        <v>-139331</v>
      </c>
      <c r="AE84" s="228">
        <f t="shared" si="41"/>
        <v>0</v>
      </c>
      <c r="AF84" s="228">
        <f t="shared" si="42"/>
        <v>-139331</v>
      </c>
      <c r="AG84" s="228">
        <f t="shared" si="43"/>
        <v>0</v>
      </c>
      <c r="AH84" s="228">
        <f t="shared" si="44"/>
        <v>-139331</v>
      </c>
      <c r="AI84" s="247">
        <f t="shared" si="45"/>
        <v>-139331</v>
      </c>
      <c r="AJ84" s="248">
        <f t="shared" si="46"/>
        <v>0</v>
      </c>
    </row>
    <row r="85" spans="1:36" x14ac:dyDescent="0.2">
      <c r="A85" t="s">
        <v>769</v>
      </c>
      <c r="C85" s="230">
        <v>-301128.5</v>
      </c>
      <c r="G85" s="254">
        <f t="array" ref="G85">SUM(('Отчет по покупателям УТ'!$G$6:$G$5000='DATA 2'!G$8)*('Отчет по покупателям УТ'!$M$6:$M$5000='DATA 2'!$A85)*('Отчет по покупателям УТ'!$K$6:$K$5000))</f>
        <v>0</v>
      </c>
      <c r="H85" s="254">
        <f t="array" ref="H85">SUM(('Отчет по покупателям УТ'!$G$6:$G$5000='DATA 2'!H$8)*('Отчет по покупателям УТ'!$M$6:$M$5000='DATA 2'!$A85)*('Отчет по покупателям УТ'!$K$6:$K$5000))</f>
        <v>0</v>
      </c>
      <c r="I85" s="254">
        <f t="array" ref="I85">SUM(('Отчет по покупателям УТ'!$G$6:$G$5000='DATA 2'!I$8)*('Отчет по покупателям УТ'!$M$6:$M$5000='DATA 2'!$A85)*('Отчет по покупателям УТ'!$K$6:$K$5000))</f>
        <v>0</v>
      </c>
      <c r="J85" s="254">
        <f t="array" ref="J85">SUM(('Отчет по покупателям УТ'!$G$6:$G$5000='DATA 2'!J$8)*('Отчет по покупателям УТ'!$M$6:$M$5000='DATA 2'!$A85)*('Отчет по покупателям УТ'!$K$6:$K$5000))</f>
        <v>0</v>
      </c>
      <c r="K85" s="254">
        <f t="array" ref="K85">SUM(('Отчет по покупателям УТ'!$G$6:$G$5000='DATA 2'!K$8)*('Отчет по покупателям УТ'!$M$6:$M$5000='DATA 2'!$A85)*('Отчет по покупателям УТ'!$K$6:$K$5000))</f>
        <v>0</v>
      </c>
      <c r="L85" s="254">
        <f t="array" ref="L85">SUM(('Отчет по покупателям УТ'!$G$6:$G$5000='DATA 2'!L$8)*('Отчет по покупателям УТ'!$M$6:$M$5000='DATA 2'!$A85)*('Отчет по покупателям УТ'!$K$6:$K$5000))</f>
        <v>0</v>
      </c>
      <c r="M85" s="254">
        <f t="array" ref="M85">SUM(('Отчет по покупателям УТ'!$G$6:$G$5000='DATA 2'!M$8)*('Отчет по покупателям УТ'!$M$6:$M$5000='DATA 2'!$A85)*('Отчет по покупателям УТ'!$K$6:$K$5000))</f>
        <v>0</v>
      </c>
      <c r="N85" s="254">
        <f t="array" ref="N85">SUM(('Отчет по покупателям УТ'!$G$6:$G$5000='DATA 2'!N$8)*('Отчет по покупателям УТ'!$M$6:$M$5000='DATA 2'!$A85)*('Отчет по покупателям УТ'!$K$6:$K$5000))</f>
        <v>-301128.5</v>
      </c>
      <c r="O85" s="247">
        <f t="shared" si="29"/>
        <v>-301128.5</v>
      </c>
      <c r="T85" s="9" t="b">
        <f t="shared" si="30"/>
        <v>1</v>
      </c>
      <c r="U85" s="228">
        <f t="shared" si="31"/>
        <v>0</v>
      </c>
      <c r="V85" s="228">
        <f t="shared" si="32"/>
        <v>-301128.5</v>
      </c>
      <c r="W85" s="228">
        <f t="shared" si="33"/>
        <v>0</v>
      </c>
      <c r="X85" s="228">
        <f t="shared" si="34"/>
        <v>-301128.5</v>
      </c>
      <c r="Y85" s="228">
        <f t="shared" si="35"/>
        <v>0</v>
      </c>
      <c r="Z85" s="228">
        <f t="shared" si="36"/>
        <v>-301128.5</v>
      </c>
      <c r="AA85" s="228">
        <f t="shared" si="37"/>
        <v>0</v>
      </c>
      <c r="AB85" s="228">
        <f t="shared" si="38"/>
        <v>-301128.5</v>
      </c>
      <c r="AC85" s="228">
        <f t="shared" si="39"/>
        <v>0</v>
      </c>
      <c r="AD85" s="228">
        <f t="shared" si="40"/>
        <v>-301128.5</v>
      </c>
      <c r="AE85" s="228">
        <f t="shared" si="41"/>
        <v>0</v>
      </c>
      <c r="AF85" s="228">
        <f t="shared" si="42"/>
        <v>-301128.5</v>
      </c>
      <c r="AG85" s="228">
        <f t="shared" si="43"/>
        <v>0</v>
      </c>
      <c r="AH85" s="228">
        <f t="shared" si="44"/>
        <v>-301128.5</v>
      </c>
      <c r="AI85" s="247">
        <f t="shared" si="45"/>
        <v>-301128.5</v>
      </c>
      <c r="AJ85" s="248">
        <f t="shared" si="46"/>
        <v>0</v>
      </c>
    </row>
    <row r="86" spans="1:36" x14ac:dyDescent="0.2">
      <c r="A86" t="s">
        <v>1198</v>
      </c>
      <c r="C86" s="230">
        <v>-220629.55</v>
      </c>
      <c r="G86" s="254">
        <f t="array" ref="G86">SUM(('Отчет по покупателям УТ'!$G$6:$G$5000='DATA 2'!G$8)*('Отчет по покупателям УТ'!$M$6:$M$5000='DATA 2'!$A86)*('Отчет по покупателям УТ'!$K$6:$K$5000))</f>
        <v>0</v>
      </c>
      <c r="H86" s="254">
        <f t="array" ref="H86">SUM(('Отчет по покупателям УТ'!$G$6:$G$5000='DATA 2'!H$8)*('Отчет по покупателям УТ'!$M$6:$M$5000='DATA 2'!$A86)*('Отчет по покупателям УТ'!$K$6:$K$5000))</f>
        <v>0</v>
      </c>
      <c r="I86" s="254">
        <f t="array" ref="I86">SUM(('Отчет по покупателям УТ'!$G$6:$G$5000='DATA 2'!I$8)*('Отчет по покупателям УТ'!$M$6:$M$5000='DATA 2'!$A86)*('Отчет по покупателям УТ'!$K$6:$K$5000))</f>
        <v>0</v>
      </c>
      <c r="J86" s="254">
        <f t="array" ref="J86">SUM(('Отчет по покупателям УТ'!$G$6:$G$5000='DATA 2'!J$8)*('Отчет по покупателям УТ'!$M$6:$M$5000='DATA 2'!$A86)*('Отчет по покупателям УТ'!$K$6:$K$5000))</f>
        <v>0</v>
      </c>
      <c r="K86" s="254">
        <f t="array" ref="K86">SUM(('Отчет по покупателям УТ'!$G$6:$G$5000='DATA 2'!K$8)*('Отчет по покупателям УТ'!$M$6:$M$5000='DATA 2'!$A86)*('Отчет по покупателям УТ'!$K$6:$K$5000))</f>
        <v>0</v>
      </c>
      <c r="L86" s="254">
        <f t="array" ref="L86">SUM(('Отчет по покупателям УТ'!$G$6:$G$5000='DATA 2'!L$8)*('Отчет по покупателям УТ'!$M$6:$M$5000='DATA 2'!$A86)*('Отчет по покупателям УТ'!$K$6:$K$5000))</f>
        <v>0</v>
      </c>
      <c r="M86" s="254">
        <f t="array" ref="M86">SUM(('Отчет по покупателям УТ'!$G$6:$G$5000='DATA 2'!M$8)*('Отчет по покупателям УТ'!$M$6:$M$5000='DATA 2'!$A86)*('Отчет по покупателям УТ'!$K$6:$K$5000))</f>
        <v>0</v>
      </c>
      <c r="N86" s="254">
        <f t="array" ref="N86">SUM(('Отчет по покупателям УТ'!$G$6:$G$5000='DATA 2'!N$8)*('Отчет по покупателям УТ'!$M$6:$M$5000='DATA 2'!$A86)*('Отчет по покупателям УТ'!$K$6:$K$5000))</f>
        <v>-220629.55</v>
      </c>
      <c r="O86" s="247">
        <f t="shared" si="29"/>
        <v>-220629.55</v>
      </c>
      <c r="T86" s="9" t="b">
        <f t="shared" si="30"/>
        <v>1</v>
      </c>
      <c r="U86" s="228">
        <f t="shared" si="31"/>
        <v>0</v>
      </c>
      <c r="V86" s="228">
        <f t="shared" si="32"/>
        <v>-220629.55</v>
      </c>
      <c r="W86" s="228">
        <f t="shared" si="33"/>
        <v>0</v>
      </c>
      <c r="X86" s="228">
        <f t="shared" si="34"/>
        <v>-220629.55</v>
      </c>
      <c r="Y86" s="228">
        <f t="shared" si="35"/>
        <v>0</v>
      </c>
      <c r="Z86" s="228">
        <f t="shared" si="36"/>
        <v>-220629.55</v>
      </c>
      <c r="AA86" s="228">
        <f t="shared" si="37"/>
        <v>0</v>
      </c>
      <c r="AB86" s="228">
        <f t="shared" si="38"/>
        <v>-220629.55</v>
      </c>
      <c r="AC86" s="228">
        <f t="shared" si="39"/>
        <v>0</v>
      </c>
      <c r="AD86" s="228">
        <f t="shared" si="40"/>
        <v>-220629.55</v>
      </c>
      <c r="AE86" s="228">
        <f t="shared" si="41"/>
        <v>0</v>
      </c>
      <c r="AF86" s="228">
        <f t="shared" si="42"/>
        <v>-220629.55</v>
      </c>
      <c r="AG86" s="228">
        <f t="shared" si="43"/>
        <v>0</v>
      </c>
      <c r="AH86" s="228">
        <f t="shared" si="44"/>
        <v>-220629.55</v>
      </c>
      <c r="AI86" s="247">
        <f t="shared" si="45"/>
        <v>-220629.55</v>
      </c>
      <c r="AJ86" s="248">
        <f t="shared" si="46"/>
        <v>0</v>
      </c>
    </row>
    <row r="87" spans="1:36" x14ac:dyDescent="0.2">
      <c r="A87" t="s">
        <v>1136</v>
      </c>
      <c r="C87" s="230">
        <v>-1861824.5699999998</v>
      </c>
      <c r="G87" s="254">
        <f t="array" ref="G87">SUM(('Отчет по покупателям УТ'!$G$6:$G$5000='DATA 2'!G$8)*('Отчет по покупателям УТ'!$M$6:$M$5000='DATA 2'!$A87)*('Отчет по покупателям УТ'!$K$6:$K$5000))</f>
        <v>0</v>
      </c>
      <c r="H87" s="254">
        <f t="array" ref="H87">SUM(('Отчет по покупателям УТ'!$G$6:$G$5000='DATA 2'!H$8)*('Отчет по покупателям УТ'!$M$6:$M$5000='DATA 2'!$A87)*('Отчет по покупателям УТ'!$K$6:$K$5000))</f>
        <v>0</v>
      </c>
      <c r="I87" s="254">
        <f t="array" ref="I87">SUM(('Отчет по покупателям УТ'!$G$6:$G$5000='DATA 2'!I$8)*('Отчет по покупателям УТ'!$M$6:$M$5000='DATA 2'!$A87)*('Отчет по покупателям УТ'!$K$6:$K$5000))</f>
        <v>0</v>
      </c>
      <c r="J87" s="254">
        <f t="array" ref="J87">SUM(('Отчет по покупателям УТ'!$G$6:$G$5000='DATA 2'!J$8)*('Отчет по покупателям УТ'!$M$6:$M$5000='DATA 2'!$A87)*('Отчет по покупателям УТ'!$K$6:$K$5000))</f>
        <v>0</v>
      </c>
      <c r="K87" s="254">
        <f t="array" ref="K87">SUM(('Отчет по покупателям УТ'!$G$6:$G$5000='DATA 2'!K$8)*('Отчет по покупателям УТ'!$M$6:$M$5000='DATA 2'!$A87)*('Отчет по покупателям УТ'!$K$6:$K$5000))</f>
        <v>0</v>
      </c>
      <c r="L87" s="254">
        <f t="array" ref="L87">SUM(('Отчет по покупателям УТ'!$G$6:$G$5000='DATA 2'!L$8)*('Отчет по покупателям УТ'!$M$6:$M$5000='DATA 2'!$A87)*('Отчет по покупателям УТ'!$K$6:$K$5000))</f>
        <v>0</v>
      </c>
      <c r="M87" s="254">
        <f t="array" ref="M87">SUM(('Отчет по покупателям УТ'!$G$6:$G$5000='DATA 2'!M$8)*('Отчет по покупателям УТ'!$M$6:$M$5000='DATA 2'!$A87)*('Отчет по покупателям УТ'!$K$6:$K$5000))</f>
        <v>0</v>
      </c>
      <c r="N87" s="254">
        <f t="array" ref="N87">SUM(('Отчет по покупателям УТ'!$G$6:$G$5000='DATA 2'!N$8)*('Отчет по покупателям УТ'!$M$6:$M$5000='DATA 2'!$A87)*('Отчет по покупателям УТ'!$K$6:$K$5000))</f>
        <v>-1861824.5699999998</v>
      </c>
      <c r="O87" s="247">
        <f t="shared" si="29"/>
        <v>-1861824.5699999998</v>
      </c>
      <c r="T87" s="9" t="b">
        <f t="shared" si="30"/>
        <v>1</v>
      </c>
      <c r="U87" s="228">
        <f t="shared" si="31"/>
        <v>0</v>
      </c>
      <c r="V87" s="228">
        <f t="shared" si="32"/>
        <v>-1861824.5699999998</v>
      </c>
      <c r="W87" s="228">
        <f t="shared" si="33"/>
        <v>0</v>
      </c>
      <c r="X87" s="228">
        <f t="shared" si="34"/>
        <v>-1861824.5699999998</v>
      </c>
      <c r="Y87" s="228">
        <f t="shared" si="35"/>
        <v>0</v>
      </c>
      <c r="Z87" s="228">
        <f t="shared" si="36"/>
        <v>-1861824.5699999998</v>
      </c>
      <c r="AA87" s="228">
        <f t="shared" si="37"/>
        <v>0</v>
      </c>
      <c r="AB87" s="228">
        <f t="shared" si="38"/>
        <v>-1861824.5699999998</v>
      </c>
      <c r="AC87" s="228">
        <f t="shared" si="39"/>
        <v>0</v>
      </c>
      <c r="AD87" s="228">
        <f t="shared" si="40"/>
        <v>-1861824.5699999998</v>
      </c>
      <c r="AE87" s="228">
        <f t="shared" si="41"/>
        <v>0</v>
      </c>
      <c r="AF87" s="228">
        <f t="shared" si="42"/>
        <v>-1861824.5699999998</v>
      </c>
      <c r="AG87" s="228">
        <f t="shared" si="43"/>
        <v>0</v>
      </c>
      <c r="AH87" s="228">
        <f t="shared" si="44"/>
        <v>-1861824.5699999998</v>
      </c>
      <c r="AI87" s="247">
        <f t="shared" si="45"/>
        <v>-1861824.5699999998</v>
      </c>
      <c r="AJ87" s="248">
        <f t="shared" si="46"/>
        <v>0</v>
      </c>
    </row>
    <row r="88" spans="1:36" x14ac:dyDescent="0.2">
      <c r="A88" t="s">
        <v>1390</v>
      </c>
      <c r="C88" s="230">
        <v>-66196.14</v>
      </c>
      <c r="G88" s="254">
        <f t="array" ref="G88">SUM(('Отчет по покупателям УТ'!$G$6:$G$5000='DATA 2'!G$8)*('Отчет по покупателям УТ'!$M$6:$M$5000='DATA 2'!$A88)*('Отчет по покупателям УТ'!$K$6:$K$5000))</f>
        <v>0</v>
      </c>
      <c r="H88" s="254">
        <f t="array" ref="H88">SUM(('Отчет по покупателям УТ'!$G$6:$G$5000='DATA 2'!H$8)*('Отчет по покупателям УТ'!$M$6:$M$5000='DATA 2'!$A88)*('Отчет по покупателям УТ'!$K$6:$K$5000))</f>
        <v>0</v>
      </c>
      <c r="I88" s="254">
        <f t="array" ref="I88">SUM(('Отчет по покупателям УТ'!$G$6:$G$5000='DATA 2'!I$8)*('Отчет по покупателям УТ'!$M$6:$M$5000='DATA 2'!$A88)*('Отчет по покупателям УТ'!$K$6:$K$5000))</f>
        <v>0</v>
      </c>
      <c r="J88" s="254">
        <f t="array" ref="J88">SUM(('Отчет по покупателям УТ'!$G$6:$G$5000='DATA 2'!J$8)*('Отчет по покупателям УТ'!$M$6:$M$5000='DATA 2'!$A88)*('Отчет по покупателям УТ'!$K$6:$K$5000))</f>
        <v>0</v>
      </c>
      <c r="K88" s="254">
        <f t="array" ref="K88">SUM(('Отчет по покупателям УТ'!$G$6:$G$5000='DATA 2'!K$8)*('Отчет по покупателям УТ'!$M$6:$M$5000='DATA 2'!$A88)*('Отчет по покупателям УТ'!$K$6:$K$5000))</f>
        <v>0</v>
      </c>
      <c r="L88" s="254">
        <f t="array" ref="L88">SUM(('Отчет по покупателям УТ'!$G$6:$G$5000='DATA 2'!L$8)*('Отчет по покупателям УТ'!$M$6:$M$5000='DATA 2'!$A88)*('Отчет по покупателям УТ'!$K$6:$K$5000))</f>
        <v>0</v>
      </c>
      <c r="M88" s="254">
        <f t="array" ref="M88">SUM(('Отчет по покупателям УТ'!$G$6:$G$5000='DATA 2'!M$8)*('Отчет по покупателям УТ'!$M$6:$M$5000='DATA 2'!$A88)*('Отчет по покупателям УТ'!$K$6:$K$5000))</f>
        <v>0</v>
      </c>
      <c r="N88" s="254">
        <f t="array" ref="N88">SUM(('Отчет по покупателям УТ'!$G$6:$G$5000='DATA 2'!N$8)*('Отчет по покупателям УТ'!$M$6:$M$5000='DATA 2'!$A88)*('Отчет по покупателям УТ'!$K$6:$K$5000))</f>
        <v>-66196.14</v>
      </c>
      <c r="O88" s="247">
        <f t="shared" si="29"/>
        <v>-66196.14</v>
      </c>
      <c r="T88" s="9" t="b">
        <f t="shared" si="30"/>
        <v>1</v>
      </c>
      <c r="U88" s="228">
        <f t="shared" si="31"/>
        <v>0</v>
      </c>
      <c r="V88" s="228">
        <f t="shared" si="32"/>
        <v>-66196.14</v>
      </c>
      <c r="W88" s="228">
        <f t="shared" si="33"/>
        <v>0</v>
      </c>
      <c r="X88" s="228">
        <f t="shared" si="34"/>
        <v>-66196.14</v>
      </c>
      <c r="Y88" s="228">
        <f t="shared" si="35"/>
        <v>0</v>
      </c>
      <c r="Z88" s="228">
        <f t="shared" si="36"/>
        <v>-66196.14</v>
      </c>
      <c r="AA88" s="228">
        <f t="shared" si="37"/>
        <v>0</v>
      </c>
      <c r="AB88" s="228">
        <f t="shared" si="38"/>
        <v>-66196.14</v>
      </c>
      <c r="AC88" s="228">
        <f t="shared" si="39"/>
        <v>0</v>
      </c>
      <c r="AD88" s="228">
        <f t="shared" si="40"/>
        <v>-66196.14</v>
      </c>
      <c r="AE88" s="228">
        <f t="shared" si="41"/>
        <v>0</v>
      </c>
      <c r="AF88" s="228">
        <f t="shared" si="42"/>
        <v>-66196.14</v>
      </c>
      <c r="AG88" s="228">
        <f t="shared" si="43"/>
        <v>0</v>
      </c>
      <c r="AH88" s="228">
        <f t="shared" si="44"/>
        <v>-66196.14</v>
      </c>
      <c r="AI88" s="247">
        <f t="shared" si="45"/>
        <v>-66196.14</v>
      </c>
      <c r="AJ88" s="248">
        <f t="shared" si="46"/>
        <v>0</v>
      </c>
    </row>
    <row r="89" spans="1:36" x14ac:dyDescent="0.2">
      <c r="A89" t="s">
        <v>1485</v>
      </c>
      <c r="C89" s="230">
        <v>-85906.98</v>
      </c>
      <c r="G89" s="254">
        <f t="array" ref="G89">SUM(('Отчет по покупателям УТ'!$G$6:$G$5000='DATA 2'!G$8)*('Отчет по покупателям УТ'!$M$6:$M$5000='DATA 2'!$A89)*('Отчет по покупателям УТ'!$K$6:$K$5000))</f>
        <v>0</v>
      </c>
      <c r="H89" s="254">
        <f t="array" ref="H89">SUM(('Отчет по покупателям УТ'!$G$6:$G$5000='DATA 2'!H$8)*('Отчет по покупателям УТ'!$M$6:$M$5000='DATA 2'!$A89)*('Отчет по покупателям УТ'!$K$6:$K$5000))</f>
        <v>0</v>
      </c>
      <c r="I89" s="254">
        <f t="array" ref="I89">SUM(('Отчет по покупателям УТ'!$G$6:$G$5000='DATA 2'!I$8)*('Отчет по покупателям УТ'!$M$6:$M$5000='DATA 2'!$A89)*('Отчет по покупателям УТ'!$K$6:$K$5000))</f>
        <v>0</v>
      </c>
      <c r="J89" s="254">
        <f t="array" ref="J89">SUM(('Отчет по покупателям УТ'!$G$6:$G$5000='DATA 2'!J$8)*('Отчет по покупателям УТ'!$M$6:$M$5000='DATA 2'!$A89)*('Отчет по покупателям УТ'!$K$6:$K$5000))</f>
        <v>0</v>
      </c>
      <c r="K89" s="254">
        <f t="array" ref="K89">SUM(('Отчет по покупателям УТ'!$G$6:$G$5000='DATA 2'!K$8)*('Отчет по покупателям УТ'!$M$6:$M$5000='DATA 2'!$A89)*('Отчет по покупателям УТ'!$K$6:$K$5000))</f>
        <v>0</v>
      </c>
      <c r="L89" s="254">
        <f t="array" ref="L89">SUM(('Отчет по покупателям УТ'!$G$6:$G$5000='DATA 2'!L$8)*('Отчет по покупателям УТ'!$M$6:$M$5000='DATA 2'!$A89)*('Отчет по покупателям УТ'!$K$6:$K$5000))</f>
        <v>0</v>
      </c>
      <c r="M89" s="254">
        <f t="array" ref="M89">SUM(('Отчет по покупателям УТ'!$G$6:$G$5000='DATA 2'!M$8)*('Отчет по покупателям УТ'!$M$6:$M$5000='DATA 2'!$A89)*('Отчет по покупателям УТ'!$K$6:$K$5000))</f>
        <v>0</v>
      </c>
      <c r="N89" s="254">
        <f t="array" ref="N89">SUM(('Отчет по покупателям УТ'!$G$6:$G$5000='DATA 2'!N$8)*('Отчет по покупателям УТ'!$M$6:$M$5000='DATA 2'!$A89)*('Отчет по покупателям УТ'!$K$6:$K$5000))</f>
        <v>-85906.98</v>
      </c>
      <c r="O89" s="247">
        <f t="shared" si="29"/>
        <v>-85906.98</v>
      </c>
      <c r="T89" s="9" t="b">
        <f t="shared" si="30"/>
        <v>1</v>
      </c>
      <c r="U89" s="228">
        <f t="shared" si="31"/>
        <v>0</v>
      </c>
      <c r="V89" s="228">
        <f t="shared" si="32"/>
        <v>-85906.98</v>
      </c>
      <c r="W89" s="228">
        <f t="shared" si="33"/>
        <v>0</v>
      </c>
      <c r="X89" s="228">
        <f t="shared" si="34"/>
        <v>-85906.98</v>
      </c>
      <c r="Y89" s="228">
        <f t="shared" si="35"/>
        <v>0</v>
      </c>
      <c r="Z89" s="228">
        <f t="shared" si="36"/>
        <v>-85906.98</v>
      </c>
      <c r="AA89" s="228">
        <f t="shared" si="37"/>
        <v>0</v>
      </c>
      <c r="AB89" s="228">
        <f t="shared" si="38"/>
        <v>-85906.98</v>
      </c>
      <c r="AC89" s="228">
        <f t="shared" si="39"/>
        <v>0</v>
      </c>
      <c r="AD89" s="228">
        <f t="shared" si="40"/>
        <v>-85906.98</v>
      </c>
      <c r="AE89" s="228">
        <f t="shared" si="41"/>
        <v>0</v>
      </c>
      <c r="AF89" s="228">
        <f t="shared" si="42"/>
        <v>-85906.98</v>
      </c>
      <c r="AG89" s="228">
        <f t="shared" si="43"/>
        <v>0</v>
      </c>
      <c r="AH89" s="228">
        <f t="shared" si="44"/>
        <v>-85906.98</v>
      </c>
      <c r="AI89" s="247">
        <f t="shared" si="45"/>
        <v>-85906.98</v>
      </c>
      <c r="AJ89" s="248">
        <f t="shared" si="46"/>
        <v>0</v>
      </c>
    </row>
    <row r="90" spans="1:36" x14ac:dyDescent="0.2">
      <c r="A90" t="s">
        <v>1394</v>
      </c>
      <c r="C90" s="230">
        <v>-117513.43</v>
      </c>
      <c r="G90" s="254">
        <f t="array" ref="G90">SUM(('Отчет по покупателям УТ'!$G$6:$G$5000='DATA 2'!G$8)*('Отчет по покупателям УТ'!$M$6:$M$5000='DATA 2'!$A90)*('Отчет по покупателям УТ'!$K$6:$K$5000))</f>
        <v>0</v>
      </c>
      <c r="H90" s="254">
        <f t="array" ref="H90">SUM(('Отчет по покупателям УТ'!$G$6:$G$5000='DATA 2'!H$8)*('Отчет по покупателям УТ'!$M$6:$M$5000='DATA 2'!$A90)*('Отчет по покупателям УТ'!$K$6:$K$5000))</f>
        <v>0</v>
      </c>
      <c r="I90" s="254">
        <f t="array" ref="I90">SUM(('Отчет по покупателям УТ'!$G$6:$G$5000='DATA 2'!I$8)*('Отчет по покупателям УТ'!$M$6:$M$5000='DATA 2'!$A90)*('Отчет по покупателям УТ'!$K$6:$K$5000))</f>
        <v>0</v>
      </c>
      <c r="J90" s="254">
        <f t="array" ref="J90">SUM(('Отчет по покупателям УТ'!$G$6:$G$5000='DATA 2'!J$8)*('Отчет по покупателям УТ'!$M$6:$M$5000='DATA 2'!$A90)*('Отчет по покупателям УТ'!$K$6:$K$5000))</f>
        <v>0</v>
      </c>
      <c r="K90" s="254">
        <f t="array" ref="K90">SUM(('Отчет по покупателям УТ'!$G$6:$G$5000='DATA 2'!K$8)*('Отчет по покупателям УТ'!$M$6:$M$5000='DATA 2'!$A90)*('Отчет по покупателям УТ'!$K$6:$K$5000))</f>
        <v>0</v>
      </c>
      <c r="L90" s="254">
        <f t="array" ref="L90">SUM(('Отчет по покупателям УТ'!$G$6:$G$5000='DATA 2'!L$8)*('Отчет по покупателям УТ'!$M$6:$M$5000='DATA 2'!$A90)*('Отчет по покупателям УТ'!$K$6:$K$5000))</f>
        <v>0</v>
      </c>
      <c r="M90" s="254">
        <f t="array" ref="M90">SUM(('Отчет по покупателям УТ'!$G$6:$G$5000='DATA 2'!M$8)*('Отчет по покупателям УТ'!$M$6:$M$5000='DATA 2'!$A90)*('Отчет по покупателям УТ'!$K$6:$K$5000))</f>
        <v>0</v>
      </c>
      <c r="N90" s="254">
        <f t="array" ref="N90">SUM(('Отчет по покупателям УТ'!$G$6:$G$5000='DATA 2'!N$8)*('Отчет по покупателям УТ'!$M$6:$M$5000='DATA 2'!$A90)*('Отчет по покупателям УТ'!$K$6:$K$5000))</f>
        <v>-117513.43</v>
      </c>
      <c r="O90" s="247">
        <f t="shared" si="29"/>
        <v>-117513.43</v>
      </c>
      <c r="T90" s="9" t="b">
        <f t="shared" si="30"/>
        <v>1</v>
      </c>
      <c r="U90" s="228">
        <f t="shared" si="31"/>
        <v>0</v>
      </c>
      <c r="V90" s="228">
        <f t="shared" si="32"/>
        <v>-117513.43</v>
      </c>
      <c r="W90" s="228">
        <f t="shared" si="33"/>
        <v>0</v>
      </c>
      <c r="X90" s="228">
        <f t="shared" si="34"/>
        <v>-117513.43</v>
      </c>
      <c r="Y90" s="228">
        <f t="shared" si="35"/>
        <v>0</v>
      </c>
      <c r="Z90" s="228">
        <f t="shared" si="36"/>
        <v>-117513.43</v>
      </c>
      <c r="AA90" s="228">
        <f t="shared" si="37"/>
        <v>0</v>
      </c>
      <c r="AB90" s="228">
        <f t="shared" si="38"/>
        <v>-117513.43</v>
      </c>
      <c r="AC90" s="228">
        <f t="shared" si="39"/>
        <v>0</v>
      </c>
      <c r="AD90" s="228">
        <f t="shared" si="40"/>
        <v>-117513.43</v>
      </c>
      <c r="AE90" s="228">
        <f t="shared" si="41"/>
        <v>0</v>
      </c>
      <c r="AF90" s="228">
        <f t="shared" si="42"/>
        <v>-117513.43</v>
      </c>
      <c r="AG90" s="228">
        <f t="shared" si="43"/>
        <v>0</v>
      </c>
      <c r="AH90" s="228">
        <f t="shared" si="44"/>
        <v>-117513.43</v>
      </c>
      <c r="AI90" s="247">
        <f t="shared" si="45"/>
        <v>-117513.43</v>
      </c>
      <c r="AJ90" s="248">
        <f t="shared" si="46"/>
        <v>0</v>
      </c>
    </row>
    <row r="91" spans="1:36" x14ac:dyDescent="0.2">
      <c r="A91" t="s">
        <v>1428</v>
      </c>
      <c r="C91" s="230">
        <v>-172960.58</v>
      </c>
      <c r="G91" s="254">
        <f t="array" ref="G91">SUM(('Отчет по покупателям УТ'!$G$6:$G$5000='DATA 2'!G$8)*('Отчет по покупателям УТ'!$M$6:$M$5000='DATA 2'!$A91)*('Отчет по покупателям УТ'!$K$6:$K$5000))</f>
        <v>0</v>
      </c>
      <c r="H91" s="254">
        <f t="array" ref="H91">SUM(('Отчет по покупателям УТ'!$G$6:$G$5000='DATA 2'!H$8)*('Отчет по покупателям УТ'!$M$6:$M$5000='DATA 2'!$A91)*('Отчет по покупателям УТ'!$K$6:$K$5000))</f>
        <v>0</v>
      </c>
      <c r="I91" s="254">
        <f t="array" ref="I91">SUM(('Отчет по покупателям УТ'!$G$6:$G$5000='DATA 2'!I$8)*('Отчет по покупателям УТ'!$M$6:$M$5000='DATA 2'!$A91)*('Отчет по покупателям УТ'!$K$6:$K$5000))</f>
        <v>0</v>
      </c>
      <c r="J91" s="254">
        <f t="array" ref="J91">SUM(('Отчет по покупателям УТ'!$G$6:$G$5000='DATA 2'!J$8)*('Отчет по покупателям УТ'!$M$6:$M$5000='DATA 2'!$A91)*('Отчет по покупателям УТ'!$K$6:$K$5000))</f>
        <v>0</v>
      </c>
      <c r="K91" s="254">
        <f t="array" ref="K91">SUM(('Отчет по покупателям УТ'!$G$6:$G$5000='DATA 2'!K$8)*('Отчет по покупателям УТ'!$M$6:$M$5000='DATA 2'!$A91)*('Отчет по покупателям УТ'!$K$6:$K$5000))</f>
        <v>0</v>
      </c>
      <c r="L91" s="254">
        <f t="array" ref="L91">SUM(('Отчет по покупателям УТ'!$G$6:$G$5000='DATA 2'!L$8)*('Отчет по покупателям УТ'!$M$6:$M$5000='DATA 2'!$A91)*('Отчет по покупателям УТ'!$K$6:$K$5000))</f>
        <v>0</v>
      </c>
      <c r="M91" s="254">
        <f t="array" ref="M91">SUM(('Отчет по покупателям УТ'!$G$6:$G$5000='DATA 2'!M$8)*('Отчет по покупателям УТ'!$M$6:$M$5000='DATA 2'!$A91)*('Отчет по покупателям УТ'!$K$6:$K$5000))</f>
        <v>0</v>
      </c>
      <c r="N91" s="254">
        <f t="array" ref="N91">SUM(('Отчет по покупателям УТ'!$G$6:$G$5000='DATA 2'!N$8)*('Отчет по покупателям УТ'!$M$6:$M$5000='DATA 2'!$A91)*('Отчет по покупателям УТ'!$K$6:$K$5000))</f>
        <v>-172960.58</v>
      </c>
      <c r="O91" s="247">
        <f t="shared" si="29"/>
        <v>-172960.58</v>
      </c>
      <c r="T91" s="9" t="b">
        <f t="shared" si="30"/>
        <v>1</v>
      </c>
      <c r="U91" s="228">
        <f t="shared" si="31"/>
        <v>0</v>
      </c>
      <c r="V91" s="228">
        <f t="shared" si="32"/>
        <v>-172960.58</v>
      </c>
      <c r="W91" s="228">
        <f t="shared" si="33"/>
        <v>0</v>
      </c>
      <c r="X91" s="228">
        <f t="shared" si="34"/>
        <v>-172960.58</v>
      </c>
      <c r="Y91" s="228">
        <f t="shared" si="35"/>
        <v>0</v>
      </c>
      <c r="Z91" s="228">
        <f t="shared" si="36"/>
        <v>-172960.58</v>
      </c>
      <c r="AA91" s="228">
        <f t="shared" si="37"/>
        <v>0</v>
      </c>
      <c r="AB91" s="228">
        <f t="shared" si="38"/>
        <v>-172960.58</v>
      </c>
      <c r="AC91" s="228">
        <f t="shared" si="39"/>
        <v>0</v>
      </c>
      <c r="AD91" s="228">
        <f t="shared" si="40"/>
        <v>-172960.58</v>
      </c>
      <c r="AE91" s="228">
        <f t="shared" si="41"/>
        <v>0</v>
      </c>
      <c r="AF91" s="228">
        <f t="shared" si="42"/>
        <v>-172960.58</v>
      </c>
      <c r="AG91" s="228">
        <f t="shared" si="43"/>
        <v>0</v>
      </c>
      <c r="AH91" s="228">
        <f t="shared" si="44"/>
        <v>-172960.58</v>
      </c>
      <c r="AI91" s="247">
        <f t="shared" si="45"/>
        <v>-172960.58</v>
      </c>
      <c r="AJ91" s="248">
        <f t="shared" si="46"/>
        <v>0</v>
      </c>
    </row>
    <row r="92" spans="1:36" x14ac:dyDescent="0.2">
      <c r="A92" t="s">
        <v>1469</v>
      </c>
      <c r="C92" s="230">
        <v>-281249.2</v>
      </c>
      <c r="G92" s="254">
        <f t="array" ref="G92">SUM(('Отчет по покупателям УТ'!$G$6:$G$5000='DATA 2'!G$8)*('Отчет по покупателям УТ'!$M$6:$M$5000='DATA 2'!$A92)*('Отчет по покупателям УТ'!$K$6:$K$5000))</f>
        <v>0</v>
      </c>
      <c r="H92" s="254">
        <f t="array" ref="H92">SUM(('Отчет по покупателям УТ'!$G$6:$G$5000='DATA 2'!H$8)*('Отчет по покупателям УТ'!$M$6:$M$5000='DATA 2'!$A92)*('Отчет по покупателям УТ'!$K$6:$K$5000))</f>
        <v>0</v>
      </c>
      <c r="I92" s="254">
        <f t="array" ref="I92">SUM(('Отчет по покупателям УТ'!$G$6:$G$5000='DATA 2'!I$8)*('Отчет по покупателям УТ'!$M$6:$M$5000='DATA 2'!$A92)*('Отчет по покупателям УТ'!$K$6:$K$5000))</f>
        <v>0</v>
      </c>
      <c r="J92" s="254">
        <f t="array" ref="J92">SUM(('Отчет по покупателям УТ'!$G$6:$G$5000='DATA 2'!J$8)*('Отчет по покупателям УТ'!$M$6:$M$5000='DATA 2'!$A92)*('Отчет по покупателям УТ'!$K$6:$K$5000))</f>
        <v>0</v>
      </c>
      <c r="K92" s="254">
        <f t="array" ref="K92">SUM(('Отчет по покупателям УТ'!$G$6:$G$5000='DATA 2'!K$8)*('Отчет по покупателям УТ'!$M$6:$M$5000='DATA 2'!$A92)*('Отчет по покупателям УТ'!$K$6:$K$5000))</f>
        <v>0.8</v>
      </c>
      <c r="L92" s="254">
        <f t="array" ref="L92">SUM(('Отчет по покупателям УТ'!$G$6:$G$5000='DATA 2'!L$8)*('Отчет по покупателям УТ'!$M$6:$M$5000='DATA 2'!$A92)*('Отчет по покупателям УТ'!$K$6:$K$5000))</f>
        <v>0</v>
      </c>
      <c r="M92" s="254">
        <f t="array" ref="M92">SUM(('Отчет по покупателям УТ'!$G$6:$G$5000='DATA 2'!M$8)*('Отчет по покупателям УТ'!$M$6:$M$5000='DATA 2'!$A92)*('Отчет по покупателям УТ'!$K$6:$K$5000))</f>
        <v>0</v>
      </c>
      <c r="N92" s="254">
        <f t="array" ref="N92">SUM(('Отчет по покупателям УТ'!$G$6:$G$5000='DATA 2'!N$8)*('Отчет по покупателям УТ'!$M$6:$M$5000='DATA 2'!$A92)*('Отчет по покупателям УТ'!$K$6:$K$5000))</f>
        <v>-281250</v>
      </c>
      <c r="O92" s="247">
        <f t="shared" si="29"/>
        <v>-281249.2</v>
      </c>
      <c r="T92" s="9" t="b">
        <f t="shared" si="30"/>
        <v>1</v>
      </c>
      <c r="U92" s="228">
        <f t="shared" si="31"/>
        <v>0</v>
      </c>
      <c r="V92" s="228">
        <f t="shared" si="32"/>
        <v>-281249.2</v>
      </c>
      <c r="W92" s="228">
        <f t="shared" si="33"/>
        <v>0</v>
      </c>
      <c r="X92" s="228">
        <f t="shared" si="34"/>
        <v>-281249.2</v>
      </c>
      <c r="Y92" s="228">
        <f t="shared" si="35"/>
        <v>0</v>
      </c>
      <c r="Z92" s="228">
        <f t="shared" si="36"/>
        <v>-281249.2</v>
      </c>
      <c r="AA92" s="228">
        <f t="shared" si="37"/>
        <v>0</v>
      </c>
      <c r="AB92" s="228">
        <f t="shared" si="38"/>
        <v>-281249.2</v>
      </c>
      <c r="AC92" s="228">
        <f t="shared" si="39"/>
        <v>0</v>
      </c>
      <c r="AD92" s="228">
        <f t="shared" si="40"/>
        <v>-281250</v>
      </c>
      <c r="AE92" s="228">
        <f t="shared" si="41"/>
        <v>0</v>
      </c>
      <c r="AF92" s="228">
        <f t="shared" si="42"/>
        <v>-281250</v>
      </c>
      <c r="AG92" s="228">
        <f t="shared" si="43"/>
        <v>0</v>
      </c>
      <c r="AH92" s="228">
        <f t="shared" si="44"/>
        <v>-281249.2</v>
      </c>
      <c r="AI92" s="247">
        <f t="shared" si="45"/>
        <v>-281249.2</v>
      </c>
      <c r="AJ92" s="248">
        <f t="shared" si="46"/>
        <v>0</v>
      </c>
    </row>
    <row r="93" spans="1:36" x14ac:dyDescent="0.2">
      <c r="A93" t="s">
        <v>1486</v>
      </c>
      <c r="C93" s="230">
        <v>-95860</v>
      </c>
      <c r="G93" s="254">
        <f t="array" ref="G93">SUM(('Отчет по покупателям УТ'!$G$6:$G$5000='DATA 2'!G$8)*('Отчет по покупателям УТ'!$M$6:$M$5000='DATA 2'!$A93)*('Отчет по покупателям УТ'!$K$6:$K$5000))</f>
        <v>0</v>
      </c>
      <c r="H93" s="254">
        <f t="array" ref="H93">SUM(('Отчет по покупателям УТ'!$G$6:$G$5000='DATA 2'!H$8)*('Отчет по покупателям УТ'!$M$6:$M$5000='DATA 2'!$A93)*('Отчет по покупателям УТ'!$K$6:$K$5000))</f>
        <v>0</v>
      </c>
      <c r="I93" s="254">
        <f t="array" ref="I93">SUM(('Отчет по покупателям УТ'!$G$6:$G$5000='DATA 2'!I$8)*('Отчет по покупателям УТ'!$M$6:$M$5000='DATA 2'!$A93)*('Отчет по покупателям УТ'!$K$6:$K$5000))</f>
        <v>0</v>
      </c>
      <c r="J93" s="254">
        <f t="array" ref="J93">SUM(('Отчет по покупателям УТ'!$G$6:$G$5000='DATA 2'!J$8)*('Отчет по покупателям УТ'!$M$6:$M$5000='DATA 2'!$A93)*('Отчет по покупателям УТ'!$K$6:$K$5000))</f>
        <v>0</v>
      </c>
      <c r="K93" s="254">
        <f t="array" ref="K93">SUM(('Отчет по покупателям УТ'!$G$6:$G$5000='DATA 2'!K$8)*('Отчет по покупателям УТ'!$M$6:$M$5000='DATA 2'!$A93)*('Отчет по покупателям УТ'!$K$6:$K$5000))</f>
        <v>0</v>
      </c>
      <c r="L93" s="254">
        <f t="array" ref="L93">SUM(('Отчет по покупателям УТ'!$G$6:$G$5000='DATA 2'!L$8)*('Отчет по покупателям УТ'!$M$6:$M$5000='DATA 2'!$A93)*('Отчет по покупателям УТ'!$K$6:$K$5000))</f>
        <v>0</v>
      </c>
      <c r="M93" s="254">
        <f t="array" ref="M93">SUM(('Отчет по покупателям УТ'!$G$6:$G$5000='DATA 2'!M$8)*('Отчет по покупателям УТ'!$M$6:$M$5000='DATA 2'!$A93)*('Отчет по покупателям УТ'!$K$6:$K$5000))</f>
        <v>0</v>
      </c>
      <c r="N93" s="254">
        <f t="array" ref="N93">SUM(('Отчет по покупателям УТ'!$G$6:$G$5000='DATA 2'!N$8)*('Отчет по покупателям УТ'!$M$6:$M$5000='DATA 2'!$A93)*('Отчет по покупателям УТ'!$K$6:$K$5000))</f>
        <v>-95860</v>
      </c>
      <c r="O93" s="247">
        <f t="shared" si="29"/>
        <v>-95860</v>
      </c>
      <c r="T93" s="9" t="b">
        <f t="shared" si="30"/>
        <v>1</v>
      </c>
      <c r="U93" s="228">
        <f t="shared" si="31"/>
        <v>0</v>
      </c>
      <c r="V93" s="228">
        <f t="shared" si="32"/>
        <v>-95860</v>
      </c>
      <c r="W93" s="228">
        <f t="shared" si="33"/>
        <v>0</v>
      </c>
      <c r="X93" s="228">
        <f t="shared" si="34"/>
        <v>-95860</v>
      </c>
      <c r="Y93" s="228">
        <f t="shared" si="35"/>
        <v>0</v>
      </c>
      <c r="Z93" s="228">
        <f t="shared" si="36"/>
        <v>-95860</v>
      </c>
      <c r="AA93" s="228">
        <f t="shared" si="37"/>
        <v>0</v>
      </c>
      <c r="AB93" s="228">
        <f t="shared" si="38"/>
        <v>-95860</v>
      </c>
      <c r="AC93" s="228">
        <f t="shared" si="39"/>
        <v>0</v>
      </c>
      <c r="AD93" s="228">
        <f t="shared" si="40"/>
        <v>-95860</v>
      </c>
      <c r="AE93" s="228">
        <f t="shared" si="41"/>
        <v>0</v>
      </c>
      <c r="AF93" s="228">
        <f t="shared" si="42"/>
        <v>-95860</v>
      </c>
      <c r="AG93" s="228">
        <f t="shared" si="43"/>
        <v>0</v>
      </c>
      <c r="AH93" s="228">
        <f t="shared" si="44"/>
        <v>-95860</v>
      </c>
      <c r="AI93" s="247">
        <f t="shared" si="45"/>
        <v>-95860</v>
      </c>
      <c r="AJ93" s="248">
        <f t="shared" si="46"/>
        <v>0</v>
      </c>
    </row>
    <row r="94" spans="1:36" x14ac:dyDescent="0.2">
      <c r="A94" t="s">
        <v>1596</v>
      </c>
      <c r="C94" s="230">
        <v>-869.5</v>
      </c>
      <c r="G94" s="254">
        <f t="array" ref="G94">SUM(('Отчет по покупателям УТ'!$G$6:$G$5000='DATA 2'!G$8)*('Отчет по покупателям УТ'!$M$6:$M$5000='DATA 2'!$A94)*('Отчет по покупателям УТ'!$K$6:$K$5000))</f>
        <v>0</v>
      </c>
      <c r="H94" s="254">
        <f t="array" ref="H94">SUM(('Отчет по покупателям УТ'!$G$6:$G$5000='DATA 2'!H$8)*('Отчет по покупателям УТ'!$M$6:$M$5000='DATA 2'!$A94)*('Отчет по покупателям УТ'!$K$6:$K$5000))</f>
        <v>0</v>
      </c>
      <c r="I94" s="254">
        <f t="array" ref="I94">SUM(('Отчет по покупателям УТ'!$G$6:$G$5000='DATA 2'!I$8)*('Отчет по покупателям УТ'!$M$6:$M$5000='DATA 2'!$A94)*('Отчет по покупателям УТ'!$K$6:$K$5000))</f>
        <v>0</v>
      </c>
      <c r="J94" s="254">
        <f t="array" ref="J94">SUM(('Отчет по покупателям УТ'!$G$6:$G$5000='DATA 2'!J$8)*('Отчет по покупателям УТ'!$M$6:$M$5000='DATA 2'!$A94)*('Отчет по покупателям УТ'!$K$6:$K$5000))</f>
        <v>0</v>
      </c>
      <c r="K94" s="254">
        <f t="array" ref="K94">SUM(('Отчет по покупателям УТ'!$G$6:$G$5000='DATA 2'!K$8)*('Отчет по покупателям УТ'!$M$6:$M$5000='DATA 2'!$A94)*('Отчет по покупателям УТ'!$K$6:$K$5000))</f>
        <v>0</v>
      </c>
      <c r="L94" s="254">
        <f t="array" ref="L94">SUM(('Отчет по покупателям УТ'!$G$6:$G$5000='DATA 2'!L$8)*('Отчет по покупателям УТ'!$M$6:$M$5000='DATA 2'!$A94)*('Отчет по покупателям УТ'!$K$6:$K$5000))</f>
        <v>0</v>
      </c>
      <c r="M94" s="254">
        <f t="array" ref="M94">SUM(('Отчет по покупателям УТ'!$G$6:$G$5000='DATA 2'!M$8)*('Отчет по покупателям УТ'!$M$6:$M$5000='DATA 2'!$A94)*('Отчет по покупателям УТ'!$K$6:$K$5000))</f>
        <v>0</v>
      </c>
      <c r="N94" s="254">
        <f t="array" ref="N94">SUM(('Отчет по покупателям УТ'!$G$6:$G$5000='DATA 2'!N$8)*('Отчет по покупателям УТ'!$M$6:$M$5000='DATA 2'!$A94)*('Отчет по покупателям УТ'!$K$6:$K$5000))</f>
        <v>-869.5</v>
      </c>
      <c r="O94" s="247">
        <f t="shared" si="29"/>
        <v>-869.5</v>
      </c>
      <c r="T94" s="9" t="b">
        <f t="shared" si="30"/>
        <v>1</v>
      </c>
      <c r="U94" s="228">
        <f t="shared" si="31"/>
        <v>0</v>
      </c>
      <c r="V94" s="228">
        <f t="shared" si="32"/>
        <v>-869.5</v>
      </c>
      <c r="W94" s="228">
        <f t="shared" si="33"/>
        <v>0</v>
      </c>
      <c r="X94" s="228">
        <f t="shared" si="34"/>
        <v>-869.5</v>
      </c>
      <c r="Y94" s="228">
        <f t="shared" si="35"/>
        <v>0</v>
      </c>
      <c r="Z94" s="228">
        <f t="shared" si="36"/>
        <v>-869.5</v>
      </c>
      <c r="AA94" s="228">
        <f t="shared" si="37"/>
        <v>0</v>
      </c>
      <c r="AB94" s="228">
        <f t="shared" si="38"/>
        <v>-869.5</v>
      </c>
      <c r="AC94" s="228">
        <f t="shared" si="39"/>
        <v>0</v>
      </c>
      <c r="AD94" s="228">
        <f t="shared" si="40"/>
        <v>-869.5</v>
      </c>
      <c r="AE94" s="228">
        <f t="shared" si="41"/>
        <v>0</v>
      </c>
      <c r="AF94" s="228">
        <f t="shared" si="42"/>
        <v>-869.5</v>
      </c>
      <c r="AG94" s="228">
        <f t="shared" si="43"/>
        <v>0</v>
      </c>
      <c r="AH94" s="228">
        <f t="shared" si="44"/>
        <v>-869.5</v>
      </c>
      <c r="AI94" s="247">
        <f t="shared" si="45"/>
        <v>-869.5</v>
      </c>
      <c r="AJ94" s="248">
        <f t="shared" si="46"/>
        <v>0</v>
      </c>
    </row>
    <row r="95" spans="1:36" x14ac:dyDescent="0.2">
      <c r="A95" t="s">
        <v>1632</v>
      </c>
      <c r="C95" s="230">
        <v>-151396.46</v>
      </c>
      <c r="G95" s="254">
        <f t="array" ref="G95">SUM(('Отчет по покупателям УТ'!$G$6:$G$5000='DATA 2'!G$8)*('Отчет по покупателям УТ'!$M$6:$M$5000='DATA 2'!$A95)*('Отчет по покупателям УТ'!$K$6:$K$5000))</f>
        <v>0</v>
      </c>
      <c r="H95" s="254">
        <f t="array" ref="H95">SUM(('Отчет по покупателям УТ'!$G$6:$G$5000='DATA 2'!H$8)*('Отчет по покупателям УТ'!$M$6:$M$5000='DATA 2'!$A95)*('Отчет по покупателям УТ'!$K$6:$K$5000))</f>
        <v>0</v>
      </c>
      <c r="I95" s="254">
        <f t="array" ref="I95">SUM(('Отчет по покупателям УТ'!$G$6:$G$5000='DATA 2'!I$8)*('Отчет по покупателям УТ'!$M$6:$M$5000='DATA 2'!$A95)*('Отчет по покупателям УТ'!$K$6:$K$5000))</f>
        <v>0</v>
      </c>
      <c r="J95" s="254">
        <f t="array" ref="J95">SUM(('Отчет по покупателям УТ'!$G$6:$G$5000='DATA 2'!J$8)*('Отчет по покупателям УТ'!$M$6:$M$5000='DATA 2'!$A95)*('Отчет по покупателям УТ'!$K$6:$K$5000))</f>
        <v>0</v>
      </c>
      <c r="K95" s="254">
        <f t="array" ref="K95">SUM(('Отчет по покупателям УТ'!$G$6:$G$5000='DATA 2'!K$8)*('Отчет по покупателям УТ'!$M$6:$M$5000='DATA 2'!$A95)*('Отчет по покупателям УТ'!$K$6:$K$5000))</f>
        <v>0</v>
      </c>
      <c r="L95" s="254">
        <f t="array" ref="L95">SUM(('Отчет по покупателям УТ'!$G$6:$G$5000='DATA 2'!L$8)*('Отчет по покупателям УТ'!$M$6:$M$5000='DATA 2'!$A95)*('Отчет по покупателям УТ'!$K$6:$K$5000))</f>
        <v>0</v>
      </c>
      <c r="M95" s="254">
        <f t="array" ref="M95">SUM(('Отчет по покупателям УТ'!$G$6:$G$5000='DATA 2'!M$8)*('Отчет по покупателям УТ'!$M$6:$M$5000='DATA 2'!$A95)*('Отчет по покупателям УТ'!$K$6:$K$5000))</f>
        <v>0</v>
      </c>
      <c r="N95" s="254">
        <f t="array" ref="N95">SUM(('Отчет по покупателям УТ'!$G$6:$G$5000='DATA 2'!N$8)*('Отчет по покупателям УТ'!$M$6:$M$5000='DATA 2'!$A95)*('Отчет по покупателям УТ'!$K$6:$K$5000))</f>
        <v>-151396.46</v>
      </c>
      <c r="O95" s="247">
        <f t="shared" si="29"/>
        <v>-151396.46</v>
      </c>
      <c r="T95" s="9" t="b">
        <f t="shared" si="30"/>
        <v>1</v>
      </c>
      <c r="U95" s="228">
        <f t="shared" si="31"/>
        <v>0</v>
      </c>
      <c r="V95" s="228">
        <f t="shared" si="32"/>
        <v>-151396.46</v>
      </c>
      <c r="W95" s="228">
        <f t="shared" si="33"/>
        <v>0</v>
      </c>
      <c r="X95" s="228">
        <f t="shared" si="34"/>
        <v>-151396.46</v>
      </c>
      <c r="Y95" s="228">
        <f t="shared" si="35"/>
        <v>0</v>
      </c>
      <c r="Z95" s="228">
        <f t="shared" si="36"/>
        <v>-151396.46</v>
      </c>
      <c r="AA95" s="228">
        <f t="shared" si="37"/>
        <v>0</v>
      </c>
      <c r="AB95" s="228">
        <f t="shared" si="38"/>
        <v>-151396.46</v>
      </c>
      <c r="AC95" s="228">
        <f t="shared" si="39"/>
        <v>0</v>
      </c>
      <c r="AD95" s="228">
        <f t="shared" si="40"/>
        <v>-151396.46</v>
      </c>
      <c r="AE95" s="228">
        <f t="shared" si="41"/>
        <v>0</v>
      </c>
      <c r="AF95" s="228">
        <f t="shared" si="42"/>
        <v>-151396.46</v>
      </c>
      <c r="AG95" s="228">
        <f t="shared" si="43"/>
        <v>0</v>
      </c>
      <c r="AH95" s="228">
        <f t="shared" si="44"/>
        <v>-151396.46</v>
      </c>
      <c r="AI95" s="247">
        <f t="shared" si="45"/>
        <v>-151396.46</v>
      </c>
      <c r="AJ95" s="248">
        <f t="shared" si="46"/>
        <v>0</v>
      </c>
    </row>
    <row r="96" spans="1:36" x14ac:dyDescent="0.2">
      <c r="A96" t="s">
        <v>1640</v>
      </c>
      <c r="C96" s="230">
        <v>-36451</v>
      </c>
      <c r="G96" s="254">
        <f t="array" ref="G96">SUM(('Отчет по покупателям УТ'!$G$6:$G$5000='DATA 2'!G$8)*('Отчет по покупателям УТ'!$M$6:$M$5000='DATA 2'!$A96)*('Отчет по покупателям УТ'!$K$6:$K$5000))</f>
        <v>0</v>
      </c>
      <c r="H96" s="254">
        <f t="array" ref="H96">SUM(('Отчет по покупателям УТ'!$G$6:$G$5000='DATA 2'!H$8)*('Отчет по покупателям УТ'!$M$6:$M$5000='DATA 2'!$A96)*('Отчет по покупателям УТ'!$K$6:$K$5000))</f>
        <v>0</v>
      </c>
      <c r="I96" s="254">
        <f t="array" ref="I96">SUM(('Отчет по покупателям УТ'!$G$6:$G$5000='DATA 2'!I$8)*('Отчет по покупателям УТ'!$M$6:$M$5000='DATA 2'!$A96)*('Отчет по покупателям УТ'!$K$6:$K$5000))</f>
        <v>0</v>
      </c>
      <c r="J96" s="254">
        <f t="array" ref="J96">SUM(('Отчет по покупателям УТ'!$G$6:$G$5000='DATA 2'!J$8)*('Отчет по покупателям УТ'!$M$6:$M$5000='DATA 2'!$A96)*('Отчет по покупателям УТ'!$K$6:$K$5000))</f>
        <v>0</v>
      </c>
      <c r="K96" s="254">
        <f t="array" ref="K96">SUM(('Отчет по покупателям УТ'!$G$6:$G$5000='DATA 2'!K$8)*('Отчет по покупателям УТ'!$M$6:$M$5000='DATA 2'!$A96)*('Отчет по покупателям УТ'!$K$6:$K$5000))</f>
        <v>0</v>
      </c>
      <c r="L96" s="254">
        <f t="array" ref="L96">SUM(('Отчет по покупателям УТ'!$G$6:$G$5000='DATA 2'!L$8)*('Отчет по покупателям УТ'!$M$6:$M$5000='DATA 2'!$A96)*('Отчет по покупателям УТ'!$K$6:$K$5000))</f>
        <v>0</v>
      </c>
      <c r="M96" s="254">
        <f t="array" ref="M96">SUM(('Отчет по покупателям УТ'!$G$6:$G$5000='DATA 2'!M$8)*('Отчет по покупателям УТ'!$M$6:$M$5000='DATA 2'!$A96)*('Отчет по покупателям УТ'!$K$6:$K$5000))</f>
        <v>0</v>
      </c>
      <c r="N96" s="254">
        <f t="array" ref="N96">SUM(('Отчет по покупателям УТ'!$G$6:$G$5000='DATA 2'!N$8)*('Отчет по покупателям УТ'!$M$6:$M$5000='DATA 2'!$A96)*('Отчет по покупателям УТ'!$K$6:$K$5000))</f>
        <v>-36451</v>
      </c>
      <c r="O96" s="247">
        <f t="shared" ref="O96:O101" si="47">SUM(G96:N96)</f>
        <v>-36451</v>
      </c>
      <c r="T96" s="9" t="b">
        <f t="shared" ref="T96:T101" si="48">O96=SUM(U96,W96,Y96,AA96,AC96,AH96,AE96,AG96)</f>
        <v>1</v>
      </c>
      <c r="U96" s="228">
        <f t="shared" ref="U96:U101" si="49">IF(G96+V96&lt;0,0,G96+V96)</f>
        <v>0</v>
      </c>
      <c r="V96" s="228">
        <f t="shared" ref="V96:V101" si="50">IF(L96+K96+J96+I96+H96+M96+N96&lt;0,L96+K96+J96+I96+H96+M96+N96,0)</f>
        <v>-36451</v>
      </c>
      <c r="W96" s="228">
        <f t="shared" ref="W96:W101" si="51">IF(H96+X96&lt;0,0,H96+X96)</f>
        <v>0</v>
      </c>
      <c r="X96" s="228">
        <f t="shared" ref="X96:X101" si="52">IF(L96+K96+J96+I96+M96+N96&lt;0,L96+K96+J96+I96+M96+N96,0)</f>
        <v>-36451</v>
      </c>
      <c r="Y96" s="228">
        <f t="shared" ref="Y96:Y101" si="53">IF(I96+Z96&lt;0,0,I96+Z96)</f>
        <v>0</v>
      </c>
      <c r="Z96" s="228">
        <f t="shared" ref="Z96:Z101" si="54">IF(L96+K96+J96+M96+N96&lt;0,L96+K96+J96+M96+N96,0)</f>
        <v>-36451</v>
      </c>
      <c r="AA96" s="228">
        <f t="shared" ref="AA96:AA101" si="55">IF(J96+AB96&lt;0,0,J96+AB96)</f>
        <v>0</v>
      </c>
      <c r="AB96" s="228">
        <f t="shared" ref="AB96:AB101" si="56">IF(L96+K96+M96+N96&lt;0,L96+K96+M96+N96,0)</f>
        <v>-36451</v>
      </c>
      <c r="AC96" s="228">
        <f t="shared" ref="AC96:AC101" si="57">IF(K96+AD96&lt;0,0,K96+AD96)</f>
        <v>0</v>
      </c>
      <c r="AD96" s="228">
        <f t="shared" ref="AD96:AD101" si="58">IF(M96+L96+N96&lt;0,M96+L96+N96,0)</f>
        <v>-36451</v>
      </c>
      <c r="AE96" s="228">
        <f t="shared" ref="AE96:AE101" si="59">IF(L96+AF96&lt;0,0,L96+AF96)</f>
        <v>0</v>
      </c>
      <c r="AF96" s="228">
        <f t="shared" ref="AF96:AF101" si="60">IF(N96+M96&lt;0,N96+M96,0)</f>
        <v>-36451</v>
      </c>
      <c r="AG96" s="228">
        <f t="shared" ref="AG96:AG101" si="61">IF(M96+N96&lt;0,0,M96+N96)</f>
        <v>0</v>
      </c>
      <c r="AH96" s="228">
        <f t="shared" ref="AH96:AH101" si="62">IF(SUM(G96:N96)&lt;0,O96,0)</f>
        <v>-36451</v>
      </c>
      <c r="AI96" s="247">
        <f t="shared" ref="AI96:AI101" si="63">SUM(AH96,AC96,AA96,Y96,W96,U96,AE96,AG96)</f>
        <v>-36451</v>
      </c>
      <c r="AJ96" s="248">
        <f t="shared" ref="AJ96:AJ101" si="64">SUM(U96,W96,Y96,AA96,AC96,AE96,AG96)</f>
        <v>0</v>
      </c>
    </row>
    <row r="97" spans="1:36" s="47" customFormat="1" x14ac:dyDescent="0.2">
      <c r="A97"/>
      <c r="B97"/>
      <c r="C97"/>
      <c r="D97" s="231"/>
      <c r="E97" s="231"/>
      <c r="F97" s="231"/>
      <c r="G97" s="254">
        <f t="array" ref="G97">SUM(('Отчет по покупателям УТ'!$G$6:$G$5000='DATA 2'!G$8)*('Отчет по покупателям УТ'!$M$6:$M$5000='DATA 2'!$A97)*('Отчет по покупателям УТ'!$K$6:$K$5000))</f>
        <v>0</v>
      </c>
      <c r="H97" s="254">
        <f t="array" ref="H97">SUM(('Отчет по покупателям УТ'!$G$6:$G$5000='DATA 2'!H$8)*('Отчет по покупателям УТ'!$M$6:$M$5000='DATA 2'!$A97)*('Отчет по покупателям УТ'!$K$6:$K$5000))</f>
        <v>0</v>
      </c>
      <c r="I97" s="254">
        <f t="array" ref="I97">SUM(('Отчет по покупателям УТ'!$G$6:$G$5000='DATA 2'!I$8)*('Отчет по покупателям УТ'!$M$6:$M$5000='DATA 2'!$A97)*('Отчет по покупателям УТ'!$K$6:$K$5000))</f>
        <v>0</v>
      </c>
      <c r="J97" s="254">
        <f t="array" ref="J97">SUM(('Отчет по покупателям УТ'!$G$6:$G$5000='DATA 2'!J$8)*('Отчет по покупателям УТ'!$M$6:$M$5000='DATA 2'!$A97)*('Отчет по покупателям УТ'!$K$6:$K$5000))</f>
        <v>0</v>
      </c>
      <c r="K97" s="254">
        <f t="array" ref="K97">SUM(('Отчет по покупателям УТ'!$G$6:$G$5000='DATA 2'!K$8)*('Отчет по покупателям УТ'!$M$6:$M$5000='DATA 2'!$A97)*('Отчет по покупателям УТ'!$K$6:$K$5000))</f>
        <v>0</v>
      </c>
      <c r="L97" s="254">
        <f t="array" ref="L97">SUM(('Отчет по покупателям УТ'!$G$6:$G$5000='DATA 2'!L$8)*('Отчет по покупателям УТ'!$M$6:$M$5000='DATA 2'!$A97)*('Отчет по покупателям УТ'!$K$6:$K$5000))</f>
        <v>0</v>
      </c>
      <c r="M97" s="254">
        <f t="array" ref="M97">SUM(('Отчет по покупателям УТ'!$G$6:$G$5000='DATA 2'!M$8)*('Отчет по покупателям УТ'!$M$6:$M$5000='DATA 2'!$A97)*('Отчет по покупателям УТ'!$K$6:$K$5000))</f>
        <v>0</v>
      </c>
      <c r="N97" s="254">
        <f t="array" ref="N97">SUM(('Отчет по покупателям УТ'!$G$6:$G$5000='DATA 2'!N$8)*('Отчет по покупателям УТ'!$M$6:$M$5000='DATA 2'!$A97)*('Отчет по покупателям УТ'!$K$6:$K$5000))</f>
        <v>0</v>
      </c>
      <c r="O97" s="247">
        <f t="shared" si="47"/>
        <v>0</v>
      </c>
      <c r="P97"/>
      <c r="Q97"/>
      <c r="R97"/>
      <c r="S97"/>
      <c r="T97" s="9" t="b">
        <f t="shared" si="48"/>
        <v>1</v>
      </c>
      <c r="U97" s="228">
        <f t="shared" si="49"/>
        <v>0</v>
      </c>
      <c r="V97" s="228">
        <f t="shared" si="50"/>
        <v>0</v>
      </c>
      <c r="W97" s="228">
        <f t="shared" si="51"/>
        <v>0</v>
      </c>
      <c r="X97" s="228">
        <f t="shared" si="52"/>
        <v>0</v>
      </c>
      <c r="Y97" s="228">
        <f t="shared" si="53"/>
        <v>0</v>
      </c>
      <c r="Z97" s="228">
        <f t="shared" si="54"/>
        <v>0</v>
      </c>
      <c r="AA97" s="228">
        <f t="shared" si="55"/>
        <v>0</v>
      </c>
      <c r="AB97" s="228">
        <f t="shared" si="56"/>
        <v>0</v>
      </c>
      <c r="AC97" s="228">
        <f t="shared" si="57"/>
        <v>0</v>
      </c>
      <c r="AD97" s="228">
        <f t="shared" si="58"/>
        <v>0</v>
      </c>
      <c r="AE97" s="228">
        <f t="shared" si="59"/>
        <v>0</v>
      </c>
      <c r="AF97" s="228">
        <f t="shared" si="60"/>
        <v>0</v>
      </c>
      <c r="AG97" s="228">
        <f t="shared" si="61"/>
        <v>0</v>
      </c>
      <c r="AH97" s="228">
        <f t="shared" si="62"/>
        <v>0</v>
      </c>
      <c r="AI97" s="247">
        <f t="shared" si="63"/>
        <v>0</v>
      </c>
      <c r="AJ97" s="248">
        <f t="shared" si="64"/>
        <v>0</v>
      </c>
    </row>
    <row r="98" spans="1:36" s="47" customFormat="1" x14ac:dyDescent="0.2">
      <c r="A98"/>
      <c r="B98"/>
      <c r="C98"/>
      <c r="D98" s="231"/>
      <c r="E98" s="231"/>
      <c r="F98" s="231"/>
      <c r="G98" s="254">
        <f t="array" ref="G98">SUM(('Отчет по покупателям УТ'!$G$6:$G$5000='DATA 2'!G$8)*('Отчет по покупателям УТ'!$M$6:$M$5000='DATA 2'!$A98)*('Отчет по покупателям УТ'!$K$6:$K$5000))</f>
        <v>0</v>
      </c>
      <c r="H98" s="254">
        <f t="array" ref="H98">SUM(('Отчет по покупателям УТ'!$G$6:$G$5000='DATA 2'!H$8)*('Отчет по покупателям УТ'!$M$6:$M$5000='DATA 2'!$A98)*('Отчет по покупателям УТ'!$K$6:$K$5000))</f>
        <v>0</v>
      </c>
      <c r="I98" s="254">
        <f t="array" ref="I98">SUM(('Отчет по покупателям УТ'!$G$6:$G$5000='DATA 2'!I$8)*('Отчет по покупателям УТ'!$M$6:$M$5000='DATA 2'!$A98)*('Отчет по покупателям УТ'!$K$6:$K$5000))</f>
        <v>0</v>
      </c>
      <c r="J98" s="254">
        <f t="array" ref="J98">SUM(('Отчет по покупателям УТ'!$G$6:$G$5000='DATA 2'!J$8)*('Отчет по покупателям УТ'!$M$6:$M$5000='DATA 2'!$A98)*('Отчет по покупателям УТ'!$K$6:$K$5000))</f>
        <v>0</v>
      </c>
      <c r="K98" s="254">
        <f t="array" ref="K98">SUM(('Отчет по покупателям УТ'!$G$6:$G$5000='DATA 2'!K$8)*('Отчет по покупателям УТ'!$M$6:$M$5000='DATA 2'!$A98)*('Отчет по покупателям УТ'!$K$6:$K$5000))</f>
        <v>0</v>
      </c>
      <c r="L98" s="254">
        <f t="array" ref="L98">SUM(('Отчет по покупателям УТ'!$G$6:$G$5000='DATA 2'!L$8)*('Отчет по покупателям УТ'!$M$6:$M$5000='DATA 2'!$A98)*('Отчет по покупателям УТ'!$K$6:$K$5000))</f>
        <v>0</v>
      </c>
      <c r="M98" s="254">
        <f t="array" ref="M98">SUM(('Отчет по покупателям УТ'!$G$6:$G$5000='DATA 2'!M$8)*('Отчет по покупателям УТ'!$M$6:$M$5000='DATA 2'!$A98)*('Отчет по покупателям УТ'!$K$6:$K$5000))</f>
        <v>0</v>
      </c>
      <c r="N98" s="254">
        <f t="array" ref="N98">SUM(('Отчет по покупателям УТ'!$G$6:$G$5000='DATA 2'!N$8)*('Отчет по покупателям УТ'!$M$6:$M$5000='DATA 2'!$A98)*('Отчет по покупателям УТ'!$K$6:$K$5000))</f>
        <v>0</v>
      </c>
      <c r="O98" s="247">
        <f t="shared" si="47"/>
        <v>0</v>
      </c>
      <c r="P98"/>
      <c r="Q98"/>
      <c r="R98"/>
      <c r="S98"/>
      <c r="T98" s="9" t="b">
        <f t="shared" si="48"/>
        <v>1</v>
      </c>
      <c r="U98" s="228">
        <f t="shared" si="49"/>
        <v>0</v>
      </c>
      <c r="V98" s="228">
        <f t="shared" si="50"/>
        <v>0</v>
      </c>
      <c r="W98" s="228">
        <f t="shared" si="51"/>
        <v>0</v>
      </c>
      <c r="X98" s="228">
        <f t="shared" si="52"/>
        <v>0</v>
      </c>
      <c r="Y98" s="228">
        <f t="shared" si="53"/>
        <v>0</v>
      </c>
      <c r="Z98" s="228">
        <f t="shared" si="54"/>
        <v>0</v>
      </c>
      <c r="AA98" s="228">
        <f t="shared" si="55"/>
        <v>0</v>
      </c>
      <c r="AB98" s="228">
        <f t="shared" si="56"/>
        <v>0</v>
      </c>
      <c r="AC98" s="228">
        <f t="shared" si="57"/>
        <v>0</v>
      </c>
      <c r="AD98" s="228">
        <f t="shared" si="58"/>
        <v>0</v>
      </c>
      <c r="AE98" s="228">
        <f t="shared" si="59"/>
        <v>0</v>
      </c>
      <c r="AF98" s="228">
        <f t="shared" si="60"/>
        <v>0</v>
      </c>
      <c r="AG98" s="228">
        <f t="shared" si="61"/>
        <v>0</v>
      </c>
      <c r="AH98" s="228">
        <f t="shared" si="62"/>
        <v>0</v>
      </c>
      <c r="AI98" s="247">
        <f t="shared" si="63"/>
        <v>0</v>
      </c>
      <c r="AJ98" s="248">
        <f t="shared" si="64"/>
        <v>0</v>
      </c>
    </row>
    <row r="99" spans="1:36" s="47" customFormat="1" x14ac:dyDescent="0.2">
      <c r="A99"/>
      <c r="B99"/>
      <c r="C99"/>
      <c r="D99" s="231"/>
      <c r="E99" s="231"/>
      <c r="F99" s="231"/>
      <c r="G99" s="254">
        <f t="array" ref="G99">SUM(('Отчет по покупателям УТ'!$G$6:$G$5000='DATA 2'!G$8)*('Отчет по покупателям УТ'!$M$6:$M$5000='DATA 2'!$A99)*('Отчет по покупателям УТ'!$K$6:$K$5000))</f>
        <v>0</v>
      </c>
      <c r="H99" s="254">
        <f t="array" ref="H99">SUM(('Отчет по покупателям УТ'!$G$6:$G$5000='DATA 2'!H$8)*('Отчет по покупателям УТ'!$M$6:$M$5000='DATA 2'!$A99)*('Отчет по покупателям УТ'!$K$6:$K$5000))</f>
        <v>0</v>
      </c>
      <c r="I99" s="254">
        <f t="array" ref="I99">SUM(('Отчет по покупателям УТ'!$G$6:$G$5000='DATA 2'!I$8)*('Отчет по покупателям УТ'!$M$6:$M$5000='DATA 2'!$A99)*('Отчет по покупателям УТ'!$K$6:$K$5000))</f>
        <v>0</v>
      </c>
      <c r="J99" s="254">
        <f t="array" ref="J99">SUM(('Отчет по покупателям УТ'!$G$6:$G$5000='DATA 2'!J$8)*('Отчет по покупателям УТ'!$M$6:$M$5000='DATA 2'!$A99)*('Отчет по покупателям УТ'!$K$6:$K$5000))</f>
        <v>0</v>
      </c>
      <c r="K99" s="254">
        <f t="array" ref="K99">SUM(('Отчет по покупателям УТ'!$G$6:$G$5000='DATA 2'!K$8)*('Отчет по покупателям УТ'!$M$6:$M$5000='DATA 2'!$A99)*('Отчет по покупателям УТ'!$K$6:$K$5000))</f>
        <v>0</v>
      </c>
      <c r="L99" s="254">
        <f t="array" ref="L99">SUM(('Отчет по покупателям УТ'!$G$6:$G$5000='DATA 2'!L$8)*('Отчет по покупателям УТ'!$M$6:$M$5000='DATA 2'!$A99)*('Отчет по покупателям УТ'!$K$6:$K$5000))</f>
        <v>0</v>
      </c>
      <c r="M99" s="254">
        <f t="array" ref="M99">SUM(('Отчет по покупателям УТ'!$G$6:$G$5000='DATA 2'!M$8)*('Отчет по покупателям УТ'!$M$6:$M$5000='DATA 2'!$A99)*('Отчет по покупателям УТ'!$K$6:$K$5000))</f>
        <v>0</v>
      </c>
      <c r="N99" s="254">
        <f t="array" ref="N99">SUM(('Отчет по покупателям УТ'!$G$6:$G$5000='DATA 2'!N$8)*('Отчет по покупателям УТ'!$M$6:$M$5000='DATA 2'!$A99)*('Отчет по покупателям УТ'!$K$6:$K$5000))</f>
        <v>0</v>
      </c>
      <c r="O99" s="247">
        <f t="shared" si="47"/>
        <v>0</v>
      </c>
      <c r="P99"/>
      <c r="Q99"/>
      <c r="R99"/>
      <c r="S99"/>
      <c r="T99" s="9" t="b">
        <f t="shared" si="48"/>
        <v>1</v>
      </c>
      <c r="U99" s="228">
        <f t="shared" si="49"/>
        <v>0</v>
      </c>
      <c r="V99" s="228">
        <f t="shared" si="50"/>
        <v>0</v>
      </c>
      <c r="W99" s="228">
        <f t="shared" si="51"/>
        <v>0</v>
      </c>
      <c r="X99" s="228">
        <f t="shared" si="52"/>
        <v>0</v>
      </c>
      <c r="Y99" s="228">
        <f t="shared" si="53"/>
        <v>0</v>
      </c>
      <c r="Z99" s="228">
        <f t="shared" si="54"/>
        <v>0</v>
      </c>
      <c r="AA99" s="228">
        <f t="shared" si="55"/>
        <v>0</v>
      </c>
      <c r="AB99" s="228">
        <f t="shared" si="56"/>
        <v>0</v>
      </c>
      <c r="AC99" s="228">
        <f t="shared" si="57"/>
        <v>0</v>
      </c>
      <c r="AD99" s="228">
        <f t="shared" si="58"/>
        <v>0</v>
      </c>
      <c r="AE99" s="228">
        <f t="shared" si="59"/>
        <v>0</v>
      </c>
      <c r="AF99" s="228">
        <f t="shared" si="60"/>
        <v>0</v>
      </c>
      <c r="AG99" s="228">
        <f t="shared" si="61"/>
        <v>0</v>
      </c>
      <c r="AH99" s="228">
        <f t="shared" si="62"/>
        <v>0</v>
      </c>
      <c r="AI99" s="247">
        <f t="shared" si="63"/>
        <v>0</v>
      </c>
      <c r="AJ99" s="248">
        <f t="shared" si="64"/>
        <v>0</v>
      </c>
    </row>
    <row r="100" spans="1:36" s="47" customFormat="1" x14ac:dyDescent="0.2">
      <c r="A100"/>
      <c r="B100"/>
      <c r="C100"/>
      <c r="D100" s="231"/>
      <c r="E100" s="231"/>
      <c r="F100" s="231"/>
      <c r="G100" s="254">
        <f t="array" ref="G100">SUM(('Отчет по покупателям УТ'!$G$6:$G$5000='DATA 2'!G$8)*('Отчет по покупателям УТ'!$M$6:$M$5000='DATA 2'!$A100)*('Отчет по покупателям УТ'!$K$6:$K$5000))</f>
        <v>0</v>
      </c>
      <c r="H100" s="254">
        <f t="array" ref="H100">SUM(('Отчет по покупателям УТ'!$G$6:$G$5000='DATA 2'!H$8)*('Отчет по покупателям УТ'!$M$6:$M$5000='DATA 2'!$A100)*('Отчет по покупателям УТ'!$K$6:$K$5000))</f>
        <v>0</v>
      </c>
      <c r="I100" s="254">
        <f t="array" ref="I100">SUM(('Отчет по покупателям УТ'!$G$6:$G$5000='DATA 2'!I$8)*('Отчет по покупателям УТ'!$M$6:$M$5000='DATA 2'!$A100)*('Отчет по покупателям УТ'!$K$6:$K$5000))</f>
        <v>0</v>
      </c>
      <c r="J100" s="254">
        <f t="array" ref="J100">SUM(('Отчет по покупателям УТ'!$G$6:$G$5000='DATA 2'!J$8)*('Отчет по покупателям УТ'!$M$6:$M$5000='DATA 2'!$A100)*('Отчет по покупателям УТ'!$K$6:$K$5000))</f>
        <v>0</v>
      </c>
      <c r="K100" s="254">
        <f t="array" ref="K100">SUM(('Отчет по покупателям УТ'!$G$6:$G$5000='DATA 2'!K$8)*('Отчет по покупателям УТ'!$M$6:$M$5000='DATA 2'!$A100)*('Отчет по покупателям УТ'!$K$6:$K$5000))</f>
        <v>0</v>
      </c>
      <c r="L100" s="254">
        <f t="array" ref="L100">SUM(('Отчет по покупателям УТ'!$G$6:$G$5000='DATA 2'!L$8)*('Отчет по покупателям УТ'!$M$6:$M$5000='DATA 2'!$A100)*('Отчет по покупателям УТ'!$K$6:$K$5000))</f>
        <v>0</v>
      </c>
      <c r="M100" s="254">
        <f t="array" ref="M100">SUM(('Отчет по покупателям УТ'!$G$6:$G$5000='DATA 2'!M$8)*('Отчет по покупателям УТ'!$M$6:$M$5000='DATA 2'!$A100)*('Отчет по покупателям УТ'!$K$6:$K$5000))</f>
        <v>0</v>
      </c>
      <c r="N100" s="254">
        <f t="array" ref="N100">SUM(('Отчет по покупателям УТ'!$G$6:$G$5000='DATA 2'!N$8)*('Отчет по покупателям УТ'!$M$6:$M$5000='DATA 2'!$A100)*('Отчет по покупателям УТ'!$K$6:$K$5000))</f>
        <v>0</v>
      </c>
      <c r="O100" s="247">
        <f t="shared" si="47"/>
        <v>0</v>
      </c>
      <c r="P100"/>
      <c r="Q100"/>
      <c r="R100"/>
      <c r="S100"/>
      <c r="T100" s="9" t="b">
        <f t="shared" si="48"/>
        <v>1</v>
      </c>
      <c r="U100" s="228">
        <f t="shared" si="49"/>
        <v>0</v>
      </c>
      <c r="V100" s="228">
        <f t="shared" si="50"/>
        <v>0</v>
      </c>
      <c r="W100" s="228">
        <f t="shared" si="51"/>
        <v>0</v>
      </c>
      <c r="X100" s="228">
        <f t="shared" si="52"/>
        <v>0</v>
      </c>
      <c r="Y100" s="228">
        <f t="shared" si="53"/>
        <v>0</v>
      </c>
      <c r="Z100" s="228">
        <f t="shared" si="54"/>
        <v>0</v>
      </c>
      <c r="AA100" s="228">
        <f t="shared" si="55"/>
        <v>0</v>
      </c>
      <c r="AB100" s="228">
        <f t="shared" si="56"/>
        <v>0</v>
      </c>
      <c r="AC100" s="228">
        <f t="shared" si="57"/>
        <v>0</v>
      </c>
      <c r="AD100" s="228">
        <f t="shared" si="58"/>
        <v>0</v>
      </c>
      <c r="AE100" s="228">
        <f t="shared" si="59"/>
        <v>0</v>
      </c>
      <c r="AF100" s="228">
        <f t="shared" si="60"/>
        <v>0</v>
      </c>
      <c r="AG100" s="228">
        <f t="shared" si="61"/>
        <v>0</v>
      </c>
      <c r="AH100" s="228">
        <f t="shared" si="62"/>
        <v>0</v>
      </c>
      <c r="AI100" s="247">
        <f t="shared" si="63"/>
        <v>0</v>
      </c>
      <c r="AJ100" s="248">
        <f t="shared" si="64"/>
        <v>0</v>
      </c>
    </row>
    <row r="101" spans="1:36" s="47" customFormat="1" x14ac:dyDescent="0.2">
      <c r="C101" s="228"/>
      <c r="D101" s="231"/>
      <c r="E101" s="231"/>
      <c r="F101" s="231"/>
      <c r="G101" s="254">
        <f t="array" ref="G101">SUM(('Отчет по покупателям УТ'!$G$6:$G$5000='DATA 2'!G$8)*('Отчет по покупателям УТ'!$M$6:$M$5000='DATA 2'!$A101)*('Отчет по покупателям УТ'!$K$6:$K$5000))</f>
        <v>0</v>
      </c>
      <c r="H101" s="254">
        <f t="array" ref="H101">SUM(('Отчет по покупателям УТ'!$G$6:$G$5000='DATA 2'!H$8)*('Отчет по покупателям УТ'!$M$6:$M$5000='DATA 2'!$A101)*('Отчет по покупателям УТ'!$K$6:$K$5000))</f>
        <v>0</v>
      </c>
      <c r="I101" s="254">
        <f t="array" ref="I101">SUM(('Отчет по покупателям УТ'!$G$6:$G$5000='DATA 2'!I$8)*('Отчет по покупателям УТ'!$M$6:$M$5000='DATA 2'!$A101)*('Отчет по покупателям УТ'!$K$6:$K$5000))</f>
        <v>0</v>
      </c>
      <c r="J101" s="254">
        <f t="array" ref="J101">SUM(('Отчет по покупателям УТ'!$G$6:$G$5000='DATA 2'!J$8)*('Отчет по покупателям УТ'!$M$6:$M$5000='DATA 2'!$A101)*('Отчет по покупателям УТ'!$K$6:$K$5000))</f>
        <v>0</v>
      </c>
      <c r="K101" s="254">
        <f t="array" ref="K101">SUM(('Отчет по покупателям УТ'!$G$6:$G$5000='DATA 2'!K$8)*('Отчет по покупателям УТ'!$M$6:$M$5000='DATA 2'!$A101)*('Отчет по покупателям УТ'!$K$6:$K$5000))</f>
        <v>0</v>
      </c>
      <c r="L101" s="254">
        <f t="array" ref="L101">SUM(('Отчет по покупателям УТ'!$G$6:$G$5000='DATA 2'!L$8)*('Отчет по покупателям УТ'!$M$6:$M$5000='DATA 2'!$A101)*('Отчет по покупателям УТ'!$K$6:$K$5000))</f>
        <v>0</v>
      </c>
      <c r="M101" s="254">
        <f t="array" ref="M101">SUM(('Отчет по покупателям УТ'!$G$6:$G$5000='DATA 2'!M$8)*('Отчет по покупателям УТ'!$M$6:$M$5000='DATA 2'!$A101)*('Отчет по покупателям УТ'!$K$6:$K$5000))</f>
        <v>0</v>
      </c>
      <c r="N101" s="254">
        <f t="array" ref="N101">SUM(('Отчет по покупателям УТ'!$G$6:$G$5000='DATA 2'!N$8)*('Отчет по покупателям УТ'!$M$6:$M$5000='DATA 2'!$A101)*('Отчет по покупателям УТ'!$K$6:$K$5000))</f>
        <v>0</v>
      </c>
      <c r="O101" s="247">
        <f t="shared" si="47"/>
        <v>0</v>
      </c>
      <c r="P101"/>
      <c r="Q101"/>
      <c r="R101"/>
      <c r="S101"/>
      <c r="T101" s="9" t="b">
        <f t="shared" si="48"/>
        <v>1</v>
      </c>
      <c r="U101" s="228">
        <f t="shared" si="49"/>
        <v>0</v>
      </c>
      <c r="V101" s="228">
        <f t="shared" si="50"/>
        <v>0</v>
      </c>
      <c r="W101" s="228">
        <f t="shared" si="51"/>
        <v>0</v>
      </c>
      <c r="X101" s="228">
        <f t="shared" si="52"/>
        <v>0</v>
      </c>
      <c r="Y101" s="228">
        <f t="shared" si="53"/>
        <v>0</v>
      </c>
      <c r="Z101" s="228">
        <f t="shared" si="54"/>
        <v>0</v>
      </c>
      <c r="AA101" s="228">
        <f t="shared" si="55"/>
        <v>0</v>
      </c>
      <c r="AB101" s="228">
        <f t="shared" si="56"/>
        <v>0</v>
      </c>
      <c r="AC101" s="228">
        <f t="shared" si="57"/>
        <v>0</v>
      </c>
      <c r="AD101" s="228">
        <f t="shared" si="58"/>
        <v>0</v>
      </c>
      <c r="AE101" s="228">
        <f t="shared" si="59"/>
        <v>0</v>
      </c>
      <c r="AF101" s="228">
        <f t="shared" si="60"/>
        <v>0</v>
      </c>
      <c r="AG101" s="228">
        <f t="shared" si="61"/>
        <v>0</v>
      </c>
      <c r="AH101" s="228">
        <f t="shared" si="62"/>
        <v>0</v>
      </c>
      <c r="AI101" s="247">
        <f t="shared" si="63"/>
        <v>0</v>
      </c>
      <c r="AJ101" s="248">
        <f t="shared" si="64"/>
        <v>0</v>
      </c>
    </row>
    <row r="102" spans="1:36" s="47" customFormat="1" x14ac:dyDescent="0.2">
      <c r="C102" s="228"/>
      <c r="D102" s="231"/>
      <c r="E102" s="231"/>
      <c r="F102" s="231"/>
      <c r="G102" s="254"/>
      <c r="H102" s="254"/>
      <c r="I102" s="254"/>
      <c r="J102" s="254"/>
      <c r="K102" s="254"/>
      <c r="L102" s="254"/>
      <c r="M102" s="254"/>
      <c r="N102" s="254"/>
      <c r="O102" s="228"/>
      <c r="T102" s="31"/>
      <c r="U102" s="228"/>
      <c r="V102" s="228"/>
      <c r="W102" s="228"/>
      <c r="X102" s="228"/>
      <c r="Y102" s="228"/>
      <c r="Z102" s="228"/>
      <c r="AA102" s="228"/>
      <c r="AB102" s="228"/>
      <c r="AC102" s="228"/>
      <c r="AD102" s="228"/>
      <c r="AE102" s="228"/>
      <c r="AF102" s="228"/>
      <c r="AG102" s="228"/>
      <c r="AH102" s="228"/>
      <c r="AI102" s="228"/>
      <c r="AJ102" s="228"/>
    </row>
    <row r="103" spans="1:36" s="47" customFormat="1" x14ac:dyDescent="0.2">
      <c r="C103" s="228"/>
      <c r="D103" s="231"/>
      <c r="E103" s="231"/>
      <c r="F103" s="231"/>
      <c r="G103" s="254"/>
      <c r="H103" s="254"/>
      <c r="I103" s="254"/>
      <c r="J103" s="254"/>
      <c r="K103" s="254"/>
      <c r="L103" s="254"/>
      <c r="M103" s="254"/>
      <c r="N103" s="254"/>
      <c r="O103" s="228"/>
      <c r="T103" s="31"/>
      <c r="U103" s="228"/>
      <c r="V103" s="228"/>
      <c r="W103" s="228"/>
      <c r="X103" s="228"/>
      <c r="Y103" s="228"/>
      <c r="Z103" s="228"/>
      <c r="AA103" s="228"/>
      <c r="AB103" s="228"/>
      <c r="AC103" s="228"/>
      <c r="AD103" s="228"/>
      <c r="AE103" s="228"/>
      <c r="AF103" s="228"/>
      <c r="AG103" s="228"/>
      <c r="AH103" s="228"/>
      <c r="AI103" s="228"/>
      <c r="AJ103" s="228"/>
    </row>
    <row r="104" spans="1:36" s="47" customFormat="1" x14ac:dyDescent="0.2">
      <c r="C104" s="228"/>
      <c r="D104" s="231"/>
      <c r="E104" s="231"/>
      <c r="F104" s="231"/>
      <c r="G104" s="254"/>
      <c r="H104" s="254"/>
      <c r="I104" s="254"/>
      <c r="J104" s="254"/>
      <c r="K104" s="254"/>
      <c r="L104" s="254"/>
      <c r="M104" s="254"/>
      <c r="N104" s="254"/>
      <c r="O104" s="228"/>
      <c r="T104" s="31"/>
      <c r="U104" s="228"/>
      <c r="V104" s="228"/>
      <c r="W104" s="228"/>
      <c r="X104" s="228"/>
      <c r="Y104" s="228"/>
      <c r="Z104" s="228"/>
      <c r="AA104" s="228"/>
      <c r="AB104" s="228"/>
      <c r="AC104" s="228"/>
      <c r="AD104" s="228"/>
      <c r="AE104" s="228"/>
      <c r="AF104" s="228"/>
      <c r="AG104" s="228"/>
      <c r="AH104" s="228"/>
      <c r="AI104" s="228"/>
      <c r="AJ104" s="228"/>
    </row>
    <row r="105" spans="1:36" s="47" customFormat="1" x14ac:dyDescent="0.2">
      <c r="C105" s="228"/>
      <c r="D105" s="231"/>
      <c r="E105" s="231"/>
      <c r="F105" s="231"/>
      <c r="G105" s="254"/>
      <c r="H105" s="254"/>
      <c r="I105" s="254"/>
      <c r="J105" s="254"/>
      <c r="K105" s="254"/>
      <c r="L105" s="254"/>
      <c r="M105" s="254"/>
      <c r="N105" s="254"/>
      <c r="O105" s="228"/>
      <c r="T105" s="31"/>
      <c r="U105" s="228"/>
      <c r="V105" s="228"/>
      <c r="W105" s="228"/>
      <c r="X105" s="228"/>
      <c r="Y105" s="228"/>
      <c r="Z105" s="228"/>
      <c r="AA105" s="228"/>
      <c r="AB105" s="228"/>
      <c r="AC105" s="228"/>
      <c r="AD105" s="228"/>
      <c r="AE105" s="228"/>
      <c r="AF105" s="228"/>
      <c r="AG105" s="228"/>
      <c r="AH105" s="228"/>
      <c r="AI105" s="228"/>
      <c r="AJ105" s="228"/>
    </row>
    <row r="106" spans="1:36" s="47" customFormat="1" x14ac:dyDescent="0.2">
      <c r="C106" s="228"/>
      <c r="D106" s="231"/>
      <c r="E106" s="231"/>
      <c r="F106" s="231"/>
      <c r="G106" s="254"/>
      <c r="H106" s="254"/>
      <c r="I106" s="254"/>
      <c r="J106" s="254"/>
      <c r="K106" s="254"/>
      <c r="L106" s="254"/>
      <c r="M106" s="254"/>
      <c r="N106" s="254"/>
      <c r="O106" s="228"/>
      <c r="T106" s="31"/>
      <c r="U106" s="228"/>
      <c r="V106" s="228"/>
      <c r="W106" s="228"/>
      <c r="X106" s="228"/>
      <c r="Y106" s="228"/>
      <c r="Z106" s="228"/>
      <c r="AA106" s="228"/>
      <c r="AB106" s="228"/>
      <c r="AC106" s="228"/>
      <c r="AD106" s="228"/>
      <c r="AE106" s="228"/>
      <c r="AF106" s="228"/>
      <c r="AG106" s="228"/>
      <c r="AH106" s="228"/>
      <c r="AI106" s="228"/>
      <c r="AJ106" s="228"/>
    </row>
    <row r="107" spans="1:36" s="47" customFormat="1" x14ac:dyDescent="0.2">
      <c r="C107" s="228"/>
      <c r="D107" s="231"/>
      <c r="E107" s="231"/>
      <c r="F107" s="231"/>
      <c r="G107" s="254"/>
      <c r="H107" s="254"/>
      <c r="I107" s="254"/>
      <c r="J107" s="254"/>
      <c r="K107" s="254"/>
      <c r="L107" s="254"/>
      <c r="M107" s="254"/>
      <c r="N107" s="254"/>
      <c r="O107" s="228"/>
      <c r="T107" s="31"/>
      <c r="U107" s="228"/>
      <c r="V107" s="228"/>
      <c r="W107" s="228"/>
      <c r="X107" s="228"/>
      <c r="Y107" s="228"/>
      <c r="Z107" s="228"/>
      <c r="AA107" s="228"/>
      <c r="AB107" s="228"/>
      <c r="AC107" s="228"/>
      <c r="AD107" s="228"/>
      <c r="AE107" s="228"/>
      <c r="AF107" s="228"/>
      <c r="AG107" s="228"/>
      <c r="AH107" s="228"/>
      <c r="AI107" s="228"/>
      <c r="AJ107" s="228"/>
    </row>
    <row r="108" spans="1:36" s="47" customFormat="1" x14ac:dyDescent="0.2">
      <c r="C108" s="228"/>
      <c r="D108" s="231"/>
      <c r="E108" s="231"/>
      <c r="F108" s="231"/>
      <c r="G108" s="254"/>
      <c r="H108" s="254"/>
      <c r="I108" s="254"/>
      <c r="J108" s="254"/>
      <c r="K108" s="254"/>
      <c r="L108" s="254"/>
      <c r="M108" s="254"/>
      <c r="N108" s="254"/>
      <c r="O108" s="228"/>
      <c r="T108" s="31"/>
      <c r="U108" s="228"/>
      <c r="V108" s="228"/>
      <c r="W108" s="228"/>
      <c r="X108" s="228"/>
      <c r="Y108" s="228"/>
      <c r="Z108" s="228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</row>
    <row r="109" spans="1:36" s="47" customFormat="1" x14ac:dyDescent="0.2">
      <c r="C109" s="228"/>
      <c r="D109" s="231"/>
      <c r="E109" s="231"/>
      <c r="F109" s="231"/>
      <c r="G109" s="254"/>
      <c r="H109" s="254"/>
      <c r="I109" s="254"/>
      <c r="J109" s="254"/>
      <c r="K109" s="254"/>
      <c r="L109" s="254"/>
      <c r="M109" s="254"/>
      <c r="N109" s="254"/>
      <c r="O109" s="228"/>
      <c r="T109" s="31"/>
      <c r="U109" s="228"/>
      <c r="V109" s="228"/>
      <c r="W109" s="228"/>
      <c r="X109" s="228"/>
      <c r="Y109" s="228"/>
      <c r="Z109" s="228"/>
      <c r="AA109" s="228"/>
      <c r="AB109" s="228"/>
      <c r="AC109" s="228"/>
      <c r="AD109" s="228"/>
      <c r="AE109" s="228"/>
      <c r="AF109" s="228"/>
      <c r="AG109" s="228"/>
      <c r="AH109" s="228"/>
      <c r="AI109" s="228"/>
      <c r="AJ109" s="228"/>
    </row>
    <row r="110" spans="1:36" s="47" customFormat="1" x14ac:dyDescent="0.2">
      <c r="C110" s="228"/>
      <c r="D110" s="231"/>
      <c r="E110" s="231"/>
      <c r="F110" s="231"/>
      <c r="G110" s="254"/>
      <c r="H110" s="254"/>
      <c r="I110" s="254"/>
      <c r="J110" s="254"/>
      <c r="K110" s="254"/>
      <c r="L110" s="254"/>
      <c r="M110" s="254"/>
      <c r="N110" s="254"/>
      <c r="O110" s="228"/>
      <c r="T110" s="31"/>
      <c r="U110" s="228"/>
      <c r="V110" s="228"/>
      <c r="W110" s="228"/>
      <c r="X110" s="228"/>
      <c r="Y110" s="228"/>
      <c r="Z110" s="228"/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</row>
    <row r="111" spans="1:36" s="47" customFormat="1" x14ac:dyDescent="0.2">
      <c r="C111" s="228"/>
      <c r="D111" s="231"/>
      <c r="E111" s="231"/>
      <c r="F111" s="231"/>
      <c r="G111" s="254"/>
      <c r="H111" s="254"/>
      <c r="I111" s="254"/>
      <c r="J111" s="254"/>
      <c r="K111" s="254"/>
      <c r="L111" s="254"/>
      <c r="M111" s="254"/>
      <c r="N111" s="254"/>
      <c r="O111" s="228"/>
      <c r="T111" s="31"/>
      <c r="U111" s="228"/>
      <c r="V111" s="228"/>
      <c r="W111" s="228"/>
      <c r="X111" s="228"/>
      <c r="Y111" s="228"/>
      <c r="Z111" s="228"/>
      <c r="AA111" s="228"/>
      <c r="AB111" s="228"/>
      <c r="AC111" s="228"/>
      <c r="AD111" s="228"/>
      <c r="AE111" s="228"/>
      <c r="AF111" s="228"/>
      <c r="AG111" s="228"/>
      <c r="AH111" s="228"/>
      <c r="AI111" s="228"/>
      <c r="AJ111" s="228"/>
    </row>
    <row r="112" spans="1:36" s="47" customFormat="1" x14ac:dyDescent="0.2">
      <c r="C112" s="228"/>
      <c r="D112" s="231"/>
      <c r="E112" s="231"/>
      <c r="F112" s="231"/>
      <c r="G112" s="254"/>
      <c r="H112" s="254"/>
      <c r="I112" s="254"/>
      <c r="J112" s="254"/>
      <c r="K112" s="254"/>
      <c r="L112" s="254"/>
      <c r="M112" s="254"/>
      <c r="N112" s="254"/>
      <c r="O112" s="228"/>
      <c r="T112" s="31"/>
      <c r="U112" s="228"/>
      <c r="V112" s="228"/>
      <c r="W112" s="228"/>
      <c r="X112" s="228"/>
      <c r="Y112" s="228"/>
      <c r="Z112" s="228"/>
      <c r="AA112" s="228"/>
      <c r="AB112" s="228"/>
      <c r="AC112" s="228"/>
      <c r="AD112" s="228"/>
      <c r="AE112" s="228"/>
      <c r="AF112" s="228"/>
      <c r="AG112" s="228"/>
      <c r="AH112" s="228"/>
      <c r="AI112" s="228"/>
      <c r="AJ112" s="228"/>
    </row>
    <row r="113" spans="3:36" s="47" customFormat="1" x14ac:dyDescent="0.2">
      <c r="C113" s="228"/>
      <c r="D113" s="231"/>
      <c r="E113" s="231"/>
      <c r="F113" s="231"/>
      <c r="G113" s="254"/>
      <c r="H113" s="254"/>
      <c r="I113" s="254"/>
      <c r="J113" s="254"/>
      <c r="K113" s="254"/>
      <c r="L113" s="254"/>
      <c r="M113" s="254"/>
      <c r="N113" s="254"/>
      <c r="O113" s="228"/>
      <c r="T113" s="31"/>
      <c r="U113" s="228"/>
      <c r="V113" s="228"/>
      <c r="W113" s="228"/>
      <c r="X113" s="228"/>
      <c r="Y113" s="228"/>
      <c r="Z113" s="228"/>
      <c r="AA113" s="228"/>
      <c r="AB113" s="228"/>
      <c r="AC113" s="228"/>
      <c r="AD113" s="228"/>
      <c r="AE113" s="228"/>
      <c r="AF113" s="228"/>
      <c r="AG113" s="228"/>
      <c r="AH113" s="228"/>
      <c r="AI113" s="228"/>
      <c r="AJ113" s="228"/>
    </row>
    <row r="114" spans="3:36" s="47" customFormat="1" x14ac:dyDescent="0.2">
      <c r="C114" s="228"/>
      <c r="D114" s="231"/>
      <c r="E114" s="231"/>
      <c r="F114" s="231"/>
      <c r="G114" s="254"/>
      <c r="H114" s="254"/>
      <c r="I114" s="254"/>
      <c r="J114" s="254"/>
      <c r="K114" s="254"/>
      <c r="L114" s="254"/>
      <c r="M114" s="254"/>
      <c r="N114" s="254"/>
      <c r="O114" s="228"/>
      <c r="T114" s="31"/>
      <c r="U114" s="228"/>
      <c r="V114" s="228"/>
      <c r="W114" s="228"/>
      <c r="X114" s="228"/>
      <c r="Y114" s="228"/>
      <c r="Z114" s="228"/>
      <c r="AA114" s="228"/>
      <c r="AB114" s="228"/>
      <c r="AC114" s="228"/>
      <c r="AD114" s="228"/>
      <c r="AE114" s="228"/>
      <c r="AF114" s="228"/>
      <c r="AG114" s="228"/>
      <c r="AH114" s="228"/>
      <c r="AI114" s="228"/>
      <c r="AJ114" s="228"/>
    </row>
    <row r="115" spans="3:36" s="47" customFormat="1" x14ac:dyDescent="0.2">
      <c r="C115" s="228"/>
      <c r="D115" s="231"/>
      <c r="E115" s="231"/>
      <c r="F115" s="231"/>
      <c r="G115" s="254"/>
      <c r="H115" s="254"/>
      <c r="I115" s="254"/>
      <c r="J115" s="254"/>
      <c r="K115" s="254"/>
      <c r="L115" s="254"/>
      <c r="M115" s="254"/>
      <c r="N115" s="254"/>
      <c r="O115" s="228"/>
      <c r="T115" s="31"/>
      <c r="U115" s="228"/>
      <c r="V115" s="228"/>
      <c r="W115" s="228"/>
      <c r="X115" s="228"/>
      <c r="Y115" s="228"/>
      <c r="Z115" s="228"/>
      <c r="AA115" s="228"/>
      <c r="AB115" s="228"/>
      <c r="AC115" s="228"/>
      <c r="AD115" s="228"/>
      <c r="AE115" s="228"/>
      <c r="AF115" s="228"/>
      <c r="AG115" s="228"/>
      <c r="AH115" s="228"/>
      <c r="AI115" s="228"/>
      <c r="AJ115" s="228"/>
    </row>
    <row r="116" spans="3:36" s="47" customFormat="1" x14ac:dyDescent="0.2">
      <c r="C116" s="228"/>
      <c r="D116" s="231"/>
      <c r="E116" s="231"/>
      <c r="F116" s="231"/>
      <c r="G116" s="254"/>
      <c r="H116" s="254"/>
      <c r="I116" s="254"/>
      <c r="J116" s="254"/>
      <c r="K116" s="254"/>
      <c r="L116" s="254"/>
      <c r="M116" s="254"/>
      <c r="N116" s="254"/>
      <c r="O116" s="228"/>
      <c r="T116" s="31"/>
      <c r="U116" s="228"/>
      <c r="V116" s="228"/>
      <c r="W116" s="228"/>
      <c r="X116" s="228"/>
      <c r="Y116" s="228"/>
      <c r="Z116" s="228"/>
      <c r="AA116" s="228"/>
      <c r="AB116" s="228"/>
      <c r="AC116" s="228"/>
      <c r="AD116" s="228"/>
      <c r="AE116" s="228"/>
      <c r="AF116" s="228"/>
      <c r="AG116" s="228"/>
      <c r="AH116" s="228"/>
      <c r="AI116" s="228"/>
      <c r="AJ116" s="228"/>
    </row>
    <row r="117" spans="3:36" s="47" customFormat="1" x14ac:dyDescent="0.2">
      <c r="C117" s="228"/>
      <c r="D117" s="231"/>
      <c r="E117" s="231"/>
      <c r="F117" s="231"/>
      <c r="G117" s="254"/>
      <c r="H117" s="254"/>
      <c r="I117" s="254"/>
      <c r="J117" s="254"/>
      <c r="K117" s="254"/>
      <c r="L117" s="254"/>
      <c r="M117" s="254"/>
      <c r="N117" s="254"/>
      <c r="O117" s="228"/>
      <c r="T117" s="31"/>
      <c r="U117" s="228"/>
      <c r="V117" s="228"/>
      <c r="W117" s="228"/>
      <c r="X117" s="228"/>
      <c r="Y117" s="228"/>
      <c r="Z117" s="228"/>
      <c r="AA117" s="228"/>
      <c r="AB117" s="228"/>
      <c r="AC117" s="228"/>
      <c r="AD117" s="228"/>
      <c r="AE117" s="228"/>
      <c r="AF117" s="228"/>
      <c r="AG117" s="228"/>
      <c r="AH117" s="228"/>
      <c r="AI117" s="228"/>
      <c r="AJ117" s="228"/>
    </row>
    <row r="118" spans="3:36" s="47" customFormat="1" x14ac:dyDescent="0.2">
      <c r="C118" s="228"/>
      <c r="D118" s="231"/>
      <c r="E118" s="231"/>
      <c r="F118" s="231"/>
      <c r="G118" s="254"/>
      <c r="H118" s="254"/>
      <c r="I118" s="254"/>
      <c r="J118" s="254"/>
      <c r="K118" s="254"/>
      <c r="L118" s="254"/>
      <c r="M118" s="254"/>
      <c r="N118" s="254"/>
      <c r="O118" s="228"/>
      <c r="T118" s="31"/>
      <c r="U118" s="228"/>
      <c r="V118" s="228"/>
      <c r="W118" s="228"/>
      <c r="X118" s="228"/>
      <c r="Y118" s="228"/>
      <c r="Z118" s="228"/>
      <c r="AA118" s="228"/>
      <c r="AB118" s="228"/>
      <c r="AC118" s="228"/>
      <c r="AD118" s="228"/>
      <c r="AE118" s="228"/>
      <c r="AF118" s="228"/>
      <c r="AG118" s="228"/>
      <c r="AH118" s="228"/>
      <c r="AI118" s="228"/>
      <c r="AJ118" s="228"/>
    </row>
    <row r="119" spans="3:36" s="47" customFormat="1" x14ac:dyDescent="0.2">
      <c r="C119" s="228"/>
      <c r="D119" s="231"/>
      <c r="E119" s="231"/>
      <c r="F119" s="231"/>
      <c r="G119" s="254"/>
      <c r="H119" s="254"/>
      <c r="I119" s="254"/>
      <c r="J119" s="254"/>
      <c r="K119" s="254"/>
      <c r="L119" s="254"/>
      <c r="M119" s="254"/>
      <c r="N119" s="254"/>
      <c r="O119" s="228"/>
      <c r="T119" s="31"/>
      <c r="U119" s="228"/>
      <c r="V119" s="228"/>
      <c r="W119" s="228"/>
      <c r="X119" s="228"/>
      <c r="Y119" s="228"/>
      <c r="Z119" s="228"/>
      <c r="AA119" s="228"/>
      <c r="AB119" s="228"/>
      <c r="AC119" s="228"/>
      <c r="AD119" s="228"/>
      <c r="AE119" s="228"/>
      <c r="AF119" s="228"/>
      <c r="AG119" s="228"/>
      <c r="AH119" s="228"/>
      <c r="AI119" s="228"/>
      <c r="AJ119" s="228"/>
    </row>
    <row r="120" spans="3:36" s="47" customFormat="1" x14ac:dyDescent="0.2">
      <c r="C120" s="228"/>
      <c r="D120" s="231"/>
      <c r="E120" s="231"/>
      <c r="F120" s="231"/>
      <c r="G120" s="254"/>
      <c r="H120" s="254"/>
      <c r="I120" s="254"/>
      <c r="J120" s="254"/>
      <c r="K120" s="254"/>
      <c r="L120" s="254"/>
      <c r="M120" s="254"/>
      <c r="N120" s="254"/>
      <c r="O120" s="228"/>
      <c r="T120" s="31"/>
      <c r="U120" s="228"/>
      <c r="V120" s="228"/>
      <c r="W120" s="228"/>
      <c r="X120" s="228"/>
      <c r="Y120" s="228"/>
      <c r="Z120" s="228"/>
      <c r="AA120" s="228"/>
      <c r="AB120" s="228"/>
      <c r="AC120" s="228"/>
      <c r="AD120" s="228"/>
      <c r="AE120" s="228"/>
      <c r="AF120" s="228"/>
      <c r="AG120" s="228"/>
      <c r="AH120" s="228"/>
      <c r="AI120" s="228"/>
      <c r="AJ120" s="228"/>
    </row>
    <row r="121" spans="3:36" s="47" customFormat="1" x14ac:dyDescent="0.2">
      <c r="C121" s="228"/>
      <c r="D121" s="231"/>
      <c r="E121" s="231"/>
      <c r="F121" s="231"/>
      <c r="G121" s="254"/>
      <c r="H121" s="254"/>
      <c r="I121" s="254"/>
      <c r="J121" s="254"/>
      <c r="K121" s="254"/>
      <c r="L121" s="254"/>
      <c r="M121" s="254"/>
      <c r="N121" s="254"/>
      <c r="O121" s="228"/>
      <c r="T121" s="31"/>
      <c r="U121" s="228"/>
      <c r="V121" s="228"/>
      <c r="W121" s="228"/>
      <c r="X121" s="228"/>
      <c r="Y121" s="228"/>
      <c r="Z121" s="228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</row>
    <row r="122" spans="3:36" s="47" customFormat="1" x14ac:dyDescent="0.2">
      <c r="C122" s="228"/>
      <c r="D122" s="231"/>
      <c r="E122" s="231"/>
      <c r="F122" s="231"/>
      <c r="G122" s="254"/>
      <c r="H122" s="254"/>
      <c r="I122" s="254"/>
      <c r="J122" s="254"/>
      <c r="K122" s="254"/>
      <c r="L122" s="254"/>
      <c r="M122" s="254"/>
      <c r="N122" s="254"/>
      <c r="O122" s="228"/>
      <c r="T122" s="31"/>
      <c r="U122" s="228"/>
      <c r="V122" s="228"/>
      <c r="W122" s="228"/>
      <c r="X122" s="228"/>
      <c r="Y122" s="228"/>
      <c r="Z122" s="228"/>
      <c r="AA122" s="228"/>
      <c r="AB122" s="228"/>
      <c r="AC122" s="228"/>
      <c r="AD122" s="228"/>
      <c r="AE122" s="228"/>
      <c r="AF122" s="228"/>
      <c r="AG122" s="228"/>
      <c r="AH122" s="228"/>
      <c r="AI122" s="228"/>
      <c r="AJ122" s="228"/>
    </row>
    <row r="123" spans="3:36" s="47" customFormat="1" x14ac:dyDescent="0.2">
      <c r="C123" s="228"/>
      <c r="D123" s="231"/>
      <c r="E123" s="231"/>
      <c r="F123" s="231"/>
      <c r="G123" s="254"/>
      <c r="H123" s="254"/>
      <c r="I123" s="254"/>
      <c r="J123" s="254"/>
      <c r="K123" s="254"/>
      <c r="L123" s="254"/>
      <c r="M123" s="254"/>
      <c r="N123" s="254"/>
      <c r="O123" s="228"/>
      <c r="T123" s="31"/>
      <c r="U123" s="228"/>
      <c r="V123" s="228"/>
      <c r="W123" s="228"/>
      <c r="X123" s="228"/>
      <c r="Y123" s="228"/>
      <c r="Z123" s="228"/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</row>
    <row r="124" spans="3:36" s="47" customFormat="1" x14ac:dyDescent="0.2">
      <c r="C124" s="228"/>
      <c r="D124" s="231"/>
      <c r="E124" s="231"/>
      <c r="F124" s="231"/>
      <c r="G124" s="254"/>
      <c r="H124" s="254"/>
      <c r="I124" s="254"/>
      <c r="J124" s="254"/>
      <c r="K124" s="254"/>
      <c r="L124" s="254"/>
      <c r="M124" s="254"/>
      <c r="N124" s="254"/>
      <c r="O124" s="228"/>
      <c r="T124" s="31"/>
      <c r="U124" s="228"/>
      <c r="V124" s="228"/>
      <c r="W124" s="228"/>
      <c r="X124" s="228"/>
      <c r="Y124" s="228"/>
      <c r="Z124" s="228"/>
      <c r="AA124" s="228"/>
      <c r="AB124" s="228"/>
      <c r="AC124" s="228"/>
      <c r="AD124" s="228"/>
      <c r="AE124" s="228"/>
      <c r="AF124" s="228"/>
      <c r="AG124" s="228"/>
      <c r="AH124" s="228"/>
      <c r="AI124" s="228"/>
      <c r="AJ124" s="228"/>
    </row>
    <row r="125" spans="3:36" s="47" customFormat="1" x14ac:dyDescent="0.2">
      <c r="C125" s="228"/>
      <c r="D125" s="231"/>
      <c r="E125" s="231"/>
      <c r="F125" s="231"/>
      <c r="G125" s="254"/>
      <c r="H125" s="254"/>
      <c r="I125" s="254"/>
      <c r="J125" s="254"/>
      <c r="K125" s="254"/>
      <c r="L125" s="254"/>
      <c r="M125" s="254"/>
      <c r="N125" s="254"/>
      <c r="O125" s="228"/>
      <c r="T125" s="31"/>
      <c r="U125" s="228"/>
      <c r="V125" s="228"/>
      <c r="W125" s="228"/>
      <c r="X125" s="228"/>
      <c r="Y125" s="228"/>
      <c r="Z125" s="228"/>
      <c r="AA125" s="228"/>
      <c r="AB125" s="228"/>
      <c r="AC125" s="228"/>
      <c r="AD125" s="228"/>
      <c r="AE125" s="228"/>
      <c r="AF125" s="228"/>
      <c r="AG125" s="228"/>
      <c r="AH125" s="228"/>
      <c r="AI125" s="228"/>
      <c r="AJ125" s="228"/>
    </row>
    <row r="126" spans="3:36" s="47" customFormat="1" x14ac:dyDescent="0.2">
      <c r="C126" s="228"/>
      <c r="D126" s="231"/>
      <c r="E126" s="231"/>
      <c r="F126" s="231"/>
      <c r="G126" s="254"/>
      <c r="H126" s="254"/>
      <c r="I126" s="254"/>
      <c r="J126" s="254"/>
      <c r="K126" s="254"/>
      <c r="L126" s="254"/>
      <c r="M126" s="254"/>
      <c r="N126" s="254"/>
      <c r="O126" s="228"/>
      <c r="T126" s="31"/>
      <c r="U126" s="228"/>
      <c r="V126" s="228"/>
      <c r="W126" s="228"/>
      <c r="X126" s="228"/>
      <c r="Y126" s="228"/>
      <c r="Z126" s="228"/>
      <c r="AA126" s="228"/>
      <c r="AB126" s="228"/>
      <c r="AC126" s="228"/>
      <c r="AD126" s="228"/>
      <c r="AE126" s="228"/>
      <c r="AF126" s="228"/>
      <c r="AG126" s="228"/>
      <c r="AH126" s="228"/>
      <c r="AI126" s="228"/>
      <c r="AJ126" s="228"/>
    </row>
    <row r="127" spans="3:36" s="47" customFormat="1" x14ac:dyDescent="0.2">
      <c r="C127" s="228"/>
      <c r="D127" s="231"/>
      <c r="E127" s="231"/>
      <c r="F127" s="231"/>
      <c r="G127" s="254"/>
      <c r="H127" s="254"/>
      <c r="I127" s="254"/>
      <c r="J127" s="254"/>
      <c r="K127" s="254"/>
      <c r="L127" s="254"/>
      <c r="M127" s="254"/>
      <c r="N127" s="254"/>
      <c r="O127" s="228"/>
      <c r="T127" s="31"/>
      <c r="U127" s="228"/>
      <c r="V127" s="228"/>
      <c r="W127" s="228"/>
      <c r="X127" s="228"/>
      <c r="Y127" s="228"/>
      <c r="Z127" s="228"/>
      <c r="AA127" s="228"/>
      <c r="AB127" s="228"/>
      <c r="AC127" s="228"/>
      <c r="AD127" s="228"/>
      <c r="AE127" s="228"/>
      <c r="AF127" s="228"/>
      <c r="AG127" s="228"/>
      <c r="AH127" s="228"/>
      <c r="AI127" s="228"/>
      <c r="AJ127" s="228"/>
    </row>
    <row r="128" spans="3:36" s="47" customFormat="1" x14ac:dyDescent="0.2">
      <c r="C128" s="228"/>
      <c r="D128" s="231"/>
      <c r="E128" s="231"/>
      <c r="F128" s="231"/>
      <c r="G128" s="254"/>
      <c r="H128" s="254"/>
      <c r="I128" s="254"/>
      <c r="J128" s="254"/>
      <c r="K128" s="254"/>
      <c r="L128" s="254"/>
      <c r="M128" s="254"/>
      <c r="N128" s="254"/>
      <c r="O128" s="228"/>
      <c r="T128" s="31"/>
      <c r="U128" s="228"/>
      <c r="V128" s="228"/>
      <c r="W128" s="228"/>
      <c r="X128" s="228"/>
      <c r="Y128" s="228"/>
      <c r="Z128" s="228"/>
      <c r="AA128" s="228"/>
      <c r="AB128" s="228"/>
      <c r="AC128" s="228"/>
      <c r="AD128" s="228"/>
      <c r="AE128" s="228"/>
      <c r="AF128" s="228"/>
      <c r="AG128" s="228"/>
      <c r="AH128" s="228"/>
      <c r="AI128" s="228"/>
      <c r="AJ128" s="228"/>
    </row>
    <row r="129" spans="3:36" s="47" customFormat="1" x14ac:dyDescent="0.2">
      <c r="C129" s="228"/>
      <c r="D129" s="231"/>
      <c r="E129" s="231"/>
      <c r="F129" s="231"/>
      <c r="G129" s="254"/>
      <c r="H129" s="254"/>
      <c r="I129" s="254"/>
      <c r="J129" s="254"/>
      <c r="K129" s="254"/>
      <c r="L129" s="254"/>
      <c r="M129" s="254"/>
      <c r="N129" s="254"/>
      <c r="O129" s="228"/>
      <c r="T129" s="31"/>
      <c r="U129" s="228"/>
      <c r="V129" s="228"/>
      <c r="W129" s="228"/>
      <c r="X129" s="228"/>
      <c r="Y129" s="228"/>
      <c r="Z129" s="228"/>
      <c r="AA129" s="228"/>
      <c r="AB129" s="228"/>
      <c r="AC129" s="228"/>
      <c r="AD129" s="228"/>
      <c r="AE129" s="228"/>
      <c r="AF129" s="228"/>
      <c r="AG129" s="228"/>
      <c r="AH129" s="228"/>
      <c r="AI129" s="228"/>
      <c r="AJ129" s="228"/>
    </row>
    <row r="130" spans="3:36" s="47" customFormat="1" x14ac:dyDescent="0.2">
      <c r="C130" s="228"/>
      <c r="D130" s="231"/>
      <c r="E130" s="231"/>
      <c r="F130" s="231"/>
      <c r="G130" s="254"/>
      <c r="H130" s="254"/>
      <c r="I130" s="254"/>
      <c r="J130" s="254"/>
      <c r="K130" s="254"/>
      <c r="L130" s="254"/>
      <c r="M130" s="254"/>
      <c r="N130" s="254"/>
      <c r="O130" s="228"/>
      <c r="T130" s="31"/>
      <c r="U130" s="228"/>
      <c r="V130" s="228"/>
      <c r="W130" s="228"/>
      <c r="X130" s="228"/>
      <c r="Y130" s="228"/>
      <c r="Z130" s="228"/>
      <c r="AA130" s="228"/>
      <c r="AB130" s="228"/>
      <c r="AC130" s="228"/>
      <c r="AD130" s="228"/>
      <c r="AE130" s="228"/>
      <c r="AF130" s="228"/>
      <c r="AG130" s="228"/>
      <c r="AH130" s="228"/>
      <c r="AI130" s="228"/>
      <c r="AJ130" s="228"/>
    </row>
    <row r="131" spans="3:36" s="47" customFormat="1" x14ac:dyDescent="0.2">
      <c r="C131" s="228"/>
      <c r="D131" s="231"/>
      <c r="E131" s="231"/>
      <c r="F131" s="231"/>
      <c r="G131" s="254"/>
      <c r="H131" s="254"/>
      <c r="I131" s="254"/>
      <c r="J131" s="254"/>
      <c r="K131" s="254"/>
      <c r="L131" s="254"/>
      <c r="M131" s="254"/>
      <c r="N131" s="254"/>
      <c r="O131" s="228"/>
      <c r="T131" s="31"/>
      <c r="U131" s="228"/>
      <c r="V131" s="228"/>
      <c r="W131" s="228"/>
      <c r="X131" s="228"/>
      <c r="Y131" s="228"/>
      <c r="Z131" s="228"/>
      <c r="AA131" s="228"/>
      <c r="AB131" s="228"/>
      <c r="AC131" s="228"/>
      <c r="AD131" s="228"/>
      <c r="AE131" s="228"/>
      <c r="AF131" s="228"/>
      <c r="AG131" s="228"/>
      <c r="AH131" s="228"/>
      <c r="AI131" s="228"/>
      <c r="AJ131" s="228"/>
    </row>
    <row r="132" spans="3:36" s="47" customFormat="1" x14ac:dyDescent="0.2">
      <c r="C132" s="228"/>
      <c r="D132" s="231"/>
      <c r="E132" s="231"/>
      <c r="F132" s="231"/>
      <c r="G132" s="254"/>
      <c r="H132" s="254"/>
      <c r="I132" s="254"/>
      <c r="J132" s="254"/>
      <c r="K132" s="254"/>
      <c r="L132" s="254"/>
      <c r="M132" s="254"/>
      <c r="N132" s="254"/>
      <c r="O132" s="228"/>
      <c r="T132" s="31"/>
      <c r="U132" s="228"/>
      <c r="V132" s="228"/>
      <c r="W132" s="228"/>
      <c r="X132" s="228"/>
      <c r="Y132" s="228"/>
      <c r="Z132" s="228"/>
      <c r="AA132" s="228"/>
      <c r="AB132" s="228"/>
      <c r="AC132" s="228"/>
      <c r="AD132" s="228"/>
      <c r="AE132" s="228"/>
      <c r="AF132" s="228"/>
      <c r="AG132" s="228"/>
      <c r="AH132" s="228"/>
      <c r="AI132" s="228"/>
      <c r="AJ132" s="228"/>
    </row>
    <row r="133" spans="3:36" s="47" customFormat="1" x14ac:dyDescent="0.2">
      <c r="C133" s="228"/>
      <c r="D133" s="231"/>
      <c r="E133" s="231"/>
      <c r="F133" s="231"/>
      <c r="G133" s="254"/>
      <c r="H133" s="254"/>
      <c r="I133" s="254"/>
      <c r="J133" s="254"/>
      <c r="K133" s="254"/>
      <c r="L133" s="254"/>
      <c r="M133" s="254"/>
      <c r="N133" s="254"/>
      <c r="O133" s="228"/>
      <c r="T133" s="31"/>
      <c r="U133" s="228"/>
      <c r="V133" s="228"/>
      <c r="W133" s="228"/>
      <c r="X133" s="228"/>
      <c r="Y133" s="228"/>
      <c r="Z133" s="228"/>
      <c r="AA133" s="228"/>
      <c r="AB133" s="228"/>
      <c r="AC133" s="228"/>
      <c r="AD133" s="228"/>
      <c r="AE133" s="228"/>
      <c r="AF133" s="228"/>
      <c r="AG133" s="228"/>
      <c r="AH133" s="228"/>
      <c r="AI133" s="228"/>
      <c r="AJ133" s="228"/>
    </row>
    <row r="134" spans="3:36" s="47" customFormat="1" x14ac:dyDescent="0.2">
      <c r="C134" s="228"/>
      <c r="D134" s="231"/>
      <c r="E134" s="231"/>
      <c r="F134" s="231"/>
      <c r="G134" s="254"/>
      <c r="H134" s="254"/>
      <c r="I134" s="254"/>
      <c r="J134" s="254"/>
      <c r="K134" s="254"/>
      <c r="L134" s="254"/>
      <c r="M134" s="254"/>
      <c r="N134" s="254"/>
      <c r="O134" s="228"/>
      <c r="T134" s="31"/>
      <c r="U134" s="228"/>
      <c r="V134" s="228"/>
      <c r="W134" s="228"/>
      <c r="X134" s="228"/>
      <c r="Y134" s="228"/>
      <c r="Z134" s="228"/>
      <c r="AA134" s="228"/>
      <c r="AB134" s="228"/>
      <c r="AC134" s="228"/>
      <c r="AD134" s="228"/>
      <c r="AE134" s="228"/>
      <c r="AF134" s="228"/>
      <c r="AG134" s="228"/>
      <c r="AH134" s="228"/>
      <c r="AI134" s="228"/>
      <c r="AJ134" s="228"/>
    </row>
    <row r="135" spans="3:36" s="47" customFormat="1" x14ac:dyDescent="0.2">
      <c r="C135" s="228"/>
      <c r="D135" s="231"/>
      <c r="E135" s="231"/>
      <c r="F135" s="231"/>
      <c r="G135" s="254"/>
      <c r="H135" s="254"/>
      <c r="I135" s="254"/>
      <c r="J135" s="254"/>
      <c r="K135" s="254"/>
      <c r="L135" s="254"/>
      <c r="M135" s="254"/>
      <c r="N135" s="254"/>
      <c r="O135" s="228"/>
      <c r="T135" s="31"/>
      <c r="U135" s="228"/>
      <c r="V135" s="228"/>
      <c r="W135" s="228"/>
      <c r="X135" s="228"/>
      <c r="Y135" s="228"/>
      <c r="Z135" s="228"/>
      <c r="AA135" s="228"/>
      <c r="AB135" s="228"/>
      <c r="AC135" s="228"/>
      <c r="AD135" s="228"/>
      <c r="AE135" s="228"/>
      <c r="AF135" s="228"/>
      <c r="AG135" s="228"/>
      <c r="AH135" s="228"/>
      <c r="AI135" s="228"/>
      <c r="AJ135" s="228"/>
    </row>
    <row r="136" spans="3:36" s="47" customFormat="1" x14ac:dyDescent="0.2">
      <c r="C136" s="228"/>
      <c r="D136" s="231"/>
      <c r="E136" s="231"/>
      <c r="F136" s="231"/>
      <c r="G136" s="254"/>
      <c r="H136" s="254"/>
      <c r="I136" s="254"/>
      <c r="J136" s="254"/>
      <c r="K136" s="254"/>
      <c r="L136" s="254"/>
      <c r="M136" s="254"/>
      <c r="N136" s="254"/>
      <c r="O136" s="228"/>
      <c r="T136" s="31"/>
      <c r="U136" s="228"/>
      <c r="V136" s="228"/>
      <c r="W136" s="228"/>
      <c r="X136" s="228"/>
      <c r="Y136" s="228"/>
      <c r="Z136" s="228"/>
      <c r="AA136" s="228"/>
      <c r="AB136" s="228"/>
      <c r="AC136" s="228"/>
      <c r="AD136" s="228"/>
      <c r="AE136" s="228"/>
      <c r="AF136" s="228"/>
      <c r="AG136" s="228"/>
      <c r="AH136" s="228"/>
      <c r="AI136" s="228"/>
      <c r="AJ136" s="228"/>
    </row>
    <row r="137" spans="3:36" s="47" customFormat="1" x14ac:dyDescent="0.2">
      <c r="C137" s="228"/>
      <c r="D137" s="231"/>
      <c r="E137" s="231"/>
      <c r="F137" s="231"/>
      <c r="G137" s="254"/>
      <c r="H137" s="254"/>
      <c r="I137" s="254"/>
      <c r="J137" s="254"/>
      <c r="K137" s="254"/>
      <c r="L137" s="254"/>
      <c r="M137" s="254"/>
      <c r="N137" s="254"/>
      <c r="O137" s="228"/>
      <c r="T137" s="31"/>
      <c r="U137" s="228"/>
      <c r="V137" s="228"/>
      <c r="W137" s="228"/>
      <c r="X137" s="228"/>
      <c r="Y137" s="228"/>
      <c r="Z137" s="228"/>
      <c r="AA137" s="228"/>
      <c r="AB137" s="228"/>
      <c r="AC137" s="228"/>
      <c r="AD137" s="228"/>
      <c r="AE137" s="228"/>
      <c r="AF137" s="228"/>
      <c r="AG137" s="228"/>
      <c r="AH137" s="228"/>
      <c r="AI137" s="228"/>
      <c r="AJ137" s="228"/>
    </row>
    <row r="138" spans="3:36" s="47" customFormat="1" x14ac:dyDescent="0.2">
      <c r="C138" s="228"/>
      <c r="D138" s="231"/>
      <c r="E138" s="231"/>
      <c r="F138" s="231"/>
      <c r="G138" s="254"/>
      <c r="H138" s="254"/>
      <c r="I138" s="254"/>
      <c r="J138" s="254"/>
      <c r="K138" s="254"/>
      <c r="L138" s="254"/>
      <c r="M138" s="254"/>
      <c r="N138" s="254"/>
      <c r="O138" s="228"/>
      <c r="T138" s="31"/>
      <c r="U138" s="228"/>
      <c r="V138" s="228"/>
      <c r="W138" s="228"/>
      <c r="X138" s="228"/>
      <c r="Y138" s="228"/>
      <c r="Z138" s="228"/>
      <c r="AA138" s="228"/>
      <c r="AB138" s="228"/>
      <c r="AC138" s="228"/>
      <c r="AD138" s="228"/>
      <c r="AE138" s="228"/>
      <c r="AF138" s="228"/>
      <c r="AG138" s="228"/>
      <c r="AH138" s="228"/>
      <c r="AI138" s="228"/>
      <c r="AJ138" s="228"/>
    </row>
    <row r="139" spans="3:36" s="47" customFormat="1" x14ac:dyDescent="0.2">
      <c r="C139" s="228"/>
      <c r="D139" s="231"/>
      <c r="E139" s="231"/>
      <c r="F139" s="231"/>
      <c r="G139" s="254"/>
      <c r="H139" s="254"/>
      <c r="I139" s="254"/>
      <c r="J139" s="254"/>
      <c r="K139" s="254"/>
      <c r="L139" s="254"/>
      <c r="M139" s="254"/>
      <c r="N139" s="254"/>
      <c r="O139" s="228"/>
      <c r="T139" s="31"/>
      <c r="U139" s="228"/>
      <c r="V139" s="228"/>
      <c r="W139" s="228"/>
      <c r="X139" s="228"/>
      <c r="Y139" s="228"/>
      <c r="Z139" s="228"/>
      <c r="AA139" s="228"/>
      <c r="AB139" s="228"/>
      <c r="AC139" s="228"/>
      <c r="AD139" s="228"/>
      <c r="AE139" s="228"/>
      <c r="AF139" s="228"/>
      <c r="AG139" s="228"/>
      <c r="AH139" s="228"/>
      <c r="AI139" s="228"/>
      <c r="AJ139" s="228"/>
    </row>
    <row r="140" spans="3:36" s="47" customFormat="1" x14ac:dyDescent="0.2">
      <c r="C140" s="228"/>
      <c r="D140" s="231"/>
      <c r="E140" s="231"/>
      <c r="F140" s="231"/>
      <c r="G140" s="254"/>
      <c r="H140" s="254"/>
      <c r="I140" s="254"/>
      <c r="J140" s="254"/>
      <c r="K140" s="254"/>
      <c r="L140" s="254"/>
      <c r="M140" s="254"/>
      <c r="N140" s="254"/>
      <c r="O140" s="228"/>
      <c r="T140" s="31"/>
      <c r="U140" s="228"/>
      <c r="V140" s="228"/>
      <c r="W140" s="228"/>
      <c r="X140" s="228"/>
      <c r="Y140" s="228"/>
      <c r="Z140" s="228"/>
      <c r="AA140" s="228"/>
      <c r="AB140" s="228"/>
      <c r="AC140" s="228"/>
      <c r="AD140" s="228"/>
      <c r="AE140" s="228"/>
      <c r="AF140" s="228"/>
      <c r="AG140" s="228"/>
      <c r="AH140" s="228"/>
      <c r="AI140" s="228"/>
      <c r="AJ140" s="228"/>
    </row>
    <row r="141" spans="3:36" s="47" customFormat="1" x14ac:dyDescent="0.2">
      <c r="C141" s="228"/>
      <c r="D141" s="231"/>
      <c r="E141" s="231"/>
      <c r="F141" s="231"/>
      <c r="G141" s="254"/>
      <c r="H141" s="254"/>
      <c r="I141" s="254"/>
      <c r="J141" s="254"/>
      <c r="K141" s="254"/>
      <c r="L141" s="254"/>
      <c r="M141" s="254"/>
      <c r="N141" s="254"/>
      <c r="O141" s="228"/>
      <c r="T141" s="31"/>
      <c r="U141" s="228"/>
      <c r="V141" s="228"/>
      <c r="W141" s="228"/>
      <c r="X141" s="228"/>
      <c r="Y141" s="228"/>
      <c r="Z141" s="228"/>
      <c r="AA141" s="228"/>
      <c r="AB141" s="228"/>
      <c r="AC141" s="228"/>
      <c r="AD141" s="228"/>
      <c r="AE141" s="228"/>
      <c r="AF141" s="228"/>
      <c r="AG141" s="228"/>
      <c r="AH141" s="228"/>
      <c r="AI141" s="228"/>
      <c r="AJ141" s="228"/>
    </row>
    <row r="142" spans="3:36" s="47" customFormat="1" x14ac:dyDescent="0.2">
      <c r="C142" s="228"/>
      <c r="D142" s="231"/>
      <c r="E142" s="231"/>
      <c r="F142" s="231"/>
      <c r="G142" s="254"/>
      <c r="H142" s="254"/>
      <c r="I142" s="254"/>
      <c r="J142" s="254"/>
      <c r="K142" s="254"/>
      <c r="L142" s="254"/>
      <c r="M142" s="254"/>
      <c r="N142" s="254"/>
      <c r="O142" s="228"/>
      <c r="T142" s="31"/>
      <c r="U142" s="228"/>
      <c r="V142" s="228"/>
      <c r="W142" s="228"/>
      <c r="X142" s="228"/>
      <c r="Y142" s="228"/>
      <c r="Z142" s="22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</row>
    <row r="143" spans="3:36" s="47" customFormat="1" x14ac:dyDescent="0.2">
      <c r="C143" s="228"/>
      <c r="D143" s="231"/>
      <c r="E143" s="231"/>
      <c r="F143" s="231"/>
      <c r="G143" s="254"/>
      <c r="H143" s="254"/>
      <c r="I143" s="254"/>
      <c r="J143" s="254"/>
      <c r="K143" s="254"/>
      <c r="L143" s="254"/>
      <c r="M143" s="254"/>
      <c r="N143" s="254"/>
      <c r="O143" s="228"/>
      <c r="T143" s="31"/>
      <c r="U143" s="228"/>
      <c r="V143" s="228"/>
      <c r="W143" s="228"/>
      <c r="X143" s="228"/>
      <c r="Y143" s="228"/>
      <c r="Z143" s="228"/>
      <c r="AA143" s="228"/>
      <c r="AB143" s="228"/>
      <c r="AC143" s="228"/>
      <c r="AD143" s="228"/>
      <c r="AE143" s="228"/>
      <c r="AF143" s="228"/>
      <c r="AG143" s="228"/>
      <c r="AH143" s="228"/>
      <c r="AI143" s="228"/>
      <c r="AJ143" s="228"/>
    </row>
    <row r="144" spans="3:36" s="47" customFormat="1" x14ac:dyDescent="0.2">
      <c r="C144" s="228"/>
      <c r="D144" s="231"/>
      <c r="E144" s="231"/>
      <c r="F144" s="231"/>
      <c r="G144" s="254"/>
      <c r="H144" s="254"/>
      <c r="I144" s="254"/>
      <c r="J144" s="254"/>
      <c r="K144" s="254"/>
      <c r="L144" s="254"/>
      <c r="M144" s="254"/>
      <c r="N144" s="254"/>
      <c r="O144" s="228"/>
      <c r="T144" s="31"/>
      <c r="U144" s="228"/>
      <c r="V144" s="228"/>
      <c r="W144" s="228"/>
      <c r="X144" s="228"/>
      <c r="Y144" s="228"/>
      <c r="Z144" s="228"/>
      <c r="AA144" s="228"/>
      <c r="AB144" s="228"/>
      <c r="AC144" s="228"/>
      <c r="AD144" s="228"/>
      <c r="AE144" s="228"/>
      <c r="AF144" s="228"/>
      <c r="AG144" s="228"/>
      <c r="AH144" s="228"/>
      <c r="AI144" s="228"/>
      <c r="AJ144" s="228"/>
    </row>
    <row r="145" spans="3:36" s="47" customFormat="1" x14ac:dyDescent="0.2">
      <c r="C145" s="228"/>
      <c r="D145" s="231"/>
      <c r="E145" s="231"/>
      <c r="F145" s="231"/>
      <c r="G145" s="254"/>
      <c r="H145" s="254"/>
      <c r="I145" s="254"/>
      <c r="J145" s="254"/>
      <c r="K145" s="254"/>
      <c r="L145" s="254"/>
      <c r="M145" s="254"/>
      <c r="N145" s="254"/>
      <c r="O145" s="228"/>
      <c r="T145" s="31"/>
      <c r="U145" s="228"/>
      <c r="V145" s="228"/>
      <c r="W145" s="228"/>
      <c r="X145" s="228"/>
      <c r="Y145" s="228"/>
      <c r="Z145" s="228"/>
      <c r="AA145" s="228"/>
      <c r="AB145" s="228"/>
      <c r="AC145" s="228"/>
      <c r="AD145" s="228"/>
      <c r="AE145" s="228"/>
      <c r="AF145" s="228"/>
      <c r="AG145" s="228"/>
      <c r="AH145" s="228"/>
      <c r="AI145" s="228"/>
      <c r="AJ145" s="228"/>
    </row>
    <row r="146" spans="3:36" s="47" customFormat="1" x14ac:dyDescent="0.2">
      <c r="C146" s="228"/>
      <c r="D146" s="231"/>
      <c r="E146" s="231"/>
      <c r="F146" s="231"/>
      <c r="G146" s="254"/>
      <c r="H146" s="254"/>
      <c r="I146" s="254"/>
      <c r="J146" s="254"/>
      <c r="K146" s="254"/>
      <c r="L146" s="254"/>
      <c r="M146" s="254"/>
      <c r="N146" s="254"/>
      <c r="O146" s="228"/>
      <c r="T146" s="31"/>
      <c r="U146" s="228"/>
      <c r="V146" s="228"/>
      <c r="W146" s="228"/>
      <c r="X146" s="228"/>
      <c r="Y146" s="228"/>
      <c r="Z146" s="228"/>
      <c r="AA146" s="228"/>
      <c r="AB146" s="228"/>
      <c r="AC146" s="228"/>
      <c r="AD146" s="228"/>
      <c r="AE146" s="228"/>
      <c r="AF146" s="228"/>
      <c r="AG146" s="228"/>
      <c r="AH146" s="228"/>
      <c r="AI146" s="228"/>
      <c r="AJ146" s="228"/>
    </row>
    <row r="147" spans="3:36" s="47" customFormat="1" x14ac:dyDescent="0.2">
      <c r="C147" s="228"/>
      <c r="D147" s="231"/>
      <c r="E147" s="231"/>
      <c r="F147" s="231"/>
      <c r="G147" s="254"/>
      <c r="H147" s="254"/>
      <c r="I147" s="254"/>
      <c r="J147" s="254"/>
      <c r="K147" s="254"/>
      <c r="L147" s="254"/>
      <c r="M147" s="254"/>
      <c r="N147" s="254"/>
      <c r="O147" s="228"/>
      <c r="T147" s="31"/>
      <c r="U147" s="228"/>
      <c r="V147" s="228"/>
      <c r="W147" s="228"/>
      <c r="X147" s="228"/>
      <c r="Y147" s="228"/>
      <c r="Z147" s="228"/>
      <c r="AA147" s="228"/>
      <c r="AB147" s="228"/>
      <c r="AC147" s="228"/>
      <c r="AD147" s="228"/>
      <c r="AE147" s="228"/>
      <c r="AF147" s="228"/>
      <c r="AG147" s="228"/>
      <c r="AH147" s="228"/>
      <c r="AI147" s="228"/>
      <c r="AJ147" s="228"/>
    </row>
    <row r="148" spans="3:36" s="47" customFormat="1" x14ac:dyDescent="0.2">
      <c r="C148" s="228"/>
      <c r="D148" s="231"/>
      <c r="E148" s="231"/>
      <c r="F148" s="231"/>
      <c r="G148" s="254"/>
      <c r="H148" s="254"/>
      <c r="I148" s="254"/>
      <c r="J148" s="254"/>
      <c r="K148" s="254"/>
      <c r="L148" s="254"/>
      <c r="M148" s="254"/>
      <c r="N148" s="254"/>
      <c r="O148" s="228"/>
      <c r="T148" s="31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</row>
    <row r="149" spans="3:36" s="47" customFormat="1" x14ac:dyDescent="0.2">
      <c r="C149" s="228"/>
      <c r="D149" s="231"/>
      <c r="E149" s="231"/>
      <c r="F149" s="231"/>
      <c r="G149" s="254"/>
      <c r="H149" s="254"/>
      <c r="I149" s="254"/>
      <c r="J149" s="254"/>
      <c r="K149" s="254"/>
      <c r="L149" s="254"/>
      <c r="M149" s="254"/>
      <c r="N149" s="254"/>
      <c r="O149" s="228"/>
      <c r="T149" s="31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</row>
    <row r="150" spans="3:36" s="47" customFormat="1" x14ac:dyDescent="0.2">
      <c r="C150" s="228"/>
      <c r="D150" s="231"/>
      <c r="E150" s="231"/>
      <c r="F150" s="231"/>
      <c r="G150" s="254"/>
      <c r="H150" s="254"/>
      <c r="I150" s="254"/>
      <c r="J150" s="254"/>
      <c r="K150" s="254"/>
      <c r="L150" s="254"/>
      <c r="M150" s="254"/>
      <c r="N150" s="254"/>
      <c r="O150" s="228"/>
      <c r="T150" s="31"/>
      <c r="U150" s="228"/>
      <c r="V150" s="228"/>
      <c r="W150" s="228"/>
      <c r="X150" s="228"/>
      <c r="Y150" s="228"/>
      <c r="Z150" s="228"/>
      <c r="AA150" s="228"/>
      <c r="AB150" s="228"/>
      <c r="AC150" s="228"/>
      <c r="AD150" s="228"/>
      <c r="AE150" s="228"/>
      <c r="AF150" s="228"/>
      <c r="AG150" s="228"/>
      <c r="AH150" s="228"/>
      <c r="AI150" s="228"/>
      <c r="AJ150" s="228"/>
    </row>
    <row r="151" spans="3:36" s="47" customFormat="1" x14ac:dyDescent="0.2">
      <c r="C151" s="228"/>
      <c r="D151" s="231"/>
      <c r="E151" s="231"/>
      <c r="F151" s="231"/>
      <c r="G151" s="254"/>
      <c r="H151" s="254"/>
      <c r="I151" s="254"/>
      <c r="J151" s="254"/>
      <c r="K151" s="254"/>
      <c r="L151" s="254"/>
      <c r="M151" s="254"/>
      <c r="N151" s="254"/>
      <c r="O151" s="228"/>
      <c r="T151" s="31"/>
      <c r="U151" s="228"/>
      <c r="V151" s="228"/>
      <c r="W151" s="228"/>
      <c r="X151" s="228"/>
      <c r="Y151" s="228"/>
      <c r="Z151" s="228"/>
      <c r="AA151" s="228"/>
      <c r="AB151" s="228"/>
      <c r="AC151" s="228"/>
      <c r="AD151" s="228"/>
      <c r="AE151" s="228"/>
      <c r="AF151" s="228"/>
      <c r="AG151" s="228"/>
      <c r="AH151" s="228"/>
      <c r="AI151" s="228"/>
      <c r="AJ151" s="228"/>
    </row>
    <row r="152" spans="3:36" s="47" customFormat="1" x14ac:dyDescent="0.2">
      <c r="C152" s="228"/>
      <c r="D152" s="231"/>
      <c r="E152" s="231"/>
      <c r="F152" s="231"/>
      <c r="G152" s="254"/>
      <c r="H152" s="254"/>
      <c r="I152" s="254"/>
      <c r="J152" s="254"/>
      <c r="K152" s="254"/>
      <c r="L152" s="254"/>
      <c r="M152" s="254"/>
      <c r="N152" s="254"/>
      <c r="O152" s="228"/>
      <c r="T152" s="31"/>
      <c r="U152" s="228"/>
      <c r="V152" s="228"/>
      <c r="W152" s="228"/>
      <c r="X152" s="228"/>
      <c r="Y152" s="228"/>
      <c r="Z152" s="228"/>
      <c r="AA152" s="228"/>
      <c r="AB152" s="228"/>
      <c r="AC152" s="228"/>
      <c r="AD152" s="228"/>
      <c r="AE152" s="228"/>
      <c r="AF152" s="228"/>
      <c r="AG152" s="228"/>
      <c r="AH152" s="228"/>
      <c r="AI152" s="228"/>
      <c r="AJ152" s="228"/>
    </row>
    <row r="153" spans="3:36" s="47" customFormat="1" x14ac:dyDescent="0.2">
      <c r="C153" s="228"/>
      <c r="D153" s="231"/>
      <c r="E153" s="231"/>
      <c r="F153" s="231"/>
      <c r="G153" s="254"/>
      <c r="H153" s="254"/>
      <c r="I153" s="254"/>
      <c r="J153" s="254"/>
      <c r="K153" s="254"/>
      <c r="L153" s="254"/>
      <c r="M153" s="254"/>
      <c r="N153" s="254"/>
      <c r="O153" s="228"/>
      <c r="T153" s="31"/>
      <c r="U153" s="228"/>
      <c r="V153" s="228"/>
      <c r="W153" s="228"/>
      <c r="X153" s="228"/>
      <c r="Y153" s="228"/>
      <c r="Z153" s="228"/>
      <c r="AA153" s="228"/>
      <c r="AB153" s="228"/>
      <c r="AC153" s="228"/>
      <c r="AD153" s="228"/>
      <c r="AE153" s="228"/>
      <c r="AF153" s="228"/>
      <c r="AG153" s="228"/>
      <c r="AH153" s="228"/>
      <c r="AI153" s="228"/>
      <c r="AJ153" s="228"/>
    </row>
    <row r="154" spans="3:36" s="47" customFormat="1" x14ac:dyDescent="0.2">
      <c r="C154" s="228"/>
      <c r="D154" s="231"/>
      <c r="E154" s="231"/>
      <c r="F154" s="231"/>
      <c r="G154" s="254"/>
      <c r="H154" s="254"/>
      <c r="I154" s="254"/>
      <c r="J154" s="254"/>
      <c r="K154" s="254"/>
      <c r="L154" s="254"/>
      <c r="M154" s="254"/>
      <c r="N154" s="254"/>
      <c r="O154" s="228"/>
      <c r="T154" s="31"/>
      <c r="U154" s="228"/>
      <c r="V154" s="228"/>
      <c r="W154" s="228"/>
      <c r="X154" s="228"/>
      <c r="Y154" s="228"/>
      <c r="Z154" s="228"/>
      <c r="AA154" s="228"/>
      <c r="AB154" s="228"/>
      <c r="AC154" s="228"/>
      <c r="AD154" s="228"/>
      <c r="AE154" s="228"/>
      <c r="AF154" s="228"/>
      <c r="AG154" s="228"/>
      <c r="AH154" s="228"/>
      <c r="AI154" s="228"/>
      <c r="AJ154" s="228"/>
    </row>
    <row r="155" spans="3:36" s="47" customFormat="1" x14ac:dyDescent="0.2">
      <c r="C155" s="228"/>
      <c r="D155" s="231"/>
      <c r="E155" s="231"/>
      <c r="F155" s="231"/>
      <c r="G155" s="254"/>
      <c r="H155" s="254"/>
      <c r="I155" s="254"/>
      <c r="J155" s="254"/>
      <c r="K155" s="254"/>
      <c r="L155" s="254"/>
      <c r="M155" s="254"/>
      <c r="N155" s="254"/>
      <c r="O155" s="228"/>
      <c r="T155" s="31"/>
      <c r="U155" s="228"/>
      <c r="V155" s="228"/>
      <c r="W155" s="228"/>
      <c r="X155" s="228"/>
      <c r="Y155" s="228"/>
      <c r="Z155" s="22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</row>
    <row r="156" spans="3:36" s="47" customFormat="1" x14ac:dyDescent="0.2">
      <c r="C156" s="228"/>
      <c r="D156" s="231"/>
      <c r="E156" s="231"/>
      <c r="F156" s="231"/>
      <c r="G156" s="254"/>
      <c r="H156" s="254"/>
      <c r="I156" s="254"/>
      <c r="J156" s="254"/>
      <c r="K156" s="254"/>
      <c r="L156" s="254"/>
      <c r="M156" s="254"/>
      <c r="N156" s="254"/>
      <c r="O156" s="228"/>
      <c r="T156" s="31"/>
      <c r="U156" s="228"/>
      <c r="V156" s="228"/>
      <c r="W156" s="228"/>
      <c r="X156" s="228"/>
      <c r="Y156" s="228"/>
      <c r="Z156" s="228"/>
      <c r="AA156" s="228"/>
      <c r="AB156" s="228"/>
      <c r="AC156" s="228"/>
      <c r="AD156" s="228"/>
      <c r="AE156" s="228"/>
      <c r="AF156" s="228"/>
      <c r="AG156" s="228"/>
      <c r="AH156" s="228"/>
      <c r="AI156" s="228"/>
      <c r="AJ156" s="228"/>
    </row>
    <row r="157" spans="3:36" s="47" customFormat="1" x14ac:dyDescent="0.2">
      <c r="C157" s="228"/>
      <c r="D157" s="231"/>
      <c r="E157" s="231"/>
      <c r="F157" s="231"/>
      <c r="G157" s="254"/>
      <c r="H157" s="254"/>
      <c r="I157" s="254"/>
      <c r="J157" s="254"/>
      <c r="K157" s="254"/>
      <c r="L157" s="254"/>
      <c r="M157" s="254"/>
      <c r="N157" s="254"/>
      <c r="O157" s="228"/>
      <c r="T157" s="31"/>
      <c r="U157" s="228"/>
      <c r="V157" s="228"/>
      <c r="W157" s="228"/>
      <c r="X157" s="228"/>
      <c r="Y157" s="228"/>
      <c r="Z157" s="228"/>
      <c r="AA157" s="228"/>
      <c r="AB157" s="228"/>
      <c r="AC157" s="228"/>
      <c r="AD157" s="228"/>
      <c r="AE157" s="228"/>
      <c r="AF157" s="228"/>
      <c r="AG157" s="228"/>
      <c r="AH157" s="228"/>
      <c r="AI157" s="228"/>
      <c r="AJ157" s="228"/>
    </row>
    <row r="158" spans="3:36" s="47" customFormat="1" x14ac:dyDescent="0.2">
      <c r="C158" s="228"/>
      <c r="D158" s="231"/>
      <c r="E158" s="231"/>
      <c r="F158" s="231"/>
      <c r="G158" s="254"/>
      <c r="H158" s="254"/>
      <c r="I158" s="254"/>
      <c r="J158" s="254"/>
      <c r="K158" s="254"/>
      <c r="L158" s="254"/>
      <c r="M158" s="254"/>
      <c r="N158" s="254"/>
      <c r="O158" s="228"/>
      <c r="T158" s="31"/>
      <c r="U158" s="228"/>
      <c r="V158" s="228"/>
      <c r="W158" s="228"/>
      <c r="X158" s="228"/>
      <c r="Y158" s="228"/>
      <c r="Z158" s="228"/>
      <c r="AA158" s="228"/>
      <c r="AB158" s="228"/>
      <c r="AC158" s="228"/>
      <c r="AD158" s="228"/>
      <c r="AE158" s="228"/>
      <c r="AF158" s="228"/>
      <c r="AG158" s="228"/>
      <c r="AH158" s="228"/>
      <c r="AI158" s="228"/>
      <c r="AJ158" s="228"/>
    </row>
    <row r="159" spans="3:36" s="47" customFormat="1" x14ac:dyDescent="0.2">
      <c r="C159" s="228"/>
      <c r="D159" s="231"/>
      <c r="E159" s="231"/>
      <c r="F159" s="231"/>
      <c r="G159" s="254"/>
      <c r="H159" s="254"/>
      <c r="I159" s="254"/>
      <c r="J159" s="254"/>
      <c r="K159" s="254"/>
      <c r="L159" s="254"/>
      <c r="M159" s="254"/>
      <c r="N159" s="254"/>
      <c r="O159" s="228"/>
      <c r="T159" s="31"/>
      <c r="U159" s="228"/>
      <c r="V159" s="228"/>
      <c r="W159" s="228"/>
      <c r="X159" s="228"/>
      <c r="Y159" s="228"/>
      <c r="Z159" s="228"/>
      <c r="AA159" s="228"/>
      <c r="AB159" s="228"/>
      <c r="AC159" s="228"/>
      <c r="AD159" s="228"/>
      <c r="AE159" s="228"/>
      <c r="AF159" s="228"/>
      <c r="AG159" s="228"/>
      <c r="AH159" s="228"/>
      <c r="AI159" s="228"/>
      <c r="AJ159" s="228"/>
    </row>
    <row r="160" spans="3:36" s="47" customFormat="1" x14ac:dyDescent="0.2">
      <c r="C160" s="228"/>
      <c r="D160" s="231"/>
      <c r="E160" s="231"/>
      <c r="F160" s="231"/>
      <c r="G160" s="254"/>
      <c r="H160" s="254"/>
      <c r="I160" s="254"/>
      <c r="J160" s="254"/>
      <c r="K160" s="254"/>
      <c r="L160" s="254"/>
      <c r="M160" s="254"/>
      <c r="N160" s="254"/>
      <c r="O160" s="228"/>
      <c r="T160" s="31"/>
      <c r="U160" s="228"/>
      <c r="V160" s="228"/>
      <c r="W160" s="228"/>
      <c r="X160" s="228"/>
      <c r="Y160" s="228"/>
      <c r="Z160" s="228"/>
      <c r="AA160" s="228"/>
      <c r="AB160" s="228"/>
      <c r="AC160" s="228"/>
      <c r="AD160" s="228"/>
      <c r="AE160" s="228"/>
      <c r="AF160" s="228"/>
      <c r="AG160" s="228"/>
      <c r="AH160" s="228"/>
      <c r="AI160" s="228"/>
      <c r="AJ160" s="228"/>
    </row>
    <row r="161" spans="3:36" s="47" customFormat="1" x14ac:dyDescent="0.2">
      <c r="C161" s="228"/>
      <c r="D161" s="231"/>
      <c r="E161" s="231"/>
      <c r="F161" s="231"/>
      <c r="G161" s="254"/>
      <c r="H161" s="254"/>
      <c r="I161" s="254"/>
      <c r="J161" s="254"/>
      <c r="K161" s="254"/>
      <c r="L161" s="254"/>
      <c r="M161" s="254"/>
      <c r="N161" s="254"/>
      <c r="O161" s="228"/>
      <c r="T161" s="31"/>
      <c r="U161" s="228"/>
      <c r="V161" s="228"/>
      <c r="W161" s="228"/>
      <c r="X161" s="228"/>
      <c r="Y161" s="228"/>
      <c r="Z161" s="228"/>
      <c r="AA161" s="228"/>
      <c r="AB161" s="228"/>
      <c r="AC161" s="228"/>
      <c r="AD161" s="228"/>
      <c r="AE161" s="228"/>
      <c r="AF161" s="228"/>
      <c r="AG161" s="228"/>
      <c r="AH161" s="228"/>
      <c r="AI161" s="228"/>
      <c r="AJ161" s="228"/>
    </row>
    <row r="162" spans="3:36" s="47" customFormat="1" x14ac:dyDescent="0.2">
      <c r="C162" s="228"/>
      <c r="D162" s="231"/>
      <c r="E162" s="231"/>
      <c r="F162" s="231"/>
      <c r="G162" s="254"/>
      <c r="H162" s="254"/>
      <c r="I162" s="254"/>
      <c r="J162" s="254"/>
      <c r="K162" s="254"/>
      <c r="L162" s="254"/>
      <c r="M162" s="254"/>
      <c r="N162" s="254"/>
      <c r="O162" s="228"/>
      <c r="T162" s="31"/>
      <c r="U162" s="228"/>
      <c r="V162" s="228"/>
      <c r="W162" s="228"/>
      <c r="X162" s="228"/>
      <c r="Y162" s="228"/>
      <c r="Z162" s="228"/>
      <c r="AA162" s="228"/>
      <c r="AB162" s="228"/>
      <c r="AC162" s="228"/>
      <c r="AD162" s="228"/>
      <c r="AE162" s="228"/>
      <c r="AF162" s="228"/>
      <c r="AG162" s="228"/>
      <c r="AH162" s="228"/>
      <c r="AI162" s="228"/>
      <c r="AJ162" s="228"/>
    </row>
    <row r="163" spans="3:36" s="47" customFormat="1" x14ac:dyDescent="0.2">
      <c r="C163" s="228"/>
      <c r="D163" s="231"/>
      <c r="E163" s="231"/>
      <c r="F163" s="231"/>
      <c r="G163" s="254"/>
      <c r="H163" s="254"/>
      <c r="I163" s="254"/>
      <c r="J163" s="254"/>
      <c r="K163" s="254"/>
      <c r="L163" s="254"/>
      <c r="M163" s="254"/>
      <c r="N163" s="254"/>
      <c r="O163" s="228"/>
      <c r="T163" s="31"/>
      <c r="U163" s="228"/>
      <c r="V163" s="228"/>
      <c r="W163" s="228"/>
      <c r="X163" s="228"/>
      <c r="Y163" s="228"/>
      <c r="Z163" s="228"/>
      <c r="AA163" s="228"/>
      <c r="AB163" s="228"/>
      <c r="AC163" s="228"/>
      <c r="AD163" s="228"/>
      <c r="AE163" s="228"/>
      <c r="AF163" s="228"/>
      <c r="AG163" s="228"/>
      <c r="AH163" s="228"/>
      <c r="AI163" s="228"/>
      <c r="AJ163" s="228"/>
    </row>
    <row r="164" spans="3:36" s="47" customFormat="1" x14ac:dyDescent="0.2">
      <c r="C164" s="228"/>
      <c r="D164" s="231"/>
      <c r="E164" s="231"/>
      <c r="F164" s="231"/>
      <c r="G164" s="254"/>
      <c r="H164" s="254"/>
      <c r="I164" s="254"/>
      <c r="J164" s="254"/>
      <c r="K164" s="254"/>
      <c r="L164" s="254"/>
      <c r="M164" s="254"/>
      <c r="N164" s="254"/>
      <c r="O164" s="228"/>
      <c r="T164" s="31"/>
      <c r="U164" s="228"/>
      <c r="V164" s="228"/>
      <c r="W164" s="228"/>
      <c r="X164" s="228"/>
      <c r="Y164" s="228"/>
      <c r="Z164" s="228"/>
      <c r="AA164" s="228"/>
      <c r="AB164" s="228"/>
      <c r="AC164" s="228"/>
      <c r="AD164" s="228"/>
      <c r="AE164" s="228"/>
      <c r="AF164" s="228"/>
      <c r="AG164" s="228"/>
      <c r="AH164" s="228"/>
      <c r="AI164" s="228"/>
      <c r="AJ164" s="228"/>
    </row>
    <row r="165" spans="3:36" s="47" customFormat="1" x14ac:dyDescent="0.2">
      <c r="C165" s="228"/>
      <c r="D165" s="231"/>
      <c r="E165" s="231"/>
      <c r="F165" s="231"/>
      <c r="G165" s="254"/>
      <c r="H165" s="254"/>
      <c r="I165" s="254"/>
      <c r="J165" s="254"/>
      <c r="K165" s="254"/>
      <c r="L165" s="254"/>
      <c r="M165" s="254"/>
      <c r="N165" s="254"/>
      <c r="O165" s="228"/>
      <c r="T165" s="31"/>
      <c r="U165" s="228"/>
      <c r="V165" s="228"/>
      <c r="W165" s="228"/>
      <c r="X165" s="228"/>
      <c r="Y165" s="228"/>
      <c r="Z165" s="228"/>
      <c r="AA165" s="228"/>
      <c r="AB165" s="228"/>
      <c r="AC165" s="228"/>
      <c r="AD165" s="228"/>
      <c r="AE165" s="228"/>
      <c r="AF165" s="228"/>
      <c r="AG165" s="228"/>
      <c r="AH165" s="228"/>
      <c r="AI165" s="228"/>
      <c r="AJ165" s="228"/>
    </row>
    <row r="166" spans="3:36" s="47" customFormat="1" x14ac:dyDescent="0.2">
      <c r="C166" s="228"/>
      <c r="D166" s="231"/>
      <c r="E166" s="231"/>
      <c r="F166" s="231"/>
      <c r="G166" s="254"/>
      <c r="H166" s="254"/>
      <c r="I166" s="254"/>
      <c r="J166" s="254"/>
      <c r="K166" s="254"/>
      <c r="L166" s="254"/>
      <c r="M166" s="254"/>
      <c r="N166" s="254"/>
      <c r="O166" s="228"/>
      <c r="T166" s="31"/>
      <c r="U166" s="228"/>
      <c r="V166" s="228"/>
      <c r="W166" s="228"/>
      <c r="X166" s="228"/>
      <c r="Y166" s="228"/>
      <c r="Z166" s="228"/>
      <c r="AA166" s="228"/>
      <c r="AB166" s="228"/>
      <c r="AC166" s="228"/>
      <c r="AD166" s="228"/>
      <c r="AE166" s="228"/>
      <c r="AF166" s="228"/>
      <c r="AG166" s="228"/>
      <c r="AH166" s="228"/>
      <c r="AI166" s="228"/>
      <c r="AJ166" s="228"/>
    </row>
    <row r="167" spans="3:36" s="47" customFormat="1" x14ac:dyDescent="0.2">
      <c r="C167" s="228"/>
      <c r="D167" s="231"/>
      <c r="E167" s="231"/>
      <c r="F167" s="231"/>
      <c r="G167" s="254"/>
      <c r="H167" s="254"/>
      <c r="I167" s="254"/>
      <c r="J167" s="254"/>
      <c r="K167" s="254"/>
      <c r="L167" s="254"/>
      <c r="M167" s="254"/>
      <c r="N167" s="254"/>
      <c r="O167" s="228"/>
      <c r="T167" s="31"/>
      <c r="U167" s="228"/>
      <c r="V167" s="228"/>
      <c r="W167" s="228"/>
      <c r="X167" s="228"/>
      <c r="Y167" s="228"/>
      <c r="Z167" s="228"/>
      <c r="AA167" s="228"/>
      <c r="AB167" s="228"/>
      <c r="AC167" s="228"/>
      <c r="AD167" s="228"/>
      <c r="AE167" s="228"/>
      <c r="AF167" s="228"/>
      <c r="AG167" s="228"/>
      <c r="AH167" s="228"/>
      <c r="AI167" s="228"/>
      <c r="AJ167" s="228"/>
    </row>
    <row r="168" spans="3:36" s="47" customFormat="1" x14ac:dyDescent="0.2">
      <c r="C168" s="228"/>
      <c r="D168" s="231"/>
      <c r="E168" s="231"/>
      <c r="F168" s="231"/>
      <c r="G168" s="254"/>
      <c r="H168" s="254"/>
      <c r="I168" s="254"/>
      <c r="J168" s="254"/>
      <c r="K168" s="254"/>
      <c r="L168" s="254"/>
      <c r="M168" s="254"/>
      <c r="N168" s="254"/>
      <c r="O168" s="228"/>
      <c r="T168" s="31"/>
      <c r="U168" s="228"/>
      <c r="V168" s="228"/>
      <c r="W168" s="228"/>
      <c r="X168" s="228"/>
      <c r="Y168" s="228"/>
      <c r="Z168" s="228"/>
      <c r="AA168" s="228"/>
      <c r="AB168" s="228"/>
      <c r="AC168" s="228"/>
      <c r="AD168" s="228"/>
      <c r="AE168" s="228"/>
      <c r="AF168" s="228"/>
      <c r="AG168" s="228"/>
      <c r="AH168" s="228"/>
      <c r="AI168" s="228"/>
      <c r="AJ168" s="228"/>
    </row>
    <row r="169" spans="3:36" s="47" customFormat="1" x14ac:dyDescent="0.2">
      <c r="C169" s="228"/>
      <c r="D169" s="231"/>
      <c r="E169" s="231"/>
      <c r="F169" s="231"/>
      <c r="G169" s="254"/>
      <c r="H169" s="254"/>
      <c r="I169" s="254"/>
      <c r="J169" s="254"/>
      <c r="K169" s="254"/>
      <c r="L169" s="254"/>
      <c r="M169" s="254"/>
      <c r="N169" s="254"/>
      <c r="O169" s="228"/>
      <c r="T169" s="31"/>
      <c r="U169" s="228"/>
      <c r="V169" s="228"/>
      <c r="W169" s="228"/>
      <c r="X169" s="228"/>
      <c r="Y169" s="228"/>
      <c r="Z169" s="228"/>
      <c r="AA169" s="228"/>
      <c r="AB169" s="228"/>
      <c r="AC169" s="228"/>
      <c r="AD169" s="228"/>
      <c r="AE169" s="228"/>
      <c r="AF169" s="228"/>
      <c r="AG169" s="228"/>
      <c r="AH169" s="228"/>
      <c r="AI169" s="228"/>
      <c r="AJ169" s="228"/>
    </row>
    <row r="170" spans="3:36" s="47" customFormat="1" x14ac:dyDescent="0.2">
      <c r="C170" s="228"/>
      <c r="D170" s="231"/>
      <c r="E170" s="231"/>
      <c r="F170" s="231"/>
      <c r="G170" s="254"/>
      <c r="H170" s="254"/>
      <c r="I170" s="254"/>
      <c r="J170" s="254"/>
      <c r="K170" s="254"/>
      <c r="L170" s="254"/>
      <c r="M170" s="254"/>
      <c r="N170" s="254"/>
      <c r="O170" s="228"/>
      <c r="T170" s="31"/>
      <c r="U170" s="228"/>
      <c r="V170" s="228"/>
      <c r="W170" s="228"/>
      <c r="X170" s="228"/>
      <c r="Y170" s="228"/>
      <c r="Z170" s="228"/>
      <c r="AA170" s="228"/>
      <c r="AB170" s="228"/>
      <c r="AC170" s="228"/>
      <c r="AD170" s="228"/>
      <c r="AE170" s="228"/>
      <c r="AF170" s="228"/>
      <c r="AG170" s="228"/>
      <c r="AH170" s="228"/>
      <c r="AI170" s="228"/>
      <c r="AJ170" s="228"/>
    </row>
    <row r="171" spans="3:36" s="47" customFormat="1" x14ac:dyDescent="0.2">
      <c r="C171" s="228"/>
      <c r="D171" s="231"/>
      <c r="E171" s="231"/>
      <c r="F171" s="231"/>
      <c r="G171" s="254"/>
      <c r="H171" s="254"/>
      <c r="I171" s="254"/>
      <c r="J171" s="254"/>
      <c r="K171" s="254"/>
      <c r="L171" s="254"/>
      <c r="M171" s="254"/>
      <c r="N171" s="254"/>
      <c r="O171" s="228"/>
      <c r="T171" s="31"/>
      <c r="U171" s="228"/>
      <c r="V171" s="228"/>
      <c r="W171" s="228"/>
      <c r="X171" s="228"/>
      <c r="Y171" s="228"/>
      <c r="Z171" s="228"/>
      <c r="AA171" s="228"/>
      <c r="AB171" s="228"/>
      <c r="AC171" s="228"/>
      <c r="AD171" s="228"/>
      <c r="AE171" s="228"/>
      <c r="AF171" s="228"/>
      <c r="AG171" s="228"/>
      <c r="AH171" s="228"/>
      <c r="AI171" s="228"/>
      <c r="AJ171" s="228"/>
    </row>
    <row r="172" spans="3:36" s="47" customFormat="1" x14ac:dyDescent="0.2">
      <c r="C172" s="228"/>
      <c r="D172" s="231"/>
      <c r="E172" s="231"/>
      <c r="F172" s="231"/>
      <c r="G172" s="254"/>
      <c r="H172" s="254"/>
      <c r="I172" s="254"/>
      <c r="J172" s="254"/>
      <c r="K172" s="254"/>
      <c r="L172" s="254"/>
      <c r="M172" s="254"/>
      <c r="N172" s="254"/>
      <c r="O172" s="228"/>
      <c r="T172" s="31"/>
      <c r="U172" s="228"/>
      <c r="V172" s="228"/>
      <c r="W172" s="228"/>
      <c r="X172" s="228"/>
      <c r="Y172" s="228"/>
      <c r="Z172" s="228"/>
      <c r="AA172" s="228"/>
      <c r="AB172" s="228"/>
      <c r="AC172" s="228"/>
      <c r="AD172" s="228"/>
      <c r="AE172" s="228"/>
      <c r="AF172" s="228"/>
      <c r="AG172" s="228"/>
      <c r="AH172" s="228"/>
      <c r="AI172" s="228"/>
      <c r="AJ172" s="228"/>
    </row>
    <row r="173" spans="3:36" s="47" customFormat="1" x14ac:dyDescent="0.2">
      <c r="C173" s="228"/>
      <c r="D173" s="231"/>
      <c r="E173" s="231"/>
      <c r="F173" s="231"/>
      <c r="G173" s="254"/>
      <c r="H173" s="254"/>
      <c r="I173" s="254"/>
      <c r="J173" s="254"/>
      <c r="K173" s="254"/>
      <c r="L173" s="254"/>
      <c r="M173" s="254"/>
      <c r="N173" s="254"/>
      <c r="O173" s="228"/>
      <c r="T173" s="31"/>
      <c r="U173" s="228"/>
      <c r="V173" s="228"/>
      <c r="W173" s="228"/>
      <c r="X173" s="228"/>
      <c r="Y173" s="228"/>
      <c r="Z173" s="228"/>
      <c r="AA173" s="228"/>
      <c r="AB173" s="228"/>
      <c r="AC173" s="228"/>
      <c r="AD173" s="228"/>
      <c r="AE173" s="228"/>
      <c r="AF173" s="228"/>
      <c r="AG173" s="228"/>
      <c r="AH173" s="228"/>
      <c r="AI173" s="228"/>
      <c r="AJ173" s="228"/>
    </row>
    <row r="174" spans="3:36" s="47" customFormat="1" x14ac:dyDescent="0.2">
      <c r="C174" s="228"/>
      <c r="D174" s="231"/>
      <c r="E174" s="231"/>
      <c r="F174" s="231"/>
      <c r="G174" s="254"/>
      <c r="H174" s="254"/>
      <c r="I174" s="254"/>
      <c r="J174" s="254"/>
      <c r="K174" s="254"/>
      <c r="L174" s="254"/>
      <c r="M174" s="254"/>
      <c r="N174" s="254"/>
      <c r="O174" s="228"/>
      <c r="T174" s="31"/>
      <c r="U174" s="228"/>
      <c r="V174" s="228"/>
      <c r="W174" s="228"/>
      <c r="X174" s="228"/>
      <c r="Y174" s="228"/>
      <c r="Z174" s="228"/>
      <c r="AA174" s="228"/>
      <c r="AB174" s="228"/>
      <c r="AC174" s="228"/>
      <c r="AD174" s="228"/>
      <c r="AE174" s="228"/>
      <c r="AF174" s="228"/>
      <c r="AG174" s="228"/>
      <c r="AH174" s="228"/>
      <c r="AI174" s="228"/>
      <c r="AJ174" s="228"/>
    </row>
    <row r="175" spans="3:36" s="47" customFormat="1" x14ac:dyDescent="0.2">
      <c r="C175" s="228"/>
      <c r="D175" s="231"/>
      <c r="E175" s="231"/>
      <c r="F175" s="231"/>
      <c r="G175" s="254"/>
      <c r="H175" s="254"/>
      <c r="I175" s="254"/>
      <c r="J175" s="254"/>
      <c r="K175" s="254"/>
      <c r="L175" s="254"/>
      <c r="M175" s="254"/>
      <c r="N175" s="254"/>
      <c r="O175" s="228"/>
      <c r="T175" s="31"/>
      <c r="U175" s="228"/>
      <c r="V175" s="228"/>
      <c r="W175" s="228"/>
      <c r="X175" s="228"/>
      <c r="Y175" s="228"/>
      <c r="Z175" s="228"/>
      <c r="AA175" s="228"/>
      <c r="AB175" s="228"/>
      <c r="AC175" s="228"/>
      <c r="AD175" s="228"/>
      <c r="AE175" s="228"/>
      <c r="AF175" s="228"/>
      <c r="AG175" s="228"/>
      <c r="AH175" s="228"/>
      <c r="AI175" s="228"/>
      <c r="AJ175" s="228"/>
    </row>
    <row r="176" spans="3:36" s="47" customFormat="1" x14ac:dyDescent="0.2">
      <c r="C176" s="228"/>
      <c r="D176" s="231"/>
      <c r="E176" s="231"/>
      <c r="F176" s="231"/>
      <c r="G176" s="254"/>
      <c r="H176" s="254"/>
      <c r="I176" s="254"/>
      <c r="J176" s="254"/>
      <c r="K176" s="254"/>
      <c r="L176" s="254"/>
      <c r="M176" s="254"/>
      <c r="N176" s="254"/>
      <c r="O176" s="228"/>
      <c r="T176" s="31"/>
      <c r="U176" s="228"/>
      <c r="V176" s="228"/>
      <c r="W176" s="228"/>
      <c r="X176" s="228"/>
      <c r="Y176" s="228"/>
      <c r="Z176" s="228"/>
      <c r="AA176" s="228"/>
      <c r="AB176" s="228"/>
      <c r="AC176" s="228"/>
      <c r="AD176" s="228"/>
      <c r="AE176" s="228"/>
      <c r="AF176" s="228"/>
      <c r="AG176" s="228"/>
      <c r="AH176" s="228"/>
      <c r="AI176" s="228"/>
      <c r="AJ176" s="228"/>
    </row>
    <row r="177" spans="3:36" s="47" customFormat="1" x14ac:dyDescent="0.2">
      <c r="C177" s="228"/>
      <c r="D177" s="231"/>
      <c r="E177" s="231"/>
      <c r="F177" s="231"/>
      <c r="G177" s="254"/>
      <c r="H177" s="254"/>
      <c r="I177" s="254"/>
      <c r="J177" s="254"/>
      <c r="K177" s="254"/>
      <c r="L177" s="254"/>
      <c r="M177" s="254"/>
      <c r="N177" s="254"/>
      <c r="O177" s="228"/>
      <c r="T177" s="31"/>
      <c r="U177" s="228"/>
      <c r="V177" s="228"/>
      <c r="W177" s="228"/>
      <c r="X177" s="228"/>
      <c r="Y177" s="228"/>
      <c r="Z177" s="228"/>
      <c r="AA177" s="228"/>
      <c r="AB177" s="228"/>
      <c r="AC177" s="228"/>
      <c r="AD177" s="228"/>
      <c r="AE177" s="228"/>
      <c r="AF177" s="228"/>
      <c r="AG177" s="228"/>
      <c r="AH177" s="228"/>
      <c r="AI177" s="228"/>
      <c r="AJ177" s="228"/>
    </row>
    <row r="178" spans="3:36" s="47" customFormat="1" x14ac:dyDescent="0.2">
      <c r="C178" s="228"/>
      <c r="D178" s="231"/>
      <c r="E178" s="231"/>
      <c r="F178" s="231"/>
      <c r="G178" s="254"/>
      <c r="H178" s="254"/>
      <c r="I178" s="254"/>
      <c r="J178" s="254"/>
      <c r="K178" s="254"/>
      <c r="L178" s="254"/>
      <c r="M178" s="254"/>
      <c r="N178" s="254"/>
      <c r="O178" s="228"/>
      <c r="T178" s="31"/>
      <c r="U178" s="228"/>
      <c r="V178" s="228"/>
      <c r="W178" s="228"/>
      <c r="X178" s="228"/>
      <c r="Y178" s="228"/>
      <c r="Z178" s="228"/>
      <c r="AA178" s="228"/>
      <c r="AB178" s="228"/>
      <c r="AC178" s="228"/>
      <c r="AD178" s="228"/>
      <c r="AE178" s="228"/>
      <c r="AF178" s="228"/>
      <c r="AG178" s="228"/>
      <c r="AH178" s="228"/>
      <c r="AI178" s="228"/>
      <c r="AJ178" s="228"/>
    </row>
    <row r="179" spans="3:36" s="47" customFormat="1" x14ac:dyDescent="0.2">
      <c r="C179" s="228"/>
      <c r="D179" s="231"/>
      <c r="E179" s="231"/>
      <c r="F179" s="231"/>
      <c r="G179" s="228"/>
      <c r="H179" s="228"/>
      <c r="I179" s="228"/>
      <c r="J179" s="228"/>
      <c r="K179" s="228"/>
      <c r="L179" s="228"/>
      <c r="M179" s="228"/>
      <c r="N179" s="228"/>
      <c r="O179" s="228"/>
      <c r="U179" s="228"/>
      <c r="V179" s="228"/>
      <c r="W179" s="228"/>
      <c r="X179" s="228"/>
      <c r="Y179" s="228"/>
      <c r="Z179" s="228"/>
      <c r="AA179" s="228"/>
      <c r="AB179" s="228"/>
      <c r="AC179" s="228"/>
      <c r="AD179" s="228"/>
      <c r="AE179" s="228"/>
      <c r="AF179" s="228"/>
      <c r="AG179" s="228"/>
      <c r="AH179" s="228"/>
      <c r="AI179" s="228"/>
      <c r="AJ179" s="228"/>
    </row>
    <row r="180" spans="3:36" s="47" customFormat="1" x14ac:dyDescent="0.2">
      <c r="C180" s="228"/>
      <c r="D180" s="231"/>
      <c r="E180" s="231"/>
      <c r="F180" s="231"/>
      <c r="G180" s="228"/>
      <c r="H180" s="228"/>
      <c r="I180" s="228"/>
      <c r="J180" s="228"/>
      <c r="K180" s="228"/>
      <c r="L180" s="228"/>
      <c r="M180" s="228"/>
      <c r="N180" s="228"/>
      <c r="O180" s="228"/>
      <c r="U180" s="228"/>
      <c r="V180" s="228"/>
      <c r="W180" s="228"/>
      <c r="X180" s="228"/>
      <c r="Y180" s="228"/>
      <c r="Z180" s="228"/>
      <c r="AA180" s="228"/>
      <c r="AB180" s="228"/>
      <c r="AC180" s="228"/>
      <c r="AD180" s="228"/>
      <c r="AE180" s="228"/>
      <c r="AF180" s="228"/>
      <c r="AG180" s="228"/>
      <c r="AH180" s="228"/>
      <c r="AI180" s="228"/>
      <c r="AJ180" s="228"/>
    </row>
    <row r="181" spans="3:36" s="47" customFormat="1" x14ac:dyDescent="0.2">
      <c r="C181" s="228"/>
      <c r="D181" s="231"/>
      <c r="E181" s="231"/>
      <c r="F181" s="231"/>
      <c r="G181" s="228"/>
      <c r="H181" s="228"/>
      <c r="I181" s="228"/>
      <c r="J181" s="228"/>
      <c r="K181" s="228"/>
      <c r="L181" s="228"/>
      <c r="M181" s="228"/>
      <c r="N181" s="228"/>
      <c r="O181" s="228"/>
      <c r="U181" s="228"/>
      <c r="V181" s="228"/>
      <c r="W181" s="228"/>
      <c r="X181" s="228"/>
      <c r="Y181" s="228"/>
      <c r="Z181" s="228"/>
      <c r="AA181" s="228"/>
      <c r="AB181" s="228"/>
      <c r="AC181" s="228"/>
      <c r="AD181" s="228"/>
      <c r="AE181" s="228"/>
      <c r="AF181" s="228"/>
      <c r="AG181" s="228"/>
      <c r="AH181" s="228"/>
      <c r="AI181" s="228"/>
      <c r="AJ181" s="228"/>
    </row>
    <row r="182" spans="3:36" s="47" customFormat="1" x14ac:dyDescent="0.2">
      <c r="C182" s="228"/>
      <c r="D182" s="231"/>
      <c r="E182" s="231"/>
      <c r="F182" s="231"/>
      <c r="G182" s="228"/>
      <c r="H182" s="228"/>
      <c r="I182" s="228"/>
      <c r="J182" s="228"/>
      <c r="K182" s="228"/>
      <c r="L182" s="228"/>
      <c r="M182" s="228"/>
      <c r="N182" s="228"/>
      <c r="O182" s="228"/>
      <c r="U182" s="228"/>
      <c r="V182" s="228"/>
      <c r="W182" s="228"/>
      <c r="X182" s="228"/>
      <c r="Y182" s="228"/>
      <c r="Z182" s="228"/>
      <c r="AA182" s="228"/>
      <c r="AB182" s="228"/>
      <c r="AC182" s="228"/>
      <c r="AD182" s="228"/>
      <c r="AE182" s="228"/>
      <c r="AF182" s="228"/>
      <c r="AG182" s="228"/>
      <c r="AH182" s="228"/>
      <c r="AI182" s="228"/>
      <c r="AJ182" s="228"/>
    </row>
    <row r="183" spans="3:36" s="47" customFormat="1" x14ac:dyDescent="0.2">
      <c r="C183" s="228"/>
      <c r="D183" s="231"/>
      <c r="E183" s="231"/>
      <c r="F183" s="231"/>
      <c r="G183" s="228"/>
      <c r="H183" s="228"/>
      <c r="I183" s="228"/>
      <c r="J183" s="228"/>
      <c r="K183" s="228"/>
      <c r="L183" s="228"/>
      <c r="M183" s="228"/>
      <c r="N183" s="228"/>
      <c r="O183" s="228"/>
      <c r="U183" s="228"/>
      <c r="V183" s="228"/>
      <c r="W183" s="228"/>
      <c r="X183" s="228"/>
      <c r="Y183" s="228"/>
      <c r="Z183" s="228"/>
      <c r="AA183" s="228"/>
      <c r="AB183" s="228"/>
      <c r="AC183" s="228"/>
      <c r="AD183" s="228"/>
      <c r="AE183" s="228"/>
      <c r="AF183" s="228"/>
      <c r="AG183" s="228"/>
      <c r="AH183" s="228"/>
      <c r="AI183" s="228"/>
      <c r="AJ183" s="228"/>
    </row>
    <row r="184" spans="3:36" s="47" customFormat="1" x14ac:dyDescent="0.2">
      <c r="C184" s="228"/>
      <c r="D184" s="231"/>
      <c r="E184" s="231"/>
      <c r="F184" s="231"/>
      <c r="G184" s="228"/>
      <c r="H184" s="228"/>
      <c r="I184" s="228"/>
      <c r="J184" s="228"/>
      <c r="K184" s="228"/>
      <c r="L184" s="228"/>
      <c r="M184" s="228"/>
      <c r="N184" s="228"/>
      <c r="O184" s="228"/>
      <c r="U184" s="228"/>
      <c r="V184" s="228"/>
      <c r="W184" s="228"/>
      <c r="X184" s="228"/>
      <c r="Y184" s="228"/>
      <c r="Z184" s="228"/>
      <c r="AA184" s="228"/>
      <c r="AB184" s="228"/>
      <c r="AC184" s="228"/>
      <c r="AD184" s="228"/>
      <c r="AE184" s="228"/>
      <c r="AF184" s="228"/>
      <c r="AG184" s="228"/>
      <c r="AH184" s="228"/>
      <c r="AI184" s="228"/>
      <c r="AJ184" s="228"/>
    </row>
    <row r="185" spans="3:36" s="47" customFormat="1" x14ac:dyDescent="0.2">
      <c r="C185" s="228"/>
      <c r="D185" s="231"/>
      <c r="E185" s="231"/>
      <c r="F185" s="231"/>
      <c r="G185" s="228"/>
      <c r="H185" s="228"/>
      <c r="I185" s="228"/>
      <c r="J185" s="228"/>
      <c r="K185" s="228"/>
      <c r="L185" s="228"/>
      <c r="M185" s="228"/>
      <c r="N185" s="228"/>
      <c r="O185" s="228"/>
      <c r="U185" s="228"/>
      <c r="V185" s="228"/>
      <c r="W185" s="228"/>
      <c r="X185" s="228"/>
      <c r="Y185" s="228"/>
      <c r="Z185" s="228"/>
      <c r="AA185" s="228"/>
      <c r="AB185" s="228"/>
      <c r="AC185" s="228"/>
      <c r="AD185" s="228"/>
      <c r="AE185" s="228"/>
      <c r="AF185" s="228"/>
      <c r="AG185" s="228"/>
      <c r="AH185" s="228"/>
      <c r="AI185" s="228"/>
      <c r="AJ185" s="228"/>
    </row>
    <row r="186" spans="3:36" s="47" customFormat="1" x14ac:dyDescent="0.2">
      <c r="C186" s="228"/>
      <c r="D186" s="231"/>
      <c r="E186" s="231"/>
      <c r="F186" s="231"/>
      <c r="G186" s="228"/>
      <c r="H186" s="228"/>
      <c r="I186" s="228"/>
      <c r="J186" s="228"/>
      <c r="K186" s="228"/>
      <c r="L186" s="228"/>
      <c r="M186" s="228"/>
      <c r="N186" s="228"/>
      <c r="O186" s="228"/>
      <c r="U186" s="228"/>
      <c r="V186" s="228"/>
      <c r="W186" s="228"/>
      <c r="X186" s="228"/>
      <c r="Y186" s="228"/>
      <c r="Z186" s="228"/>
      <c r="AA186" s="228"/>
      <c r="AB186" s="228"/>
      <c r="AC186" s="228"/>
      <c r="AD186" s="228"/>
      <c r="AE186" s="228"/>
      <c r="AF186" s="228"/>
      <c r="AG186" s="228"/>
      <c r="AH186" s="228"/>
      <c r="AI186" s="228"/>
      <c r="AJ186" s="228"/>
    </row>
    <row r="187" spans="3:36" s="47" customFormat="1" x14ac:dyDescent="0.2">
      <c r="C187" s="228"/>
      <c r="D187" s="231"/>
      <c r="E187" s="231"/>
      <c r="F187" s="231"/>
      <c r="G187" s="228"/>
      <c r="H187" s="228"/>
      <c r="I187" s="228"/>
      <c r="J187" s="228"/>
      <c r="K187" s="228"/>
      <c r="L187" s="228"/>
      <c r="M187" s="228"/>
      <c r="N187" s="228"/>
      <c r="O187" s="228"/>
      <c r="U187" s="228"/>
      <c r="V187" s="228"/>
      <c r="W187" s="228"/>
      <c r="X187" s="228"/>
      <c r="Y187" s="228"/>
      <c r="Z187" s="228"/>
      <c r="AA187" s="228"/>
      <c r="AB187" s="228"/>
      <c r="AC187" s="228"/>
      <c r="AD187" s="228"/>
      <c r="AE187" s="228"/>
      <c r="AF187" s="228"/>
      <c r="AG187" s="228"/>
      <c r="AH187" s="228"/>
      <c r="AI187" s="228"/>
      <c r="AJ187" s="228"/>
    </row>
    <row r="188" spans="3:36" s="47" customFormat="1" x14ac:dyDescent="0.2">
      <c r="C188" s="228"/>
      <c r="D188" s="231"/>
      <c r="E188" s="231"/>
      <c r="F188" s="231"/>
      <c r="G188" s="228"/>
      <c r="H188" s="228"/>
      <c r="I188" s="228"/>
      <c r="J188" s="228"/>
      <c r="K188" s="228"/>
      <c r="L188" s="228"/>
      <c r="M188" s="228"/>
      <c r="N188" s="228"/>
      <c r="O188" s="228"/>
      <c r="U188" s="228"/>
      <c r="V188" s="228"/>
      <c r="W188" s="228"/>
      <c r="X188" s="228"/>
      <c r="Y188" s="228"/>
      <c r="Z188" s="228"/>
      <c r="AA188" s="228"/>
      <c r="AB188" s="228"/>
      <c r="AC188" s="228"/>
      <c r="AD188" s="228"/>
      <c r="AE188" s="228"/>
      <c r="AF188" s="228"/>
      <c r="AG188" s="228"/>
      <c r="AH188" s="228"/>
      <c r="AI188" s="228"/>
      <c r="AJ188" s="228"/>
    </row>
    <row r="189" spans="3:36" s="47" customFormat="1" x14ac:dyDescent="0.2">
      <c r="C189" s="228"/>
      <c r="D189" s="231"/>
      <c r="E189" s="231"/>
      <c r="F189" s="231"/>
      <c r="G189" s="228"/>
      <c r="H189" s="228"/>
      <c r="I189" s="228"/>
      <c r="J189" s="228"/>
      <c r="K189" s="228"/>
      <c r="L189" s="228"/>
      <c r="M189" s="228"/>
      <c r="N189" s="228"/>
      <c r="O189" s="228"/>
      <c r="U189" s="228"/>
      <c r="V189" s="228"/>
      <c r="W189" s="228"/>
      <c r="X189" s="228"/>
      <c r="Y189" s="228"/>
      <c r="Z189" s="228"/>
      <c r="AA189" s="228"/>
      <c r="AB189" s="228"/>
      <c r="AC189" s="228"/>
      <c r="AD189" s="228"/>
      <c r="AE189" s="228"/>
      <c r="AF189" s="228"/>
      <c r="AG189" s="228"/>
      <c r="AH189" s="228"/>
      <c r="AI189" s="228"/>
      <c r="AJ189" s="228"/>
    </row>
    <row r="190" spans="3:36" s="47" customFormat="1" x14ac:dyDescent="0.2">
      <c r="C190" s="228"/>
      <c r="D190" s="231"/>
      <c r="E190" s="231"/>
      <c r="F190" s="231"/>
      <c r="G190" s="228"/>
      <c r="H190" s="228"/>
      <c r="I190" s="228"/>
      <c r="J190" s="228"/>
      <c r="K190" s="228"/>
      <c r="L190" s="228"/>
      <c r="M190" s="228"/>
      <c r="N190" s="228"/>
      <c r="O190" s="228"/>
      <c r="U190" s="228"/>
      <c r="V190" s="228"/>
      <c r="W190" s="228"/>
      <c r="X190" s="228"/>
      <c r="Y190" s="228"/>
      <c r="Z190" s="228"/>
      <c r="AA190" s="228"/>
      <c r="AB190" s="228"/>
      <c r="AC190" s="228"/>
      <c r="AD190" s="228"/>
      <c r="AE190" s="228"/>
      <c r="AF190" s="228"/>
      <c r="AG190" s="228"/>
      <c r="AH190" s="228"/>
      <c r="AI190" s="228"/>
      <c r="AJ190" s="228"/>
    </row>
    <row r="191" spans="3:36" s="47" customFormat="1" x14ac:dyDescent="0.2">
      <c r="C191" s="228"/>
      <c r="D191" s="231"/>
      <c r="E191" s="231"/>
      <c r="F191" s="231"/>
      <c r="G191" s="228"/>
      <c r="H191" s="228"/>
      <c r="I191" s="228"/>
      <c r="J191" s="228"/>
      <c r="K191" s="228"/>
      <c r="L191" s="228"/>
      <c r="M191" s="228"/>
      <c r="N191" s="228"/>
      <c r="O191" s="228"/>
      <c r="U191" s="228"/>
      <c r="V191" s="228"/>
      <c r="W191" s="228"/>
      <c r="X191" s="228"/>
      <c r="Y191" s="228"/>
      <c r="Z191" s="228"/>
      <c r="AA191" s="228"/>
      <c r="AB191" s="228"/>
      <c r="AC191" s="228"/>
      <c r="AD191" s="228"/>
      <c r="AE191" s="228"/>
      <c r="AF191" s="228"/>
      <c r="AG191" s="228"/>
      <c r="AH191" s="228"/>
      <c r="AI191" s="228"/>
      <c r="AJ191" s="228"/>
    </row>
    <row r="192" spans="3:36" s="47" customFormat="1" x14ac:dyDescent="0.2">
      <c r="C192" s="228"/>
      <c r="D192" s="231"/>
      <c r="E192" s="231"/>
      <c r="F192" s="231"/>
      <c r="G192" s="228"/>
      <c r="H192" s="228"/>
      <c r="I192" s="228"/>
      <c r="J192" s="228"/>
      <c r="K192" s="228"/>
      <c r="L192" s="228"/>
      <c r="M192" s="228"/>
      <c r="N192" s="228"/>
      <c r="O192" s="228"/>
      <c r="U192" s="228"/>
      <c r="V192" s="228"/>
      <c r="W192" s="228"/>
      <c r="X192" s="228"/>
      <c r="Y192" s="228"/>
      <c r="Z192" s="228"/>
      <c r="AA192" s="228"/>
      <c r="AB192" s="228"/>
      <c r="AC192" s="228"/>
      <c r="AD192" s="228"/>
      <c r="AE192" s="228"/>
      <c r="AF192" s="228"/>
      <c r="AG192" s="228"/>
      <c r="AH192" s="228"/>
      <c r="AI192" s="228"/>
      <c r="AJ192" s="228"/>
    </row>
    <row r="193" spans="3:36" s="47" customFormat="1" x14ac:dyDescent="0.2">
      <c r="C193" s="228"/>
      <c r="D193" s="231"/>
      <c r="E193" s="231"/>
      <c r="F193" s="231"/>
      <c r="G193" s="228"/>
      <c r="H193" s="228"/>
      <c r="I193" s="228"/>
      <c r="J193" s="228"/>
      <c r="K193" s="228"/>
      <c r="L193" s="228"/>
      <c r="M193" s="228"/>
      <c r="N193" s="228"/>
      <c r="O193" s="228"/>
      <c r="U193" s="228"/>
      <c r="V193" s="228"/>
      <c r="W193" s="228"/>
      <c r="X193" s="228"/>
      <c r="Y193" s="228"/>
      <c r="Z193" s="228"/>
      <c r="AA193" s="228"/>
      <c r="AB193" s="228"/>
      <c r="AC193" s="228"/>
      <c r="AD193" s="228"/>
      <c r="AE193" s="228"/>
      <c r="AF193" s="228"/>
      <c r="AG193" s="228"/>
      <c r="AH193" s="228"/>
      <c r="AI193" s="228"/>
      <c r="AJ193" s="228"/>
    </row>
    <row r="194" spans="3:36" s="47" customFormat="1" x14ac:dyDescent="0.2">
      <c r="C194" s="228"/>
      <c r="D194" s="231"/>
      <c r="E194" s="231"/>
      <c r="F194" s="231"/>
      <c r="G194" s="228"/>
      <c r="H194" s="228"/>
      <c r="I194" s="228"/>
      <c r="J194" s="228"/>
      <c r="K194" s="228"/>
      <c r="L194" s="228"/>
      <c r="M194" s="228"/>
      <c r="N194" s="228"/>
      <c r="O194" s="228"/>
      <c r="U194" s="228"/>
      <c r="V194" s="228"/>
      <c r="W194" s="228"/>
      <c r="X194" s="228"/>
      <c r="Y194" s="228"/>
      <c r="Z194" s="228"/>
      <c r="AA194" s="228"/>
      <c r="AB194" s="228"/>
      <c r="AC194" s="228"/>
      <c r="AD194" s="228"/>
      <c r="AE194" s="228"/>
      <c r="AF194" s="228"/>
      <c r="AG194" s="228"/>
      <c r="AH194" s="228"/>
      <c r="AI194" s="228"/>
      <c r="AJ194" s="228"/>
    </row>
    <row r="195" spans="3:36" s="47" customFormat="1" x14ac:dyDescent="0.2">
      <c r="C195" s="228"/>
      <c r="D195" s="231"/>
      <c r="E195" s="231"/>
      <c r="F195" s="231"/>
      <c r="G195" s="228"/>
      <c r="H195" s="228"/>
      <c r="I195" s="228"/>
      <c r="J195" s="228"/>
      <c r="K195" s="228"/>
      <c r="L195" s="228"/>
      <c r="M195" s="228"/>
      <c r="N195" s="228"/>
      <c r="O195" s="228"/>
      <c r="U195" s="228"/>
      <c r="V195" s="228"/>
      <c r="W195" s="228"/>
      <c r="X195" s="228"/>
      <c r="Y195" s="228"/>
      <c r="Z195" s="228"/>
      <c r="AA195" s="228"/>
      <c r="AB195" s="228"/>
      <c r="AC195" s="228"/>
      <c r="AD195" s="228"/>
      <c r="AE195" s="228"/>
      <c r="AF195" s="228"/>
      <c r="AG195" s="228"/>
      <c r="AH195" s="228"/>
      <c r="AI195" s="228"/>
      <c r="AJ195" s="228"/>
    </row>
    <row r="196" spans="3:36" s="47" customFormat="1" x14ac:dyDescent="0.2">
      <c r="C196" s="228"/>
      <c r="D196" s="231"/>
      <c r="E196" s="231"/>
      <c r="F196" s="231"/>
      <c r="G196" s="228"/>
      <c r="H196" s="228"/>
      <c r="I196" s="228"/>
      <c r="J196" s="228"/>
      <c r="K196" s="228"/>
      <c r="L196" s="228"/>
      <c r="M196" s="228"/>
      <c r="N196" s="228"/>
      <c r="O196" s="228"/>
      <c r="U196" s="228"/>
      <c r="V196" s="228"/>
      <c r="W196" s="228"/>
      <c r="X196" s="228"/>
      <c r="Y196" s="228"/>
      <c r="Z196" s="228"/>
      <c r="AA196" s="228"/>
      <c r="AB196" s="228"/>
      <c r="AC196" s="228"/>
      <c r="AD196" s="228"/>
      <c r="AE196" s="228"/>
      <c r="AF196" s="228"/>
      <c r="AG196" s="228"/>
      <c r="AH196" s="228"/>
      <c r="AI196" s="228"/>
      <c r="AJ196" s="228"/>
    </row>
    <row r="197" spans="3:36" s="47" customFormat="1" x14ac:dyDescent="0.2">
      <c r="C197" s="228"/>
      <c r="D197" s="231"/>
      <c r="E197" s="231"/>
      <c r="F197" s="231"/>
      <c r="G197" s="228"/>
      <c r="H197" s="228"/>
      <c r="I197" s="228"/>
      <c r="J197" s="228"/>
      <c r="K197" s="228"/>
      <c r="L197" s="228"/>
      <c r="M197" s="228"/>
      <c r="N197" s="228"/>
      <c r="O197" s="228"/>
      <c r="U197" s="228"/>
      <c r="V197" s="228"/>
      <c r="W197" s="228"/>
      <c r="X197" s="228"/>
      <c r="Y197" s="228"/>
      <c r="Z197" s="228"/>
      <c r="AA197" s="228"/>
      <c r="AB197" s="228"/>
      <c r="AC197" s="228"/>
      <c r="AD197" s="228"/>
      <c r="AE197" s="228"/>
      <c r="AF197" s="228"/>
      <c r="AG197" s="228"/>
      <c r="AH197" s="228"/>
      <c r="AI197" s="228"/>
      <c r="AJ197" s="228"/>
    </row>
    <row r="198" spans="3:36" s="47" customFormat="1" x14ac:dyDescent="0.2">
      <c r="C198" s="228"/>
      <c r="D198" s="231"/>
      <c r="E198" s="231"/>
      <c r="F198" s="231"/>
      <c r="G198" s="228"/>
      <c r="H198" s="228"/>
      <c r="I198" s="228"/>
      <c r="J198" s="228"/>
      <c r="K198" s="228"/>
      <c r="L198" s="228"/>
      <c r="M198" s="228"/>
      <c r="N198" s="228"/>
      <c r="O198" s="228"/>
      <c r="U198" s="228"/>
      <c r="V198" s="228"/>
      <c r="W198" s="228"/>
      <c r="X198" s="228"/>
      <c r="Y198" s="228"/>
      <c r="Z198" s="228"/>
      <c r="AA198" s="228"/>
      <c r="AB198" s="228"/>
      <c r="AC198" s="228"/>
      <c r="AD198" s="228"/>
      <c r="AE198" s="228"/>
      <c r="AF198" s="228"/>
      <c r="AG198" s="228"/>
      <c r="AH198" s="228"/>
      <c r="AI198" s="228"/>
      <c r="AJ198" s="228"/>
    </row>
    <row r="199" spans="3:36" s="47" customFormat="1" x14ac:dyDescent="0.2">
      <c r="C199" s="228"/>
      <c r="D199" s="231"/>
      <c r="E199" s="231"/>
      <c r="F199" s="231"/>
      <c r="G199" s="228"/>
      <c r="H199" s="228"/>
      <c r="I199" s="228"/>
      <c r="J199" s="228"/>
      <c r="K199" s="228"/>
      <c r="L199" s="228"/>
      <c r="M199" s="228"/>
      <c r="N199" s="228"/>
      <c r="O199" s="228"/>
      <c r="U199" s="228"/>
      <c r="V199" s="228"/>
      <c r="W199" s="228"/>
      <c r="X199" s="228"/>
      <c r="Y199" s="228"/>
      <c r="Z199" s="228"/>
      <c r="AA199" s="228"/>
      <c r="AB199" s="228"/>
      <c r="AC199" s="228"/>
      <c r="AD199" s="228"/>
      <c r="AE199" s="228"/>
      <c r="AF199" s="228"/>
      <c r="AG199" s="228"/>
      <c r="AH199" s="228"/>
      <c r="AI199" s="228"/>
      <c r="AJ199" s="228"/>
    </row>
    <row r="200" spans="3:36" s="47" customFormat="1" x14ac:dyDescent="0.2">
      <c r="C200" s="228"/>
      <c r="D200" s="231"/>
      <c r="E200" s="231"/>
      <c r="F200" s="231"/>
      <c r="G200" s="228"/>
      <c r="H200" s="228"/>
      <c r="I200" s="228"/>
      <c r="J200" s="228"/>
      <c r="K200" s="228"/>
      <c r="L200" s="228"/>
      <c r="M200" s="228"/>
      <c r="N200" s="228"/>
      <c r="O200" s="228"/>
      <c r="U200" s="228"/>
      <c r="V200" s="228"/>
      <c r="W200" s="228"/>
      <c r="X200" s="228"/>
      <c r="Y200" s="228"/>
      <c r="Z200" s="228"/>
      <c r="AA200" s="228"/>
      <c r="AB200" s="228"/>
      <c r="AC200" s="228"/>
      <c r="AD200" s="228"/>
      <c r="AE200" s="228"/>
      <c r="AF200" s="228"/>
      <c r="AG200" s="228"/>
      <c r="AH200" s="228"/>
      <c r="AI200" s="228"/>
      <c r="AJ200" s="228"/>
    </row>
    <row r="201" spans="3:36" s="47" customFormat="1" x14ac:dyDescent="0.2">
      <c r="C201" s="228"/>
      <c r="D201" s="231"/>
      <c r="E201" s="231"/>
      <c r="F201" s="231"/>
      <c r="G201" s="228"/>
      <c r="H201" s="228"/>
      <c r="I201" s="228"/>
      <c r="J201" s="228"/>
      <c r="K201" s="228"/>
      <c r="L201" s="228"/>
      <c r="M201" s="228"/>
      <c r="N201" s="228"/>
      <c r="O201" s="228"/>
      <c r="U201" s="228"/>
      <c r="V201" s="228"/>
      <c r="W201" s="228"/>
      <c r="X201" s="228"/>
      <c r="Y201" s="228"/>
      <c r="Z201" s="228"/>
      <c r="AA201" s="228"/>
      <c r="AB201" s="228"/>
      <c r="AC201" s="228"/>
      <c r="AD201" s="228"/>
      <c r="AE201" s="228"/>
      <c r="AF201" s="228"/>
      <c r="AG201" s="228"/>
      <c r="AH201" s="228"/>
      <c r="AI201" s="228"/>
      <c r="AJ201" s="228"/>
    </row>
    <row r="202" spans="3:36" s="47" customFormat="1" x14ac:dyDescent="0.2">
      <c r="C202" s="228"/>
      <c r="D202" s="231"/>
      <c r="E202" s="231"/>
      <c r="F202" s="231"/>
      <c r="G202" s="228"/>
      <c r="H202" s="228"/>
      <c r="I202" s="228"/>
      <c r="J202" s="228"/>
      <c r="K202" s="228"/>
      <c r="L202" s="228"/>
      <c r="M202" s="228"/>
      <c r="N202" s="228"/>
      <c r="O202" s="228"/>
      <c r="U202" s="228"/>
      <c r="V202" s="228"/>
      <c r="W202" s="228"/>
      <c r="X202" s="228"/>
      <c r="Y202" s="228"/>
      <c r="Z202" s="228"/>
      <c r="AA202" s="228"/>
      <c r="AB202" s="228"/>
      <c r="AC202" s="228"/>
      <c r="AD202" s="228"/>
      <c r="AE202" s="228"/>
      <c r="AF202" s="228"/>
      <c r="AG202" s="228"/>
      <c r="AH202" s="228"/>
      <c r="AI202" s="228"/>
      <c r="AJ202" s="228"/>
    </row>
    <row r="203" spans="3:36" s="47" customFormat="1" x14ac:dyDescent="0.2">
      <c r="C203" s="228"/>
      <c r="D203" s="231"/>
      <c r="E203" s="231"/>
      <c r="F203" s="231"/>
      <c r="G203" s="228"/>
      <c r="H203" s="228"/>
      <c r="I203" s="228"/>
      <c r="J203" s="228"/>
      <c r="K203" s="228"/>
      <c r="L203" s="228"/>
      <c r="M203" s="228"/>
      <c r="N203" s="228"/>
      <c r="O203" s="228"/>
      <c r="U203" s="228"/>
      <c r="V203" s="228"/>
      <c r="W203" s="228"/>
      <c r="X203" s="228"/>
      <c r="Y203" s="228"/>
      <c r="Z203" s="228"/>
      <c r="AA203" s="228"/>
      <c r="AB203" s="228"/>
      <c r="AC203" s="228"/>
      <c r="AD203" s="228"/>
      <c r="AE203" s="228"/>
      <c r="AF203" s="228"/>
      <c r="AG203" s="228"/>
      <c r="AH203" s="228"/>
      <c r="AI203" s="228"/>
      <c r="AJ203" s="228"/>
    </row>
    <row r="204" spans="3:36" s="47" customFormat="1" x14ac:dyDescent="0.2">
      <c r="C204" s="228"/>
      <c r="D204" s="231"/>
      <c r="E204" s="231"/>
      <c r="F204" s="231"/>
      <c r="G204" s="228"/>
      <c r="H204" s="228"/>
      <c r="I204" s="228"/>
      <c r="J204" s="228"/>
      <c r="K204" s="228"/>
      <c r="L204" s="228"/>
      <c r="M204" s="228"/>
      <c r="N204" s="228"/>
      <c r="O204" s="228"/>
      <c r="U204" s="228"/>
      <c r="V204" s="228"/>
      <c r="W204" s="228"/>
      <c r="X204" s="228"/>
      <c r="Y204" s="228"/>
      <c r="Z204" s="228"/>
      <c r="AA204" s="228"/>
      <c r="AB204" s="228"/>
      <c r="AC204" s="228"/>
      <c r="AD204" s="228"/>
      <c r="AE204" s="228"/>
      <c r="AF204" s="228"/>
      <c r="AG204" s="228"/>
      <c r="AH204" s="228"/>
      <c r="AI204" s="228"/>
      <c r="AJ204" s="228"/>
    </row>
    <row r="205" spans="3:36" s="47" customFormat="1" x14ac:dyDescent="0.2">
      <c r="C205" s="228"/>
      <c r="D205" s="231"/>
      <c r="E205" s="231"/>
      <c r="F205" s="231"/>
      <c r="G205" s="228"/>
      <c r="H205" s="228"/>
      <c r="I205" s="228"/>
      <c r="J205" s="228"/>
      <c r="K205" s="228"/>
      <c r="L205" s="228"/>
      <c r="M205" s="228"/>
      <c r="N205" s="228"/>
      <c r="O205" s="228"/>
      <c r="U205" s="228"/>
      <c r="V205" s="228"/>
      <c r="W205" s="228"/>
      <c r="X205" s="228"/>
      <c r="Y205" s="228"/>
      <c r="Z205" s="228"/>
      <c r="AA205" s="228"/>
      <c r="AB205" s="228"/>
      <c r="AC205" s="228"/>
      <c r="AD205" s="228"/>
      <c r="AE205" s="228"/>
      <c r="AF205" s="228"/>
      <c r="AG205" s="228"/>
      <c r="AH205" s="228"/>
      <c r="AI205" s="228"/>
      <c r="AJ205" s="228"/>
    </row>
    <row r="206" spans="3:36" s="47" customFormat="1" x14ac:dyDescent="0.2">
      <c r="C206" s="228"/>
      <c r="D206" s="231"/>
      <c r="E206" s="231"/>
      <c r="F206" s="231"/>
      <c r="G206" s="228"/>
      <c r="H206" s="228"/>
      <c r="I206" s="228"/>
      <c r="J206" s="228"/>
      <c r="K206" s="228"/>
      <c r="L206" s="228"/>
      <c r="M206" s="228"/>
      <c r="N206" s="228"/>
      <c r="O206" s="228"/>
      <c r="U206" s="228"/>
      <c r="V206" s="228"/>
      <c r="W206" s="228"/>
      <c r="X206" s="228"/>
      <c r="Y206" s="228"/>
      <c r="Z206" s="228"/>
      <c r="AA206" s="228"/>
      <c r="AB206" s="228"/>
      <c r="AC206" s="228"/>
      <c r="AD206" s="228"/>
      <c r="AE206" s="228"/>
      <c r="AF206" s="228"/>
      <c r="AG206" s="228"/>
      <c r="AH206" s="228"/>
      <c r="AI206" s="228"/>
      <c r="AJ206" s="228"/>
    </row>
    <row r="207" spans="3:36" s="47" customFormat="1" x14ac:dyDescent="0.2">
      <c r="C207" s="228"/>
      <c r="D207" s="231"/>
      <c r="E207" s="231"/>
      <c r="F207" s="231"/>
      <c r="G207" s="228"/>
      <c r="H207" s="228"/>
      <c r="I207" s="228"/>
      <c r="J207" s="228"/>
      <c r="K207" s="228"/>
      <c r="L207" s="228"/>
      <c r="M207" s="228"/>
      <c r="N207" s="228"/>
      <c r="O207" s="228"/>
      <c r="U207" s="228"/>
      <c r="V207" s="228"/>
      <c r="W207" s="228"/>
      <c r="X207" s="228"/>
      <c r="Y207" s="228"/>
      <c r="Z207" s="228"/>
      <c r="AA207" s="228"/>
      <c r="AB207" s="228"/>
      <c r="AC207" s="228"/>
      <c r="AD207" s="228"/>
      <c r="AE207" s="228"/>
      <c r="AF207" s="228"/>
      <c r="AG207" s="228"/>
      <c r="AH207" s="228"/>
      <c r="AI207" s="228"/>
      <c r="AJ207" s="228"/>
    </row>
    <row r="208" spans="3:36" s="47" customFormat="1" x14ac:dyDescent="0.2">
      <c r="C208" s="228"/>
      <c r="D208" s="231"/>
      <c r="E208" s="231"/>
      <c r="F208" s="231"/>
      <c r="G208" s="228"/>
      <c r="H208" s="228"/>
      <c r="I208" s="228"/>
      <c r="J208" s="228"/>
      <c r="K208" s="228"/>
      <c r="L208" s="228"/>
      <c r="M208" s="228"/>
      <c r="N208" s="228"/>
      <c r="O208" s="228"/>
      <c r="U208" s="228"/>
      <c r="V208" s="228"/>
      <c r="W208" s="228"/>
      <c r="X208" s="228"/>
      <c r="Y208" s="228"/>
      <c r="Z208" s="228"/>
      <c r="AA208" s="228"/>
      <c r="AB208" s="228"/>
      <c r="AC208" s="228"/>
      <c r="AD208" s="228"/>
      <c r="AE208" s="228"/>
      <c r="AF208" s="228"/>
      <c r="AG208" s="228"/>
      <c r="AH208" s="228"/>
      <c r="AI208" s="228"/>
      <c r="AJ208" s="228"/>
    </row>
    <row r="209" spans="3:36" s="47" customFormat="1" x14ac:dyDescent="0.2">
      <c r="C209" s="228"/>
      <c r="D209" s="231"/>
      <c r="E209" s="231"/>
      <c r="F209" s="231"/>
      <c r="G209" s="228"/>
      <c r="H209" s="228"/>
      <c r="I209" s="228"/>
      <c r="J209" s="228"/>
      <c r="K209" s="228"/>
      <c r="L209" s="228"/>
      <c r="M209" s="228"/>
      <c r="N209" s="228"/>
      <c r="O209" s="228"/>
      <c r="U209" s="228"/>
      <c r="V209" s="228"/>
      <c r="W209" s="228"/>
      <c r="X209" s="228"/>
      <c r="Y209" s="228"/>
      <c r="Z209" s="228"/>
      <c r="AA209" s="228"/>
      <c r="AB209" s="228"/>
      <c r="AC209" s="228"/>
      <c r="AD209" s="228"/>
      <c r="AE209" s="228"/>
      <c r="AF209" s="228"/>
      <c r="AG209" s="228"/>
      <c r="AH209" s="228"/>
      <c r="AI209" s="228"/>
      <c r="AJ209" s="228"/>
    </row>
    <row r="210" spans="3:36" s="47" customFormat="1" x14ac:dyDescent="0.2">
      <c r="C210" s="228"/>
      <c r="D210" s="231"/>
      <c r="E210" s="231"/>
      <c r="F210" s="231"/>
      <c r="G210" s="228"/>
      <c r="H210" s="228"/>
      <c r="I210" s="228"/>
      <c r="J210" s="228"/>
      <c r="K210" s="228"/>
      <c r="L210" s="228"/>
      <c r="M210" s="228"/>
      <c r="N210" s="228"/>
      <c r="O210" s="228"/>
      <c r="U210" s="228"/>
      <c r="V210" s="228"/>
      <c r="W210" s="228"/>
      <c r="X210" s="228"/>
      <c r="Y210" s="228"/>
      <c r="Z210" s="228"/>
      <c r="AA210" s="228"/>
      <c r="AB210" s="228"/>
      <c r="AC210" s="228"/>
      <c r="AD210" s="228"/>
      <c r="AE210" s="228"/>
      <c r="AF210" s="228"/>
      <c r="AG210" s="228"/>
      <c r="AH210" s="228"/>
      <c r="AI210" s="228"/>
      <c r="AJ210" s="228"/>
    </row>
    <row r="211" spans="3:36" s="47" customFormat="1" x14ac:dyDescent="0.2">
      <c r="C211" s="228"/>
      <c r="D211" s="231"/>
      <c r="E211" s="231"/>
      <c r="F211" s="231"/>
      <c r="G211" s="228"/>
      <c r="H211" s="228"/>
      <c r="I211" s="228"/>
      <c r="J211" s="228"/>
      <c r="K211" s="228"/>
      <c r="L211" s="228"/>
      <c r="M211" s="228"/>
      <c r="N211" s="228"/>
      <c r="O211" s="228"/>
      <c r="U211" s="228"/>
      <c r="V211" s="228"/>
      <c r="W211" s="228"/>
      <c r="X211" s="228"/>
      <c r="Y211" s="228"/>
      <c r="Z211" s="228"/>
      <c r="AA211" s="228"/>
      <c r="AB211" s="228"/>
      <c r="AC211" s="228"/>
      <c r="AD211" s="228"/>
      <c r="AE211" s="228"/>
      <c r="AF211" s="228"/>
      <c r="AG211" s="228"/>
      <c r="AH211" s="228"/>
      <c r="AI211" s="228"/>
      <c r="AJ211" s="228"/>
    </row>
    <row r="212" spans="3:36" s="47" customFormat="1" x14ac:dyDescent="0.2">
      <c r="C212" s="228"/>
      <c r="D212" s="231"/>
      <c r="E212" s="231"/>
      <c r="F212" s="231"/>
      <c r="G212" s="228"/>
      <c r="H212" s="228"/>
      <c r="I212" s="228"/>
      <c r="J212" s="228"/>
      <c r="K212" s="228"/>
      <c r="L212" s="228"/>
      <c r="M212" s="228"/>
      <c r="N212" s="228"/>
      <c r="O212" s="228"/>
      <c r="U212" s="228"/>
      <c r="V212" s="228"/>
      <c r="W212" s="228"/>
      <c r="X212" s="228"/>
      <c r="Y212" s="228"/>
      <c r="Z212" s="228"/>
      <c r="AA212" s="228"/>
      <c r="AB212" s="228"/>
      <c r="AC212" s="228"/>
      <c r="AD212" s="228"/>
      <c r="AE212" s="228"/>
      <c r="AF212" s="228"/>
      <c r="AG212" s="228"/>
      <c r="AH212" s="228"/>
      <c r="AI212" s="228"/>
      <c r="AJ212" s="228"/>
    </row>
    <row r="213" spans="3:36" s="47" customFormat="1" x14ac:dyDescent="0.2">
      <c r="C213" s="228"/>
      <c r="D213" s="231"/>
      <c r="E213" s="231"/>
      <c r="F213" s="231"/>
      <c r="G213" s="228"/>
      <c r="H213" s="228"/>
      <c r="I213" s="228"/>
      <c r="J213" s="228"/>
      <c r="K213" s="228"/>
      <c r="L213" s="228"/>
      <c r="M213" s="228"/>
      <c r="N213" s="228"/>
      <c r="O213" s="228"/>
      <c r="U213" s="228"/>
      <c r="V213" s="228"/>
      <c r="W213" s="228"/>
      <c r="X213" s="228"/>
      <c r="Y213" s="228"/>
      <c r="Z213" s="228"/>
      <c r="AA213" s="228"/>
      <c r="AB213" s="228"/>
      <c r="AC213" s="228"/>
      <c r="AD213" s="228"/>
      <c r="AE213" s="228"/>
      <c r="AF213" s="228"/>
      <c r="AG213" s="228"/>
      <c r="AH213" s="228"/>
      <c r="AI213" s="228"/>
      <c r="AJ213" s="228"/>
    </row>
    <row r="214" spans="3:36" s="47" customFormat="1" x14ac:dyDescent="0.2">
      <c r="C214" s="228"/>
      <c r="D214" s="231"/>
      <c r="E214" s="231"/>
      <c r="F214" s="231"/>
      <c r="G214" s="228"/>
      <c r="H214" s="228"/>
      <c r="I214" s="228"/>
      <c r="J214" s="228"/>
      <c r="K214" s="228"/>
      <c r="L214" s="228"/>
      <c r="M214" s="228"/>
      <c r="N214" s="228"/>
      <c r="O214" s="228"/>
      <c r="U214" s="228"/>
      <c r="V214" s="228"/>
      <c r="W214" s="228"/>
      <c r="X214" s="228"/>
      <c r="Y214" s="228"/>
      <c r="Z214" s="228"/>
      <c r="AA214" s="228"/>
      <c r="AB214" s="228"/>
      <c r="AC214" s="228"/>
      <c r="AD214" s="228"/>
      <c r="AE214" s="228"/>
      <c r="AF214" s="228"/>
      <c r="AG214" s="228"/>
      <c r="AH214" s="228"/>
      <c r="AI214" s="228"/>
      <c r="AJ214" s="228"/>
    </row>
    <row r="215" spans="3:36" s="47" customFormat="1" x14ac:dyDescent="0.2">
      <c r="C215" s="228"/>
      <c r="D215" s="231"/>
      <c r="E215" s="231"/>
      <c r="F215" s="231"/>
      <c r="G215" s="228"/>
      <c r="H215" s="228"/>
      <c r="I215" s="228"/>
      <c r="J215" s="228"/>
      <c r="K215" s="228"/>
      <c r="L215" s="228"/>
      <c r="M215" s="228"/>
      <c r="N215" s="228"/>
      <c r="O215" s="228"/>
      <c r="U215" s="228"/>
      <c r="V215" s="228"/>
      <c r="W215" s="228"/>
      <c r="X215" s="228"/>
      <c r="Y215" s="228"/>
      <c r="Z215" s="228"/>
      <c r="AA215" s="228"/>
      <c r="AB215" s="228"/>
      <c r="AC215" s="228"/>
      <c r="AD215" s="228"/>
      <c r="AE215" s="228"/>
      <c r="AF215" s="228"/>
      <c r="AG215" s="228"/>
      <c r="AH215" s="228"/>
      <c r="AI215" s="228"/>
      <c r="AJ215" s="228"/>
    </row>
    <row r="216" spans="3:36" s="47" customFormat="1" x14ac:dyDescent="0.2">
      <c r="C216" s="228"/>
      <c r="D216" s="231"/>
      <c r="E216" s="231"/>
      <c r="F216" s="231"/>
      <c r="G216" s="228"/>
      <c r="H216" s="228"/>
      <c r="I216" s="228"/>
      <c r="J216" s="228"/>
      <c r="K216" s="228"/>
      <c r="L216" s="228"/>
      <c r="M216" s="228"/>
      <c r="N216" s="228"/>
      <c r="O216" s="228"/>
      <c r="U216" s="228"/>
      <c r="V216" s="228"/>
      <c r="W216" s="228"/>
      <c r="X216" s="228"/>
      <c r="Y216" s="228"/>
      <c r="Z216" s="228"/>
      <c r="AA216" s="228"/>
      <c r="AB216" s="228"/>
      <c r="AC216" s="228"/>
      <c r="AD216" s="228"/>
      <c r="AE216" s="228"/>
      <c r="AF216" s="228"/>
      <c r="AG216" s="228"/>
      <c r="AH216" s="228"/>
      <c r="AI216" s="228"/>
      <c r="AJ216" s="228"/>
    </row>
    <row r="217" spans="3:36" s="47" customFormat="1" x14ac:dyDescent="0.2">
      <c r="C217" s="228"/>
      <c r="D217" s="231"/>
      <c r="E217" s="231"/>
      <c r="F217" s="231"/>
      <c r="G217" s="228"/>
      <c r="H217" s="228"/>
      <c r="I217" s="228"/>
      <c r="J217" s="228"/>
      <c r="K217" s="228"/>
      <c r="L217" s="228"/>
      <c r="M217" s="228"/>
      <c r="N217" s="228"/>
      <c r="O217" s="228"/>
      <c r="U217" s="228"/>
      <c r="V217" s="228"/>
      <c r="W217" s="228"/>
      <c r="X217" s="228"/>
      <c r="Y217" s="228"/>
      <c r="Z217" s="228"/>
      <c r="AA217" s="228"/>
      <c r="AB217" s="228"/>
      <c r="AC217" s="228"/>
      <c r="AD217" s="228"/>
      <c r="AE217" s="228"/>
      <c r="AF217" s="228"/>
      <c r="AG217" s="228"/>
      <c r="AH217" s="228"/>
      <c r="AI217" s="228"/>
      <c r="AJ217" s="228"/>
    </row>
    <row r="218" spans="3:36" s="47" customFormat="1" x14ac:dyDescent="0.2">
      <c r="C218" s="228"/>
      <c r="D218" s="231"/>
      <c r="E218" s="231"/>
      <c r="F218" s="231"/>
      <c r="G218" s="228"/>
      <c r="H218" s="228"/>
      <c r="I218" s="228"/>
      <c r="J218" s="228"/>
      <c r="K218" s="228"/>
      <c r="L218" s="228"/>
      <c r="M218" s="228"/>
      <c r="N218" s="228"/>
      <c r="O218" s="228"/>
      <c r="U218" s="228"/>
      <c r="V218" s="228"/>
      <c r="W218" s="228"/>
      <c r="X218" s="228"/>
      <c r="Y218" s="228"/>
      <c r="Z218" s="228"/>
      <c r="AA218" s="228"/>
      <c r="AB218" s="228"/>
      <c r="AC218" s="228"/>
      <c r="AD218" s="228"/>
      <c r="AE218" s="228"/>
      <c r="AF218" s="228"/>
      <c r="AG218" s="228"/>
      <c r="AH218" s="228"/>
      <c r="AI218" s="228"/>
      <c r="AJ218" s="228"/>
    </row>
    <row r="219" spans="3:36" s="47" customFormat="1" x14ac:dyDescent="0.2">
      <c r="C219" s="228"/>
      <c r="D219" s="231"/>
      <c r="E219" s="231"/>
      <c r="F219" s="231"/>
      <c r="G219" s="228"/>
      <c r="H219" s="228"/>
      <c r="I219" s="228"/>
      <c r="J219" s="228"/>
      <c r="K219" s="228"/>
      <c r="L219" s="228"/>
      <c r="M219" s="228"/>
      <c r="N219" s="228"/>
      <c r="O219" s="228"/>
      <c r="U219" s="228"/>
      <c r="V219" s="228"/>
      <c r="W219" s="228"/>
      <c r="X219" s="228"/>
      <c r="Y219" s="228"/>
      <c r="Z219" s="228"/>
      <c r="AA219" s="228"/>
      <c r="AB219" s="228"/>
      <c r="AC219" s="228"/>
      <c r="AD219" s="228"/>
      <c r="AE219" s="228"/>
      <c r="AF219" s="228"/>
      <c r="AG219" s="228"/>
      <c r="AH219" s="228"/>
      <c r="AI219" s="228"/>
      <c r="AJ219" s="228"/>
    </row>
    <row r="220" spans="3:36" s="47" customFormat="1" x14ac:dyDescent="0.2">
      <c r="C220" s="228"/>
      <c r="D220" s="231"/>
      <c r="E220" s="231"/>
      <c r="F220" s="231"/>
      <c r="G220" s="228"/>
      <c r="H220" s="228"/>
      <c r="I220" s="228"/>
      <c r="J220" s="228"/>
      <c r="K220" s="228"/>
      <c r="L220" s="228"/>
      <c r="M220" s="228"/>
      <c r="N220" s="228"/>
      <c r="O220" s="228"/>
      <c r="U220" s="228"/>
      <c r="V220" s="228"/>
      <c r="W220" s="228"/>
      <c r="X220" s="228"/>
      <c r="Y220" s="228"/>
      <c r="Z220" s="228"/>
      <c r="AA220" s="228"/>
      <c r="AB220" s="228"/>
      <c r="AC220" s="228"/>
      <c r="AD220" s="228"/>
      <c r="AE220" s="228"/>
      <c r="AF220" s="228"/>
      <c r="AG220" s="228"/>
      <c r="AH220" s="228"/>
      <c r="AI220" s="228"/>
      <c r="AJ220" s="228"/>
    </row>
    <row r="221" spans="3:36" s="47" customFormat="1" x14ac:dyDescent="0.2">
      <c r="C221" s="228"/>
      <c r="D221" s="231"/>
      <c r="E221" s="231"/>
      <c r="F221" s="231"/>
      <c r="G221" s="228"/>
      <c r="H221" s="228"/>
      <c r="I221" s="228"/>
      <c r="J221" s="228"/>
      <c r="K221" s="228"/>
      <c r="L221" s="228"/>
      <c r="M221" s="228"/>
      <c r="N221" s="228"/>
      <c r="O221" s="228"/>
      <c r="U221" s="228"/>
      <c r="V221" s="228"/>
      <c r="W221" s="228"/>
      <c r="X221" s="228"/>
      <c r="Y221" s="228"/>
      <c r="Z221" s="228"/>
      <c r="AA221" s="228"/>
      <c r="AB221" s="228"/>
      <c r="AC221" s="228"/>
      <c r="AD221" s="228"/>
      <c r="AE221" s="228"/>
      <c r="AF221" s="228"/>
      <c r="AG221" s="228"/>
      <c r="AH221" s="228"/>
      <c r="AI221" s="228"/>
      <c r="AJ221" s="228"/>
    </row>
    <row r="222" spans="3:36" s="47" customFormat="1" x14ac:dyDescent="0.2">
      <c r="C222" s="228"/>
      <c r="D222" s="231"/>
      <c r="E222" s="231"/>
      <c r="F222" s="231"/>
      <c r="G222" s="228"/>
      <c r="H222" s="228"/>
      <c r="I222" s="228"/>
      <c r="J222" s="228"/>
      <c r="K222" s="228"/>
      <c r="L222" s="228"/>
      <c r="M222" s="228"/>
      <c r="N222" s="228"/>
      <c r="O222" s="228"/>
      <c r="U222" s="228"/>
      <c r="V222" s="228"/>
      <c r="W222" s="228"/>
      <c r="X222" s="228"/>
      <c r="Y222" s="228"/>
      <c r="Z222" s="228"/>
      <c r="AA222" s="228"/>
      <c r="AB222" s="228"/>
      <c r="AC222" s="228"/>
      <c r="AD222" s="228"/>
      <c r="AE222" s="228"/>
      <c r="AF222" s="228"/>
      <c r="AG222" s="228"/>
      <c r="AH222" s="228"/>
      <c r="AI222" s="228"/>
      <c r="AJ222" s="228"/>
    </row>
    <row r="223" spans="3:36" s="47" customFormat="1" x14ac:dyDescent="0.2">
      <c r="C223" s="228"/>
      <c r="D223" s="231"/>
      <c r="E223" s="231"/>
      <c r="F223" s="231"/>
      <c r="G223" s="228"/>
      <c r="H223" s="228"/>
      <c r="I223" s="228"/>
      <c r="J223" s="228"/>
      <c r="K223" s="228"/>
      <c r="L223" s="228"/>
      <c r="M223" s="228"/>
      <c r="N223" s="228"/>
      <c r="O223" s="228"/>
      <c r="U223" s="228"/>
      <c r="V223" s="228"/>
      <c r="W223" s="228"/>
      <c r="X223" s="228"/>
      <c r="Y223" s="228"/>
      <c r="Z223" s="228"/>
      <c r="AA223" s="228"/>
      <c r="AB223" s="228"/>
      <c r="AC223" s="228"/>
      <c r="AD223" s="228"/>
      <c r="AE223" s="228"/>
      <c r="AF223" s="228"/>
      <c r="AG223" s="228"/>
      <c r="AH223" s="228"/>
      <c r="AI223" s="228"/>
      <c r="AJ223" s="228"/>
    </row>
    <row r="224" spans="3:36" s="47" customFormat="1" x14ac:dyDescent="0.2">
      <c r="C224" s="228"/>
      <c r="D224" s="231"/>
      <c r="E224" s="231"/>
      <c r="F224" s="231"/>
      <c r="G224" s="228"/>
      <c r="H224" s="228"/>
      <c r="I224" s="228"/>
      <c r="J224" s="228"/>
      <c r="K224" s="228"/>
      <c r="L224" s="228"/>
      <c r="M224" s="228"/>
      <c r="N224" s="228"/>
      <c r="O224" s="228"/>
      <c r="U224" s="228"/>
      <c r="V224" s="228"/>
      <c r="W224" s="228"/>
      <c r="X224" s="228"/>
      <c r="Y224" s="228"/>
      <c r="Z224" s="228"/>
      <c r="AA224" s="228"/>
      <c r="AB224" s="228"/>
      <c r="AC224" s="228"/>
      <c r="AD224" s="228"/>
      <c r="AE224" s="228"/>
      <c r="AF224" s="228"/>
      <c r="AG224" s="228"/>
      <c r="AH224" s="228"/>
      <c r="AI224" s="228"/>
      <c r="AJ224" s="228"/>
    </row>
    <row r="225" spans="3:36" s="47" customFormat="1" x14ac:dyDescent="0.2">
      <c r="C225" s="228"/>
      <c r="D225" s="231"/>
      <c r="E225" s="231"/>
      <c r="F225" s="231"/>
      <c r="G225" s="228"/>
      <c r="H225" s="228"/>
      <c r="I225" s="228"/>
      <c r="J225" s="228"/>
      <c r="K225" s="228"/>
      <c r="L225" s="228"/>
      <c r="M225" s="228"/>
      <c r="N225" s="228"/>
      <c r="O225" s="228"/>
      <c r="U225" s="228"/>
      <c r="V225" s="228"/>
      <c r="W225" s="228"/>
      <c r="X225" s="228"/>
      <c r="Y225" s="228"/>
      <c r="Z225" s="228"/>
      <c r="AA225" s="228"/>
      <c r="AB225" s="228"/>
      <c r="AC225" s="228"/>
      <c r="AD225" s="228"/>
      <c r="AE225" s="228"/>
      <c r="AF225" s="228"/>
      <c r="AG225" s="228"/>
      <c r="AH225" s="228"/>
      <c r="AI225" s="228"/>
      <c r="AJ225" s="228"/>
    </row>
    <row r="226" spans="3:36" s="47" customFormat="1" x14ac:dyDescent="0.2">
      <c r="C226" s="228"/>
      <c r="D226" s="231"/>
      <c r="E226" s="231"/>
      <c r="F226" s="231"/>
      <c r="G226" s="228"/>
      <c r="H226" s="228"/>
      <c r="I226" s="228"/>
      <c r="J226" s="228"/>
      <c r="K226" s="228"/>
      <c r="L226" s="228"/>
      <c r="M226" s="228"/>
      <c r="N226" s="228"/>
      <c r="O226" s="228"/>
      <c r="U226" s="228"/>
      <c r="V226" s="228"/>
      <c r="W226" s="228"/>
      <c r="X226" s="228"/>
      <c r="Y226" s="228"/>
      <c r="Z226" s="228"/>
      <c r="AA226" s="228"/>
      <c r="AB226" s="228"/>
      <c r="AC226" s="228"/>
      <c r="AD226" s="228"/>
      <c r="AE226" s="228"/>
      <c r="AF226" s="228"/>
      <c r="AG226" s="228"/>
      <c r="AH226" s="228"/>
      <c r="AI226" s="228"/>
      <c r="AJ226" s="228"/>
    </row>
    <row r="227" spans="3:36" s="47" customFormat="1" x14ac:dyDescent="0.2">
      <c r="C227" s="228"/>
      <c r="D227" s="231"/>
      <c r="E227" s="231"/>
      <c r="F227" s="231"/>
      <c r="G227" s="228"/>
      <c r="H227" s="228"/>
      <c r="I227" s="228"/>
      <c r="J227" s="228"/>
      <c r="K227" s="228"/>
      <c r="L227" s="228"/>
      <c r="M227" s="228"/>
      <c r="N227" s="228"/>
      <c r="O227" s="228"/>
      <c r="U227" s="228"/>
      <c r="V227" s="228"/>
      <c r="W227" s="228"/>
      <c r="X227" s="228"/>
      <c r="Y227" s="228"/>
      <c r="Z227" s="228"/>
      <c r="AA227" s="228"/>
      <c r="AB227" s="228"/>
      <c r="AC227" s="228"/>
      <c r="AD227" s="228"/>
      <c r="AE227" s="228"/>
      <c r="AF227" s="228"/>
      <c r="AG227" s="228"/>
      <c r="AH227" s="228"/>
      <c r="AI227" s="228"/>
      <c r="AJ227" s="228"/>
    </row>
    <row r="228" spans="3:36" s="47" customFormat="1" x14ac:dyDescent="0.2">
      <c r="C228" s="228"/>
      <c r="D228" s="231"/>
      <c r="E228" s="231"/>
      <c r="F228" s="231"/>
      <c r="G228" s="228"/>
      <c r="H228" s="228"/>
      <c r="I228" s="228"/>
      <c r="J228" s="228"/>
      <c r="K228" s="228"/>
      <c r="L228" s="228"/>
      <c r="M228" s="228"/>
      <c r="N228" s="228"/>
      <c r="O228" s="228"/>
      <c r="U228" s="228"/>
      <c r="V228" s="228"/>
      <c r="W228" s="228"/>
      <c r="X228" s="228"/>
      <c r="Y228" s="228"/>
      <c r="Z228" s="228"/>
      <c r="AA228" s="228"/>
      <c r="AB228" s="228"/>
      <c r="AC228" s="228"/>
      <c r="AD228" s="228"/>
      <c r="AE228" s="228"/>
      <c r="AF228" s="228"/>
      <c r="AG228" s="228"/>
      <c r="AH228" s="228"/>
      <c r="AI228" s="228"/>
      <c r="AJ228" s="228"/>
    </row>
    <row r="229" spans="3:36" s="47" customFormat="1" x14ac:dyDescent="0.2">
      <c r="C229" s="228"/>
      <c r="D229" s="231"/>
      <c r="E229" s="231"/>
      <c r="F229" s="231"/>
      <c r="G229" s="228"/>
      <c r="H229" s="228"/>
      <c r="I229" s="228"/>
      <c r="J229" s="228"/>
      <c r="K229" s="228"/>
      <c r="L229" s="228"/>
      <c r="M229" s="228"/>
      <c r="N229" s="228"/>
      <c r="O229" s="228"/>
      <c r="U229" s="228"/>
      <c r="V229" s="228"/>
      <c r="W229" s="228"/>
      <c r="X229" s="228"/>
      <c r="Y229" s="228"/>
      <c r="Z229" s="228"/>
      <c r="AA229" s="228"/>
      <c r="AB229" s="228"/>
      <c r="AC229" s="228"/>
      <c r="AD229" s="228"/>
      <c r="AE229" s="228"/>
      <c r="AF229" s="228"/>
      <c r="AG229" s="228"/>
      <c r="AH229" s="228"/>
      <c r="AI229" s="228"/>
      <c r="AJ229" s="228"/>
    </row>
    <row r="230" spans="3:36" s="47" customFormat="1" x14ac:dyDescent="0.2">
      <c r="C230" s="228"/>
      <c r="D230" s="231"/>
      <c r="E230" s="231"/>
      <c r="F230" s="231"/>
      <c r="G230" s="228"/>
      <c r="H230" s="228"/>
      <c r="I230" s="228"/>
      <c r="J230" s="228"/>
      <c r="K230" s="228"/>
      <c r="L230" s="228"/>
      <c r="M230" s="228"/>
      <c r="N230" s="228"/>
      <c r="O230" s="228"/>
      <c r="U230" s="228"/>
      <c r="V230" s="228"/>
      <c r="W230" s="228"/>
      <c r="X230" s="228"/>
      <c r="Y230" s="228"/>
      <c r="Z230" s="228"/>
      <c r="AA230" s="228"/>
      <c r="AB230" s="228"/>
      <c r="AC230" s="228"/>
      <c r="AD230" s="228"/>
      <c r="AE230" s="228"/>
      <c r="AF230" s="228"/>
      <c r="AG230" s="228"/>
      <c r="AH230" s="228"/>
      <c r="AI230" s="228"/>
      <c r="AJ230" s="228"/>
    </row>
    <row r="231" spans="3:36" x14ac:dyDescent="0.2">
      <c r="U231" s="228"/>
      <c r="AC231" s="228"/>
      <c r="AE231" s="228"/>
      <c r="AG231" s="228"/>
    </row>
    <row r="232" spans="3:36" x14ac:dyDescent="0.2">
      <c r="U232" s="228"/>
      <c r="AC232" s="228"/>
      <c r="AE232" s="228"/>
      <c r="AG232" s="228"/>
    </row>
    <row r="233" spans="3:36" x14ac:dyDescent="0.2">
      <c r="U233" s="228"/>
      <c r="AC233" s="228"/>
      <c r="AE233" s="228"/>
      <c r="AG233" s="228"/>
    </row>
    <row r="234" spans="3:36" x14ac:dyDescent="0.2">
      <c r="U234" s="228"/>
      <c r="AC234" s="228"/>
      <c r="AE234" s="228"/>
      <c r="AG234" s="228"/>
    </row>
    <row r="235" spans="3:36" x14ac:dyDescent="0.2">
      <c r="U235" s="228"/>
      <c r="AC235" s="228"/>
      <c r="AE235" s="228"/>
      <c r="AG235" s="228"/>
    </row>
    <row r="236" spans="3:36" x14ac:dyDescent="0.2">
      <c r="U236" s="228"/>
      <c r="AC236" s="228"/>
      <c r="AE236" s="228"/>
      <c r="AG236" s="228"/>
    </row>
    <row r="237" spans="3:36" x14ac:dyDescent="0.2">
      <c r="U237" s="228"/>
      <c r="AC237" s="228"/>
      <c r="AE237" s="228"/>
      <c r="AG237" s="228"/>
    </row>
    <row r="238" spans="3:36" x14ac:dyDescent="0.2">
      <c r="U238" s="228"/>
      <c r="AC238" s="228"/>
      <c r="AE238" s="228"/>
      <c r="AG238" s="228"/>
    </row>
    <row r="239" spans="3:36" x14ac:dyDescent="0.2">
      <c r="U239" s="228"/>
      <c r="AC239" s="228"/>
      <c r="AE239" s="228"/>
      <c r="AG239" s="228"/>
    </row>
    <row r="240" spans="3:36" x14ac:dyDescent="0.2">
      <c r="U240" s="228"/>
      <c r="AC240" s="228"/>
      <c r="AE240" s="228"/>
      <c r="AG240" s="228"/>
    </row>
    <row r="241" spans="21:33" x14ac:dyDescent="0.2">
      <c r="U241" s="228"/>
      <c r="AC241" s="228"/>
      <c r="AE241" s="228"/>
      <c r="AG241" s="228"/>
    </row>
    <row r="242" spans="21:33" x14ac:dyDescent="0.2">
      <c r="U242" s="228"/>
      <c r="AC242" s="228"/>
      <c r="AE242" s="228"/>
      <c r="AG242" s="228"/>
    </row>
    <row r="243" spans="21:33" x14ac:dyDescent="0.2">
      <c r="U243" s="228"/>
      <c r="AC243" s="228"/>
      <c r="AE243" s="228"/>
      <c r="AG243" s="228"/>
    </row>
    <row r="244" spans="21:33" x14ac:dyDescent="0.2">
      <c r="U244" s="228"/>
      <c r="AC244" s="228"/>
      <c r="AE244" s="228"/>
      <c r="AG244" s="228"/>
    </row>
    <row r="245" spans="21:33" x14ac:dyDescent="0.2">
      <c r="U245" s="228"/>
      <c r="AC245" s="228"/>
      <c r="AE245" s="228"/>
      <c r="AG245" s="228"/>
    </row>
    <row r="246" spans="21:33" x14ac:dyDescent="0.2">
      <c r="U246" s="228"/>
      <c r="AC246" s="228"/>
      <c r="AE246" s="228"/>
      <c r="AG246" s="228"/>
    </row>
    <row r="247" spans="21:33" x14ac:dyDescent="0.2">
      <c r="U247" s="228"/>
      <c r="AC247" s="228"/>
      <c r="AE247" s="228"/>
      <c r="AG247" s="228"/>
    </row>
    <row r="248" spans="21:33" x14ac:dyDescent="0.2">
      <c r="U248" s="228"/>
      <c r="AC248" s="228"/>
      <c r="AE248" s="228"/>
      <c r="AG248" s="228"/>
    </row>
    <row r="249" spans="21:33" x14ac:dyDescent="0.2">
      <c r="U249" s="228"/>
      <c r="AC249" s="228"/>
      <c r="AE249" s="228"/>
      <c r="AG249" s="228"/>
    </row>
    <row r="250" spans="21:33" x14ac:dyDescent="0.2">
      <c r="U250" s="228"/>
      <c r="AC250" s="228"/>
      <c r="AE250" s="228"/>
      <c r="AG250" s="228"/>
    </row>
    <row r="251" spans="21:33" x14ac:dyDescent="0.2">
      <c r="U251" s="228"/>
      <c r="AC251" s="228"/>
      <c r="AE251" s="228"/>
      <c r="AG251" s="228"/>
    </row>
    <row r="252" spans="21:33" x14ac:dyDescent="0.2">
      <c r="U252" s="228"/>
      <c r="AC252" s="228"/>
      <c r="AE252" s="228"/>
      <c r="AG252" s="228"/>
    </row>
    <row r="253" spans="21:33" x14ac:dyDescent="0.2">
      <c r="U253" s="228"/>
      <c r="AC253" s="228"/>
      <c r="AE253" s="228"/>
      <c r="AG253" s="228"/>
    </row>
    <row r="254" spans="21:33" x14ac:dyDescent="0.2">
      <c r="U254" s="228"/>
      <c r="AC254" s="228"/>
      <c r="AE254" s="228"/>
      <c r="AG254" s="228"/>
    </row>
    <row r="255" spans="21:33" x14ac:dyDescent="0.2">
      <c r="U255" s="228"/>
      <c r="AC255" s="228"/>
      <c r="AE255" s="228"/>
      <c r="AG255" s="228"/>
    </row>
    <row r="256" spans="21:33" x14ac:dyDescent="0.2">
      <c r="U256" s="228"/>
      <c r="AC256" s="228"/>
      <c r="AE256" s="228"/>
      <c r="AG256" s="228"/>
    </row>
    <row r="257" spans="21:33" x14ac:dyDescent="0.2">
      <c r="U257" s="228"/>
      <c r="AC257" s="228"/>
      <c r="AE257" s="228"/>
      <c r="AG257" s="228"/>
    </row>
    <row r="258" spans="21:33" x14ac:dyDescent="0.2">
      <c r="U258" s="228"/>
      <c r="AC258" s="228"/>
      <c r="AE258" s="228"/>
      <c r="AG258" s="228"/>
    </row>
    <row r="259" spans="21:33" x14ac:dyDescent="0.2">
      <c r="U259" s="228"/>
      <c r="AC259" s="228"/>
      <c r="AE259" s="228"/>
      <c r="AG259" s="228"/>
    </row>
    <row r="260" spans="21:33" x14ac:dyDescent="0.2">
      <c r="U260" s="228"/>
      <c r="AC260" s="228"/>
      <c r="AE260" s="228"/>
      <c r="AG260" s="228"/>
    </row>
    <row r="261" spans="21:33" x14ac:dyDescent="0.2">
      <c r="U261" s="228"/>
      <c r="AC261" s="228"/>
      <c r="AE261" s="228"/>
      <c r="AG261" s="228"/>
    </row>
    <row r="262" spans="21:33" x14ac:dyDescent="0.2">
      <c r="U262" s="228"/>
      <c r="AC262" s="228"/>
      <c r="AE262" s="228"/>
      <c r="AG262" s="228"/>
    </row>
    <row r="263" spans="21:33" x14ac:dyDescent="0.2">
      <c r="U263" s="228"/>
      <c r="AC263" s="228"/>
      <c r="AE263" s="228"/>
      <c r="AG263" s="228"/>
    </row>
    <row r="264" spans="21:33" x14ac:dyDescent="0.2">
      <c r="U264" s="228"/>
      <c r="AC264" s="228"/>
      <c r="AE264" s="228"/>
      <c r="AG264" s="228"/>
    </row>
    <row r="265" spans="21:33" x14ac:dyDescent="0.2">
      <c r="U265" s="228"/>
      <c r="AC265" s="228"/>
      <c r="AE265" s="228"/>
      <c r="AG265" s="228"/>
    </row>
    <row r="266" spans="21:33" x14ac:dyDescent="0.2">
      <c r="U266" s="228"/>
      <c r="AC266" s="228"/>
      <c r="AE266" s="228"/>
      <c r="AG266" s="228"/>
    </row>
    <row r="267" spans="21:33" x14ac:dyDescent="0.2">
      <c r="U267" s="228"/>
      <c r="AC267" s="228"/>
      <c r="AE267" s="228"/>
      <c r="AG267" s="228"/>
    </row>
    <row r="268" spans="21:33" x14ac:dyDescent="0.2">
      <c r="U268" s="228"/>
      <c r="AC268" s="228"/>
      <c r="AE268" s="228"/>
      <c r="AG268" s="228"/>
    </row>
    <row r="269" spans="21:33" x14ac:dyDescent="0.2">
      <c r="U269" s="228"/>
      <c r="AC269" s="228"/>
      <c r="AE269" s="228"/>
      <c r="AG269" s="228"/>
    </row>
    <row r="270" spans="21:33" x14ac:dyDescent="0.2">
      <c r="U270" s="228"/>
      <c r="AC270" s="228"/>
      <c r="AE270" s="228"/>
      <c r="AG270" s="228"/>
    </row>
    <row r="271" spans="21:33" x14ac:dyDescent="0.2">
      <c r="U271" s="228"/>
      <c r="AC271" s="228"/>
      <c r="AE271" s="228"/>
      <c r="AG271" s="228"/>
    </row>
    <row r="272" spans="21:33" x14ac:dyDescent="0.2">
      <c r="U272" s="228"/>
      <c r="AC272" s="228"/>
      <c r="AE272" s="228"/>
      <c r="AG272" s="228"/>
    </row>
    <row r="273" spans="21:33" x14ac:dyDescent="0.2">
      <c r="U273" s="228"/>
      <c r="AC273" s="228"/>
      <c r="AE273" s="228"/>
      <c r="AG273" s="228"/>
    </row>
    <row r="274" spans="21:33" x14ac:dyDescent="0.2">
      <c r="U274" s="228"/>
      <c r="AC274" s="228"/>
      <c r="AE274" s="228"/>
      <c r="AG274" s="228"/>
    </row>
    <row r="275" spans="21:33" x14ac:dyDescent="0.2">
      <c r="U275" s="228"/>
      <c r="AC275" s="228"/>
      <c r="AE275" s="228"/>
      <c r="AG275" s="228"/>
    </row>
    <row r="276" spans="21:33" x14ac:dyDescent="0.2">
      <c r="U276" s="228"/>
      <c r="AC276" s="228"/>
      <c r="AE276" s="228"/>
      <c r="AG276" s="228"/>
    </row>
    <row r="277" spans="21:33" x14ac:dyDescent="0.2">
      <c r="U277" s="228"/>
      <c r="AC277" s="228"/>
      <c r="AE277" s="228"/>
      <c r="AG277" s="228"/>
    </row>
    <row r="278" spans="21:33" x14ac:dyDescent="0.2">
      <c r="U278" s="228"/>
      <c r="AC278" s="228"/>
      <c r="AE278" s="228"/>
      <c r="AG278" s="228"/>
    </row>
    <row r="279" spans="21:33" x14ac:dyDescent="0.2">
      <c r="U279" s="228"/>
      <c r="AC279" s="228"/>
      <c r="AE279" s="228"/>
      <c r="AG279" s="228"/>
    </row>
    <row r="280" spans="21:33" x14ac:dyDescent="0.2">
      <c r="U280" s="228"/>
      <c r="AC280" s="228"/>
      <c r="AE280" s="228"/>
      <c r="AG280" s="228"/>
    </row>
    <row r="281" spans="21:33" x14ac:dyDescent="0.2">
      <c r="U281" s="228"/>
      <c r="AC281" s="228"/>
      <c r="AE281" s="228"/>
      <c r="AG281" s="228"/>
    </row>
    <row r="282" spans="21:33" x14ac:dyDescent="0.2">
      <c r="U282" s="228"/>
      <c r="AC282" s="228"/>
      <c r="AE282" s="228"/>
      <c r="AG282" s="228"/>
    </row>
    <row r="283" spans="21:33" x14ac:dyDescent="0.2">
      <c r="U283" s="228"/>
      <c r="AC283" s="228"/>
      <c r="AE283" s="228"/>
      <c r="AG283" s="228"/>
    </row>
    <row r="284" spans="21:33" x14ac:dyDescent="0.2">
      <c r="U284" s="228"/>
      <c r="AC284" s="228"/>
      <c r="AE284" s="228"/>
      <c r="AG284" s="228"/>
    </row>
    <row r="285" spans="21:33" x14ac:dyDescent="0.2">
      <c r="U285" s="228"/>
      <c r="AC285" s="228"/>
      <c r="AE285" s="228"/>
      <c r="AG285" s="228"/>
    </row>
    <row r="286" spans="21:33" x14ac:dyDescent="0.2">
      <c r="U286" s="228"/>
      <c r="AC286" s="228"/>
      <c r="AE286" s="228"/>
      <c r="AG286" s="228"/>
    </row>
    <row r="287" spans="21:33" x14ac:dyDescent="0.2">
      <c r="U287" s="228"/>
      <c r="AC287" s="228"/>
      <c r="AE287" s="228"/>
      <c r="AG287" s="228"/>
    </row>
    <row r="288" spans="21:33" x14ac:dyDescent="0.2">
      <c r="U288" s="228"/>
      <c r="AC288" s="228"/>
      <c r="AE288" s="228"/>
      <c r="AG288" s="228"/>
    </row>
    <row r="289" spans="21:33" x14ac:dyDescent="0.2">
      <c r="U289" s="228"/>
      <c r="AC289" s="228"/>
      <c r="AE289" s="228"/>
      <c r="AG289" s="228"/>
    </row>
    <row r="290" spans="21:33" x14ac:dyDescent="0.2">
      <c r="U290" s="228"/>
      <c r="AC290" s="228"/>
      <c r="AE290" s="228"/>
      <c r="AG290" s="228"/>
    </row>
    <row r="291" spans="21:33" x14ac:dyDescent="0.2">
      <c r="U291" s="228"/>
      <c r="AC291" s="228"/>
      <c r="AE291" s="228"/>
      <c r="AG291" s="228"/>
    </row>
    <row r="292" spans="21:33" x14ac:dyDescent="0.2">
      <c r="U292" s="228"/>
      <c r="AC292" s="228"/>
      <c r="AE292" s="228"/>
      <c r="AG292" s="228"/>
    </row>
    <row r="293" spans="21:33" x14ac:dyDescent="0.2">
      <c r="U293" s="228"/>
      <c r="AC293" s="228"/>
      <c r="AE293" s="228"/>
      <c r="AG293" s="228"/>
    </row>
    <row r="294" spans="21:33" x14ac:dyDescent="0.2">
      <c r="U294" s="228"/>
      <c r="AC294" s="228"/>
      <c r="AE294" s="228"/>
      <c r="AG294" s="228"/>
    </row>
    <row r="295" spans="21:33" x14ac:dyDescent="0.2">
      <c r="U295" s="228"/>
      <c r="AC295" s="228"/>
      <c r="AE295" s="228"/>
      <c r="AG295" s="228"/>
    </row>
    <row r="296" spans="21:33" x14ac:dyDescent="0.2">
      <c r="U296" s="228"/>
      <c r="AC296" s="228"/>
      <c r="AE296" s="228"/>
      <c r="AG296" s="228"/>
    </row>
    <row r="297" spans="21:33" x14ac:dyDescent="0.2">
      <c r="U297" s="228"/>
      <c r="AC297" s="228"/>
      <c r="AE297" s="228"/>
      <c r="AG297" s="228"/>
    </row>
    <row r="298" spans="21:33" x14ac:dyDescent="0.2">
      <c r="U298" s="228"/>
      <c r="AC298" s="228"/>
      <c r="AE298" s="228"/>
      <c r="AG298" s="228"/>
    </row>
    <row r="299" spans="21:33" x14ac:dyDescent="0.2">
      <c r="U299" s="228"/>
      <c r="AC299" s="228"/>
      <c r="AE299" s="228"/>
      <c r="AG299" s="228"/>
    </row>
    <row r="300" spans="21:33" x14ac:dyDescent="0.2">
      <c r="U300" s="228"/>
      <c r="AC300" s="228"/>
      <c r="AE300" s="228"/>
      <c r="AG300" s="228"/>
    </row>
    <row r="301" spans="21:33" x14ac:dyDescent="0.2">
      <c r="U301" s="228"/>
      <c r="AC301" s="228"/>
      <c r="AE301" s="228"/>
      <c r="AG301" s="228"/>
    </row>
    <row r="302" spans="21:33" x14ac:dyDescent="0.2">
      <c r="U302" s="228"/>
      <c r="AC302" s="228"/>
      <c r="AE302" s="228"/>
      <c r="AG302" s="228"/>
    </row>
    <row r="303" spans="21:33" x14ac:dyDescent="0.2">
      <c r="U303" s="228"/>
      <c r="AC303" s="228"/>
      <c r="AE303" s="228"/>
      <c r="AG303" s="228"/>
    </row>
    <row r="304" spans="21:33" x14ac:dyDescent="0.2">
      <c r="U304" s="228"/>
      <c r="AC304" s="228"/>
      <c r="AE304" s="228"/>
      <c r="AG304" s="228"/>
    </row>
    <row r="305" spans="21:33" x14ac:dyDescent="0.2">
      <c r="U305" s="228"/>
      <c r="AC305" s="228"/>
      <c r="AE305" s="228"/>
      <c r="AG305" s="228"/>
    </row>
    <row r="306" spans="21:33" x14ac:dyDescent="0.2">
      <c r="U306" s="228"/>
      <c r="AC306" s="228"/>
      <c r="AE306" s="228"/>
      <c r="AG306" s="228"/>
    </row>
    <row r="307" spans="21:33" x14ac:dyDescent="0.2">
      <c r="U307" s="228"/>
      <c r="AC307" s="228"/>
      <c r="AE307" s="228"/>
      <c r="AG307" s="228"/>
    </row>
    <row r="308" spans="21:33" x14ac:dyDescent="0.2">
      <c r="U308" s="228"/>
      <c r="AC308" s="228"/>
      <c r="AE308" s="228"/>
      <c r="AG308" s="228"/>
    </row>
    <row r="309" spans="21:33" x14ac:dyDescent="0.2">
      <c r="U309" s="228"/>
      <c r="AC309" s="228"/>
      <c r="AE309" s="228"/>
      <c r="AG309" s="228"/>
    </row>
    <row r="310" spans="21:33" x14ac:dyDescent="0.2">
      <c r="U310" s="228"/>
      <c r="AC310" s="228"/>
      <c r="AE310" s="228"/>
      <c r="AG310" s="228"/>
    </row>
    <row r="311" spans="21:33" x14ac:dyDescent="0.2">
      <c r="U311" s="228"/>
      <c r="AC311" s="228"/>
      <c r="AE311" s="228"/>
      <c r="AG311" s="228"/>
    </row>
    <row r="312" spans="21:33" x14ac:dyDescent="0.2">
      <c r="U312" s="228"/>
      <c r="AC312" s="228"/>
      <c r="AE312" s="228"/>
      <c r="AG312" s="228"/>
    </row>
    <row r="313" spans="21:33" x14ac:dyDescent="0.2">
      <c r="U313" s="228"/>
      <c r="AC313" s="228"/>
      <c r="AE313" s="228"/>
      <c r="AG313" s="228"/>
    </row>
    <row r="314" spans="21:33" x14ac:dyDescent="0.2">
      <c r="U314" s="228"/>
      <c r="AC314" s="228"/>
      <c r="AE314" s="228"/>
      <c r="AG314" s="228"/>
    </row>
    <row r="315" spans="21:33" x14ac:dyDescent="0.2">
      <c r="U315" s="228"/>
      <c r="AC315" s="228"/>
      <c r="AE315" s="228"/>
      <c r="AG315" s="228"/>
    </row>
    <row r="316" spans="21:33" x14ac:dyDescent="0.2">
      <c r="U316" s="228"/>
      <c r="AC316" s="228"/>
      <c r="AE316" s="228"/>
      <c r="AG316" s="228"/>
    </row>
    <row r="317" spans="21:33" x14ac:dyDescent="0.2">
      <c r="U317" s="228"/>
      <c r="AC317" s="228"/>
      <c r="AE317" s="228"/>
      <c r="AG317" s="228"/>
    </row>
    <row r="318" spans="21:33" x14ac:dyDescent="0.2">
      <c r="U318" s="228"/>
      <c r="AC318" s="228"/>
      <c r="AE318" s="228"/>
      <c r="AG318" s="228"/>
    </row>
    <row r="319" spans="21:33" x14ac:dyDescent="0.2">
      <c r="U319" s="228"/>
      <c r="AC319" s="228"/>
      <c r="AE319" s="228"/>
      <c r="AG319" s="228"/>
    </row>
    <row r="320" spans="21:33" x14ac:dyDescent="0.2">
      <c r="U320" s="228"/>
      <c r="AC320" s="228"/>
      <c r="AE320" s="228"/>
      <c r="AG320" s="228"/>
    </row>
    <row r="321" spans="21:33" x14ac:dyDescent="0.2">
      <c r="U321" s="228"/>
      <c r="AC321" s="228"/>
      <c r="AE321" s="228"/>
      <c r="AG321" s="228"/>
    </row>
    <row r="322" spans="21:33" x14ac:dyDescent="0.2">
      <c r="U322" s="228"/>
      <c r="AC322" s="228"/>
      <c r="AE322" s="228"/>
      <c r="AG322" s="228"/>
    </row>
    <row r="323" spans="21:33" x14ac:dyDescent="0.2">
      <c r="U323" s="228"/>
      <c r="AC323" s="228"/>
      <c r="AE323" s="228"/>
      <c r="AG323" s="228"/>
    </row>
    <row r="324" spans="21:33" x14ac:dyDescent="0.2">
      <c r="U324" s="228"/>
      <c r="AC324" s="228"/>
      <c r="AE324" s="228"/>
      <c r="AG324" s="228"/>
    </row>
    <row r="325" spans="21:33" x14ac:dyDescent="0.2">
      <c r="U325" s="228"/>
      <c r="AC325" s="228"/>
      <c r="AE325" s="228"/>
      <c r="AG325" s="228"/>
    </row>
    <row r="326" spans="21:33" x14ac:dyDescent="0.2">
      <c r="U326" s="228"/>
      <c r="AC326" s="228"/>
      <c r="AE326" s="228"/>
      <c r="AG326" s="228"/>
    </row>
    <row r="327" spans="21:33" x14ac:dyDescent="0.2">
      <c r="U327" s="228"/>
      <c r="AC327" s="228"/>
      <c r="AE327" s="228"/>
      <c r="AG327" s="228"/>
    </row>
    <row r="328" spans="21:33" x14ac:dyDescent="0.2">
      <c r="U328" s="228"/>
      <c r="AC328" s="228"/>
      <c r="AE328" s="228"/>
      <c r="AG328" s="228"/>
    </row>
    <row r="329" spans="21:33" x14ac:dyDescent="0.2">
      <c r="U329" s="228"/>
      <c r="AC329" s="228"/>
      <c r="AE329" s="228"/>
      <c r="AG329" s="228"/>
    </row>
    <row r="330" spans="21:33" x14ac:dyDescent="0.2">
      <c r="U330" s="228"/>
      <c r="AC330" s="228"/>
      <c r="AE330" s="228"/>
      <c r="AG330" s="228"/>
    </row>
    <row r="331" spans="21:33" x14ac:dyDescent="0.2">
      <c r="U331" s="228"/>
      <c r="AC331" s="228"/>
      <c r="AE331" s="228"/>
      <c r="AG331" s="228"/>
    </row>
    <row r="332" spans="21:33" x14ac:dyDescent="0.2">
      <c r="U332" s="228"/>
      <c r="AC332" s="228"/>
      <c r="AE332" s="228"/>
      <c r="AG332" s="228"/>
    </row>
    <row r="333" spans="21:33" x14ac:dyDescent="0.2">
      <c r="U333" s="228"/>
      <c r="AC333" s="228"/>
      <c r="AE333" s="228"/>
      <c r="AG333" s="228"/>
    </row>
    <row r="334" spans="21:33" x14ac:dyDescent="0.2">
      <c r="U334" s="228"/>
      <c r="AC334" s="228"/>
      <c r="AE334" s="228"/>
      <c r="AG334" s="228"/>
    </row>
    <row r="335" spans="21:33" x14ac:dyDescent="0.2">
      <c r="U335" s="228"/>
      <c r="AC335" s="228"/>
      <c r="AE335" s="228"/>
      <c r="AG335" s="228"/>
    </row>
    <row r="336" spans="21:33" x14ac:dyDescent="0.2">
      <c r="U336" s="228"/>
      <c r="AC336" s="228"/>
      <c r="AE336" s="228"/>
      <c r="AG336" s="228"/>
    </row>
    <row r="337" spans="21:33" x14ac:dyDescent="0.2">
      <c r="U337" s="228"/>
      <c r="AC337" s="228"/>
      <c r="AE337" s="228"/>
      <c r="AG337" s="228"/>
    </row>
    <row r="338" spans="21:33" x14ac:dyDescent="0.2">
      <c r="U338" s="228"/>
      <c r="AC338" s="228"/>
      <c r="AE338" s="228"/>
      <c r="AG338" s="228"/>
    </row>
    <row r="339" spans="21:33" x14ac:dyDescent="0.2">
      <c r="U339" s="228"/>
      <c r="AC339" s="228"/>
      <c r="AE339" s="228"/>
      <c r="AG339" s="228"/>
    </row>
    <row r="340" spans="21:33" x14ac:dyDescent="0.2">
      <c r="U340" s="228"/>
      <c r="AC340" s="228"/>
      <c r="AE340" s="228"/>
      <c r="AG340" s="228"/>
    </row>
    <row r="341" spans="21:33" x14ac:dyDescent="0.2">
      <c r="U341" s="228"/>
      <c r="AC341" s="228"/>
      <c r="AE341" s="228"/>
      <c r="AG341" s="228"/>
    </row>
    <row r="342" spans="21:33" x14ac:dyDescent="0.2">
      <c r="U342" s="228"/>
      <c r="AC342" s="228"/>
      <c r="AE342" s="228"/>
      <c r="AG342" s="228"/>
    </row>
    <row r="343" spans="21:33" x14ac:dyDescent="0.2">
      <c r="U343" s="228"/>
      <c r="AC343" s="228"/>
      <c r="AE343" s="228"/>
      <c r="AG343" s="228"/>
    </row>
    <row r="344" spans="21:33" x14ac:dyDescent="0.2">
      <c r="U344" s="228"/>
      <c r="AC344" s="228"/>
      <c r="AE344" s="228"/>
      <c r="AG344" s="228"/>
    </row>
    <row r="345" spans="21:33" x14ac:dyDescent="0.2">
      <c r="U345" s="228"/>
      <c r="AC345" s="228"/>
      <c r="AE345" s="228"/>
      <c r="AG345" s="228"/>
    </row>
    <row r="346" spans="21:33" x14ac:dyDescent="0.2">
      <c r="U346" s="228"/>
      <c r="AC346" s="228"/>
      <c r="AE346" s="228"/>
      <c r="AG346" s="228"/>
    </row>
    <row r="347" spans="21:33" x14ac:dyDescent="0.2">
      <c r="U347" s="228"/>
      <c r="AC347" s="228"/>
      <c r="AE347" s="228"/>
      <c r="AG347" s="228"/>
    </row>
    <row r="348" spans="21:33" x14ac:dyDescent="0.2">
      <c r="U348" s="228"/>
      <c r="AC348" s="228"/>
      <c r="AE348" s="228"/>
      <c r="AG348" s="228"/>
    </row>
    <row r="349" spans="21:33" x14ac:dyDescent="0.2">
      <c r="U349" s="228"/>
      <c r="AC349" s="228"/>
      <c r="AE349" s="228"/>
      <c r="AG349" s="228"/>
    </row>
    <row r="350" spans="21:33" x14ac:dyDescent="0.2">
      <c r="U350" s="228"/>
      <c r="AC350" s="228"/>
      <c r="AE350" s="228"/>
      <c r="AG350" s="228"/>
    </row>
    <row r="351" spans="21:33" x14ac:dyDescent="0.2">
      <c r="U351" s="228"/>
      <c r="AC351" s="228"/>
      <c r="AE351" s="228"/>
      <c r="AG351" s="228"/>
    </row>
    <row r="352" spans="21:33" x14ac:dyDescent="0.2">
      <c r="U352" s="228"/>
      <c r="AC352" s="228"/>
      <c r="AE352" s="228"/>
      <c r="AG352" s="228"/>
    </row>
    <row r="353" spans="21:33" x14ac:dyDescent="0.2">
      <c r="U353" s="228"/>
      <c r="AC353" s="228"/>
      <c r="AE353" s="228"/>
      <c r="AG353" s="228"/>
    </row>
    <row r="354" spans="21:33" x14ac:dyDescent="0.2">
      <c r="U354" s="228"/>
      <c r="AC354" s="228"/>
      <c r="AE354" s="228"/>
      <c r="AG354" s="228"/>
    </row>
    <row r="355" spans="21:33" x14ac:dyDescent="0.2">
      <c r="U355" s="228"/>
      <c r="AC355" s="228"/>
      <c r="AE355" s="228"/>
      <c r="AG355" s="228"/>
    </row>
    <row r="356" spans="21:33" x14ac:dyDescent="0.2">
      <c r="U356" s="228"/>
      <c r="AC356" s="228"/>
      <c r="AE356" s="228"/>
      <c r="AG356" s="228"/>
    </row>
    <row r="357" spans="21:33" x14ac:dyDescent="0.2">
      <c r="U357" s="228"/>
      <c r="AC357" s="228"/>
      <c r="AE357" s="228"/>
      <c r="AG357" s="228"/>
    </row>
    <row r="358" spans="21:33" x14ac:dyDescent="0.2">
      <c r="U358" s="228"/>
      <c r="AC358" s="228"/>
      <c r="AE358" s="228"/>
      <c r="AG358" s="228"/>
    </row>
    <row r="359" spans="21:33" x14ac:dyDescent="0.2">
      <c r="U359" s="228"/>
      <c r="AC359" s="228"/>
      <c r="AE359" s="228"/>
      <c r="AG359" s="228"/>
    </row>
    <row r="360" spans="21:33" x14ac:dyDescent="0.2">
      <c r="U360" s="228"/>
      <c r="AC360" s="228"/>
      <c r="AE360" s="228"/>
      <c r="AG360" s="228"/>
    </row>
    <row r="361" spans="21:33" x14ac:dyDescent="0.2">
      <c r="U361" s="228"/>
      <c r="AC361" s="228"/>
      <c r="AE361" s="228"/>
      <c r="AG361" s="228"/>
    </row>
    <row r="362" spans="21:33" x14ac:dyDescent="0.2">
      <c r="U362" s="228"/>
      <c r="AC362" s="228"/>
      <c r="AE362" s="228"/>
      <c r="AG362" s="228"/>
    </row>
    <row r="363" spans="21:33" x14ac:dyDescent="0.2">
      <c r="U363" s="228"/>
      <c r="AC363" s="228"/>
      <c r="AE363" s="228"/>
      <c r="AG363" s="228"/>
    </row>
    <row r="364" spans="21:33" x14ac:dyDescent="0.2">
      <c r="U364" s="228"/>
      <c r="AC364" s="228"/>
      <c r="AE364" s="228"/>
      <c r="AG364" s="228"/>
    </row>
    <row r="365" spans="21:33" x14ac:dyDescent="0.2">
      <c r="U365" s="228"/>
      <c r="AC365" s="228"/>
      <c r="AE365" s="228"/>
      <c r="AG365" s="228"/>
    </row>
    <row r="366" spans="21:33" x14ac:dyDescent="0.2">
      <c r="U366" s="228"/>
      <c r="AC366" s="228"/>
      <c r="AE366" s="228"/>
      <c r="AG366" s="228"/>
    </row>
    <row r="367" spans="21:33" x14ac:dyDescent="0.2">
      <c r="U367" s="228"/>
      <c r="AC367" s="228"/>
      <c r="AE367" s="228"/>
      <c r="AG367" s="228"/>
    </row>
    <row r="368" spans="21:33" x14ac:dyDescent="0.2">
      <c r="U368" s="228"/>
      <c r="AC368" s="228"/>
      <c r="AE368" s="228"/>
      <c r="AG368" s="228"/>
    </row>
    <row r="369" spans="21:33" x14ac:dyDescent="0.2">
      <c r="U369" s="228"/>
      <c r="AC369" s="228"/>
      <c r="AE369" s="228"/>
      <c r="AG369" s="228"/>
    </row>
    <row r="370" spans="21:33" x14ac:dyDescent="0.2">
      <c r="U370" s="228"/>
      <c r="AC370" s="228"/>
      <c r="AE370" s="228"/>
      <c r="AG370" s="228"/>
    </row>
    <row r="371" spans="21:33" x14ac:dyDescent="0.2">
      <c r="U371" s="228"/>
      <c r="AC371" s="228"/>
      <c r="AE371" s="228"/>
      <c r="AG371" s="228"/>
    </row>
    <row r="372" spans="21:33" x14ac:dyDescent="0.2">
      <c r="U372" s="228"/>
      <c r="AC372" s="228"/>
      <c r="AE372" s="228"/>
      <c r="AG372" s="228"/>
    </row>
    <row r="373" spans="21:33" x14ac:dyDescent="0.2">
      <c r="U373" s="228"/>
      <c r="AC373" s="228"/>
      <c r="AE373" s="228"/>
      <c r="AG373" s="228"/>
    </row>
    <row r="374" spans="21:33" x14ac:dyDescent="0.2">
      <c r="U374" s="228"/>
      <c r="AC374" s="228"/>
      <c r="AE374" s="228"/>
      <c r="AG374" s="228"/>
    </row>
    <row r="375" spans="21:33" x14ac:dyDescent="0.2">
      <c r="U375" s="228"/>
      <c r="AC375" s="228"/>
      <c r="AE375" s="228"/>
      <c r="AG375" s="228"/>
    </row>
    <row r="376" spans="21:33" x14ac:dyDescent="0.2">
      <c r="U376" s="228"/>
      <c r="AC376" s="228"/>
      <c r="AE376" s="228"/>
      <c r="AG376" s="228"/>
    </row>
    <row r="377" spans="21:33" x14ac:dyDescent="0.2">
      <c r="U377" s="228"/>
      <c r="AC377" s="228"/>
      <c r="AE377" s="228"/>
      <c r="AG377" s="228"/>
    </row>
    <row r="378" spans="21:33" x14ac:dyDescent="0.2">
      <c r="U378" s="228"/>
      <c r="AC378" s="228"/>
      <c r="AE378" s="228"/>
      <c r="AG378" s="228"/>
    </row>
    <row r="379" spans="21:33" x14ac:dyDescent="0.2">
      <c r="U379" s="228"/>
      <c r="AC379" s="228"/>
      <c r="AE379" s="228"/>
      <c r="AG379" s="228"/>
    </row>
    <row r="380" spans="21:33" x14ac:dyDescent="0.2">
      <c r="U380" s="228"/>
      <c r="AC380" s="228"/>
      <c r="AE380" s="228"/>
      <c r="AG380" s="228"/>
    </row>
    <row r="381" spans="21:33" x14ac:dyDescent="0.2">
      <c r="U381" s="228"/>
      <c r="AC381" s="228"/>
      <c r="AE381" s="228"/>
      <c r="AG381" s="228"/>
    </row>
    <row r="382" spans="21:33" x14ac:dyDescent="0.2">
      <c r="U382" s="228"/>
      <c r="AC382" s="228"/>
      <c r="AE382" s="228"/>
      <c r="AG382" s="228"/>
    </row>
    <row r="383" spans="21:33" x14ac:dyDescent="0.2">
      <c r="U383" s="228"/>
      <c r="AC383" s="228"/>
      <c r="AE383" s="228"/>
      <c r="AG383" s="228"/>
    </row>
    <row r="384" spans="21:33" x14ac:dyDescent="0.2">
      <c r="U384" s="228"/>
      <c r="AC384" s="228"/>
      <c r="AE384" s="228"/>
      <c r="AG384" s="228"/>
    </row>
    <row r="385" spans="21:33" x14ac:dyDescent="0.2">
      <c r="U385" s="228"/>
      <c r="AC385" s="228"/>
      <c r="AE385" s="228"/>
      <c r="AG385" s="228"/>
    </row>
    <row r="386" spans="21:33" x14ac:dyDescent="0.2">
      <c r="U386" s="228"/>
      <c r="AC386" s="228"/>
      <c r="AE386" s="228"/>
      <c r="AG386" s="228"/>
    </row>
    <row r="387" spans="21:33" x14ac:dyDescent="0.2">
      <c r="U387" s="228"/>
      <c r="AC387" s="228"/>
      <c r="AE387" s="228"/>
      <c r="AG387" s="228"/>
    </row>
    <row r="388" spans="21:33" x14ac:dyDescent="0.2">
      <c r="U388" s="228"/>
      <c r="AC388" s="228"/>
      <c r="AE388" s="228"/>
      <c r="AG388" s="228"/>
    </row>
    <row r="389" spans="21:33" x14ac:dyDescent="0.2">
      <c r="U389" s="228"/>
      <c r="AC389" s="228"/>
      <c r="AE389" s="228"/>
      <c r="AG389" s="228"/>
    </row>
    <row r="390" spans="21:33" x14ac:dyDescent="0.2">
      <c r="U390" s="228"/>
      <c r="AC390" s="228"/>
      <c r="AE390" s="228"/>
      <c r="AG390" s="228"/>
    </row>
    <row r="391" spans="21:33" x14ac:dyDescent="0.2">
      <c r="U391" s="228"/>
      <c r="AC391" s="228"/>
      <c r="AE391" s="228"/>
      <c r="AG391" s="228"/>
    </row>
    <row r="392" spans="21:33" x14ac:dyDescent="0.2">
      <c r="U392" s="228"/>
      <c r="AC392" s="228"/>
      <c r="AE392" s="228"/>
      <c r="AG392" s="228"/>
    </row>
    <row r="393" spans="21:33" x14ac:dyDescent="0.2">
      <c r="U393" s="228"/>
      <c r="AC393" s="228"/>
      <c r="AE393" s="228"/>
      <c r="AG393" s="228"/>
    </row>
    <row r="394" spans="21:33" x14ac:dyDescent="0.2">
      <c r="U394" s="228"/>
      <c r="AC394" s="228"/>
      <c r="AE394" s="228"/>
      <c r="AG394" s="228"/>
    </row>
    <row r="395" spans="21:33" x14ac:dyDescent="0.2">
      <c r="U395" s="228"/>
      <c r="AC395" s="228"/>
      <c r="AE395" s="228"/>
      <c r="AG395" s="228"/>
    </row>
    <row r="396" spans="21:33" x14ac:dyDescent="0.2">
      <c r="U396" s="228"/>
      <c r="AC396" s="228"/>
      <c r="AE396" s="228"/>
      <c r="AG396" s="228"/>
    </row>
    <row r="397" spans="21:33" x14ac:dyDescent="0.2">
      <c r="U397" s="228"/>
      <c r="AC397" s="228"/>
      <c r="AE397" s="228"/>
      <c r="AG397" s="228"/>
    </row>
    <row r="398" spans="21:33" x14ac:dyDescent="0.2">
      <c r="U398" s="228"/>
      <c r="AC398" s="228"/>
      <c r="AE398" s="228"/>
      <c r="AG398" s="228"/>
    </row>
    <row r="399" spans="21:33" x14ac:dyDescent="0.2">
      <c r="U399" s="228"/>
      <c r="AC399" s="228"/>
      <c r="AE399" s="228"/>
      <c r="AG399" s="228"/>
    </row>
    <row r="400" spans="21:33" x14ac:dyDescent="0.2">
      <c r="U400" s="228"/>
      <c r="AC400" s="228"/>
      <c r="AE400" s="228"/>
      <c r="AG400" s="228"/>
    </row>
    <row r="401" spans="21:33" x14ac:dyDescent="0.2">
      <c r="U401" s="228"/>
      <c r="AC401" s="228"/>
      <c r="AE401" s="228"/>
      <c r="AG401" s="228"/>
    </row>
    <row r="402" spans="21:33" x14ac:dyDescent="0.2">
      <c r="U402" s="228"/>
      <c r="AC402" s="228"/>
      <c r="AE402" s="228"/>
      <c r="AG402" s="228"/>
    </row>
    <row r="403" spans="21:33" x14ac:dyDescent="0.2">
      <c r="U403" s="228"/>
      <c r="AC403" s="228"/>
      <c r="AE403" s="228"/>
      <c r="AG403" s="228"/>
    </row>
    <row r="404" spans="21:33" x14ac:dyDescent="0.2">
      <c r="U404" s="228"/>
      <c r="AC404" s="228"/>
      <c r="AE404" s="228"/>
      <c r="AG404" s="228"/>
    </row>
    <row r="405" spans="21:33" x14ac:dyDescent="0.2">
      <c r="U405" s="228"/>
      <c r="AC405" s="228"/>
      <c r="AE405" s="228"/>
      <c r="AG405" s="228"/>
    </row>
    <row r="406" spans="21:33" x14ac:dyDescent="0.2">
      <c r="U406" s="228"/>
      <c r="AC406" s="228"/>
      <c r="AE406" s="228"/>
      <c r="AG406" s="228"/>
    </row>
    <row r="407" spans="21:33" x14ac:dyDescent="0.2">
      <c r="U407" s="228"/>
      <c r="AC407" s="228"/>
      <c r="AE407" s="228"/>
      <c r="AG407" s="228"/>
    </row>
    <row r="408" spans="21:33" x14ac:dyDescent="0.2">
      <c r="U408" s="228"/>
      <c r="AC408" s="228"/>
      <c r="AE408" s="228"/>
      <c r="AG408" s="228"/>
    </row>
    <row r="409" spans="21:33" x14ac:dyDescent="0.2">
      <c r="U409" s="228"/>
      <c r="AC409" s="228"/>
      <c r="AE409" s="228"/>
      <c r="AG409" s="228"/>
    </row>
    <row r="410" spans="21:33" x14ac:dyDescent="0.2">
      <c r="U410" s="228"/>
      <c r="AC410" s="228"/>
      <c r="AE410" s="228"/>
      <c r="AG410" s="228"/>
    </row>
    <row r="411" spans="21:33" x14ac:dyDescent="0.2">
      <c r="U411" s="228"/>
      <c r="AC411" s="228"/>
      <c r="AE411" s="228"/>
      <c r="AG411" s="228"/>
    </row>
    <row r="412" spans="21:33" x14ac:dyDescent="0.2">
      <c r="U412" s="228"/>
      <c r="AC412" s="228"/>
      <c r="AE412" s="228"/>
      <c r="AG412" s="228"/>
    </row>
    <row r="413" spans="21:33" x14ac:dyDescent="0.2">
      <c r="U413" s="228"/>
      <c r="AC413" s="228"/>
      <c r="AE413" s="228"/>
      <c r="AG413" s="228"/>
    </row>
    <row r="414" spans="21:33" x14ac:dyDescent="0.2">
      <c r="U414" s="228"/>
      <c r="AC414" s="228"/>
      <c r="AE414" s="228"/>
      <c r="AG414" s="228"/>
    </row>
    <row r="415" spans="21:33" x14ac:dyDescent="0.2">
      <c r="U415" s="228"/>
      <c r="AC415" s="228"/>
      <c r="AE415" s="228"/>
      <c r="AG415" s="228"/>
    </row>
    <row r="416" spans="21:33" x14ac:dyDescent="0.2">
      <c r="U416" s="228"/>
      <c r="AC416" s="228"/>
      <c r="AE416" s="228"/>
      <c r="AG416" s="228"/>
    </row>
    <row r="417" spans="21:33" x14ac:dyDescent="0.2">
      <c r="U417" s="228"/>
      <c r="AC417" s="228"/>
      <c r="AE417" s="228"/>
      <c r="AG417" s="228"/>
    </row>
    <row r="418" spans="21:33" x14ac:dyDescent="0.2">
      <c r="U418" s="228"/>
      <c r="AC418" s="228"/>
      <c r="AE418" s="228"/>
      <c r="AG418" s="228"/>
    </row>
    <row r="419" spans="21:33" x14ac:dyDescent="0.2">
      <c r="U419" s="228"/>
      <c r="AC419" s="228"/>
      <c r="AE419" s="228"/>
      <c r="AG419" s="228"/>
    </row>
    <row r="420" spans="21:33" x14ac:dyDescent="0.2">
      <c r="U420" s="228"/>
      <c r="AC420" s="228"/>
      <c r="AE420" s="228"/>
      <c r="AG420" s="228"/>
    </row>
    <row r="421" spans="21:33" x14ac:dyDescent="0.2">
      <c r="U421" s="228"/>
      <c r="AC421" s="228"/>
      <c r="AE421" s="228"/>
      <c r="AG421" s="228"/>
    </row>
    <row r="422" spans="21:33" x14ac:dyDescent="0.2">
      <c r="U422" s="228"/>
      <c r="AC422" s="228"/>
      <c r="AE422" s="228"/>
      <c r="AG422" s="228"/>
    </row>
    <row r="423" spans="21:33" x14ac:dyDescent="0.2">
      <c r="U423" s="228"/>
      <c r="AC423" s="228"/>
      <c r="AE423" s="228"/>
      <c r="AG423" s="228"/>
    </row>
    <row r="424" spans="21:33" x14ac:dyDescent="0.2">
      <c r="U424" s="228"/>
      <c r="AC424" s="228"/>
      <c r="AE424" s="228"/>
      <c r="AG424" s="228"/>
    </row>
    <row r="425" spans="21:33" x14ac:dyDescent="0.2">
      <c r="U425" s="228"/>
      <c r="AC425" s="228"/>
      <c r="AE425" s="228"/>
      <c r="AG425" s="228"/>
    </row>
    <row r="426" spans="21:33" x14ac:dyDescent="0.2">
      <c r="U426" s="228"/>
      <c r="AC426" s="228"/>
      <c r="AE426" s="228"/>
      <c r="AG426" s="228"/>
    </row>
    <row r="427" spans="21:33" x14ac:dyDescent="0.2">
      <c r="U427" s="228"/>
      <c r="AC427" s="228"/>
      <c r="AE427" s="228"/>
      <c r="AG427" s="228"/>
    </row>
    <row r="428" spans="21:33" x14ac:dyDescent="0.2">
      <c r="U428" s="228"/>
      <c r="AC428" s="228"/>
      <c r="AE428" s="228"/>
      <c r="AG428" s="228"/>
    </row>
    <row r="429" spans="21:33" x14ac:dyDescent="0.2">
      <c r="U429" s="228"/>
      <c r="AC429" s="228"/>
      <c r="AE429" s="228"/>
      <c r="AG429" s="228"/>
    </row>
    <row r="430" spans="21:33" x14ac:dyDescent="0.2">
      <c r="U430" s="228"/>
      <c r="AC430" s="228"/>
      <c r="AE430" s="228"/>
      <c r="AG430" s="228"/>
    </row>
    <row r="431" spans="21:33" x14ac:dyDescent="0.2">
      <c r="U431" s="228"/>
      <c r="AC431" s="228"/>
      <c r="AE431" s="228"/>
      <c r="AG431" s="228"/>
    </row>
    <row r="432" spans="21:33" x14ac:dyDescent="0.2">
      <c r="U432" s="228"/>
      <c r="AC432" s="228"/>
      <c r="AE432" s="228"/>
      <c r="AG432" s="228"/>
    </row>
    <row r="433" spans="21:33" x14ac:dyDescent="0.2">
      <c r="U433" s="228"/>
      <c r="AC433" s="228"/>
      <c r="AE433" s="228"/>
      <c r="AG433" s="228"/>
    </row>
    <row r="434" spans="21:33" x14ac:dyDescent="0.2">
      <c r="U434" s="228"/>
      <c r="AC434" s="228"/>
      <c r="AE434" s="228"/>
      <c r="AG434" s="228"/>
    </row>
    <row r="435" spans="21:33" x14ac:dyDescent="0.2">
      <c r="U435" s="228"/>
      <c r="AC435" s="228"/>
      <c r="AE435" s="228"/>
      <c r="AG435" s="228"/>
    </row>
    <row r="436" spans="21:33" x14ac:dyDescent="0.2">
      <c r="U436" s="228"/>
      <c r="AC436" s="228"/>
      <c r="AE436" s="228"/>
      <c r="AG436" s="228"/>
    </row>
    <row r="437" spans="21:33" x14ac:dyDescent="0.2">
      <c r="U437" s="228"/>
      <c r="AC437" s="228"/>
      <c r="AE437" s="228"/>
      <c r="AG437" s="228"/>
    </row>
    <row r="438" spans="21:33" x14ac:dyDescent="0.2">
      <c r="U438" s="228"/>
      <c r="AC438" s="228"/>
      <c r="AE438" s="228"/>
      <c r="AG438" s="228"/>
    </row>
    <row r="439" spans="21:33" x14ac:dyDescent="0.2">
      <c r="U439" s="228"/>
      <c r="AC439" s="228"/>
      <c r="AE439" s="228"/>
      <c r="AG439" s="228"/>
    </row>
    <row r="440" spans="21:33" x14ac:dyDescent="0.2">
      <c r="U440" s="228"/>
      <c r="AC440" s="228"/>
      <c r="AE440" s="228"/>
      <c r="AG440" s="228"/>
    </row>
    <row r="441" spans="21:33" x14ac:dyDescent="0.2">
      <c r="U441" s="228"/>
      <c r="AC441" s="228"/>
      <c r="AE441" s="228"/>
      <c r="AG441" s="228"/>
    </row>
    <row r="442" spans="21:33" x14ac:dyDescent="0.2">
      <c r="U442" s="228"/>
      <c r="AC442" s="228"/>
      <c r="AE442" s="228"/>
      <c r="AG442" s="228"/>
    </row>
    <row r="443" spans="21:33" x14ac:dyDescent="0.2">
      <c r="U443" s="228"/>
      <c r="AC443" s="228"/>
      <c r="AE443" s="228"/>
      <c r="AG443" s="228"/>
    </row>
    <row r="444" spans="21:33" x14ac:dyDescent="0.2">
      <c r="U444" s="228"/>
      <c r="AC444" s="228"/>
      <c r="AE444" s="228"/>
      <c r="AG444" s="228"/>
    </row>
    <row r="445" spans="21:33" x14ac:dyDescent="0.2">
      <c r="U445" s="228"/>
      <c r="AC445" s="228"/>
      <c r="AE445" s="228"/>
      <c r="AG445" s="228"/>
    </row>
    <row r="446" spans="21:33" x14ac:dyDescent="0.2">
      <c r="U446" s="228"/>
      <c r="AC446" s="228"/>
      <c r="AE446" s="228"/>
      <c r="AG446" s="228"/>
    </row>
    <row r="447" spans="21:33" x14ac:dyDescent="0.2">
      <c r="U447" s="228"/>
      <c r="AC447" s="228"/>
      <c r="AE447" s="228"/>
      <c r="AG447" s="228"/>
    </row>
    <row r="448" spans="21:33" x14ac:dyDescent="0.2">
      <c r="U448" s="228"/>
      <c r="AC448" s="228"/>
      <c r="AE448" s="228"/>
      <c r="AG448" s="228"/>
    </row>
    <row r="449" spans="21:33" x14ac:dyDescent="0.2">
      <c r="U449" s="228"/>
      <c r="AC449" s="228"/>
      <c r="AE449" s="228"/>
      <c r="AG449" s="228"/>
    </row>
    <row r="450" spans="21:33" x14ac:dyDescent="0.2">
      <c r="U450" s="228"/>
      <c r="AC450" s="228"/>
      <c r="AE450" s="228"/>
      <c r="AG450" s="228"/>
    </row>
    <row r="451" spans="21:33" x14ac:dyDescent="0.2">
      <c r="U451" s="228"/>
      <c r="AC451" s="228"/>
      <c r="AE451" s="228"/>
      <c r="AG451" s="228"/>
    </row>
    <row r="452" spans="21:33" x14ac:dyDescent="0.2">
      <c r="U452" s="228"/>
      <c r="AC452" s="228"/>
      <c r="AE452" s="228"/>
      <c r="AG452" s="228"/>
    </row>
    <row r="453" spans="21:33" x14ac:dyDescent="0.2">
      <c r="U453" s="228"/>
      <c r="AC453" s="228"/>
      <c r="AE453" s="228"/>
      <c r="AG453" s="228"/>
    </row>
    <row r="454" spans="21:33" x14ac:dyDescent="0.2">
      <c r="U454" s="228"/>
      <c r="AC454" s="228"/>
      <c r="AE454" s="228"/>
      <c r="AG454" s="228"/>
    </row>
    <row r="455" spans="21:33" x14ac:dyDescent="0.2">
      <c r="U455" s="228"/>
      <c r="AC455" s="228"/>
      <c r="AE455" s="228"/>
      <c r="AG455" s="228"/>
    </row>
    <row r="456" spans="21:33" x14ac:dyDescent="0.2">
      <c r="U456" s="228"/>
      <c r="AC456" s="228"/>
      <c r="AE456" s="228"/>
      <c r="AG456" s="228"/>
    </row>
    <row r="457" spans="21:33" x14ac:dyDescent="0.2">
      <c r="U457" s="228"/>
      <c r="AC457" s="228"/>
      <c r="AE457" s="228"/>
      <c r="AG457" s="228"/>
    </row>
    <row r="458" spans="21:33" x14ac:dyDescent="0.2">
      <c r="U458" s="228"/>
      <c r="AC458" s="228"/>
      <c r="AE458" s="228"/>
      <c r="AG458" s="228"/>
    </row>
    <row r="459" spans="21:33" x14ac:dyDescent="0.2">
      <c r="U459" s="228"/>
      <c r="AC459" s="228"/>
      <c r="AE459" s="228"/>
      <c r="AG459" s="228"/>
    </row>
    <row r="460" spans="21:33" x14ac:dyDescent="0.2">
      <c r="U460" s="228"/>
      <c r="AC460" s="228"/>
      <c r="AE460" s="228"/>
      <c r="AG460" s="228"/>
    </row>
    <row r="461" spans="21:33" x14ac:dyDescent="0.2">
      <c r="U461" s="228"/>
      <c r="AC461" s="228"/>
      <c r="AE461" s="228"/>
      <c r="AG461" s="228"/>
    </row>
    <row r="462" spans="21:33" x14ac:dyDescent="0.2">
      <c r="U462" s="228"/>
      <c r="AC462" s="228"/>
      <c r="AE462" s="228"/>
      <c r="AG462" s="228"/>
    </row>
    <row r="463" spans="21:33" x14ac:dyDescent="0.2">
      <c r="U463" s="228"/>
      <c r="AC463" s="228"/>
      <c r="AE463" s="228"/>
      <c r="AG463" s="228"/>
    </row>
    <row r="464" spans="21:33" x14ac:dyDescent="0.2">
      <c r="U464" s="228"/>
      <c r="AC464" s="228"/>
      <c r="AE464" s="228"/>
      <c r="AG464" s="228"/>
    </row>
    <row r="465" spans="21:33" x14ac:dyDescent="0.2">
      <c r="U465" s="228"/>
      <c r="AC465" s="228"/>
      <c r="AE465" s="228"/>
      <c r="AG465" s="228"/>
    </row>
    <row r="466" spans="21:33" x14ac:dyDescent="0.2">
      <c r="U466" s="228"/>
      <c r="AC466" s="228"/>
      <c r="AE466" s="228"/>
      <c r="AG466" s="228"/>
    </row>
    <row r="467" spans="21:33" x14ac:dyDescent="0.2">
      <c r="U467" s="228"/>
      <c r="AC467" s="228"/>
      <c r="AE467" s="228"/>
      <c r="AG467" s="228"/>
    </row>
    <row r="468" spans="21:33" x14ac:dyDescent="0.2">
      <c r="U468" s="228"/>
      <c r="AC468" s="228"/>
      <c r="AE468" s="228"/>
      <c r="AG468" s="228"/>
    </row>
    <row r="469" spans="21:33" x14ac:dyDescent="0.2">
      <c r="U469" s="228"/>
      <c r="AC469" s="228"/>
      <c r="AE469" s="228"/>
      <c r="AG469" s="228"/>
    </row>
    <row r="470" spans="21:33" x14ac:dyDescent="0.2">
      <c r="U470" s="228"/>
      <c r="AC470" s="228"/>
      <c r="AE470" s="228"/>
      <c r="AG470" s="228"/>
    </row>
    <row r="471" spans="21:33" x14ac:dyDescent="0.2">
      <c r="U471" s="228"/>
      <c r="AC471" s="228"/>
      <c r="AE471" s="228"/>
      <c r="AG471" s="228"/>
    </row>
    <row r="472" spans="21:33" x14ac:dyDescent="0.2">
      <c r="U472" s="228"/>
      <c r="AC472" s="228"/>
      <c r="AE472" s="228"/>
      <c r="AG472" s="228"/>
    </row>
    <row r="473" spans="21:33" x14ac:dyDescent="0.2">
      <c r="U473" s="228"/>
      <c r="AC473" s="228"/>
      <c r="AE473" s="228"/>
      <c r="AG473" s="228"/>
    </row>
    <row r="474" spans="21:33" x14ac:dyDescent="0.2">
      <c r="U474" s="228"/>
      <c r="AC474" s="228"/>
      <c r="AE474" s="228"/>
      <c r="AG474" s="228"/>
    </row>
    <row r="475" spans="21:33" x14ac:dyDescent="0.2">
      <c r="U475" s="228"/>
      <c r="AC475" s="228"/>
      <c r="AE475" s="228"/>
      <c r="AG475" s="228"/>
    </row>
    <row r="476" spans="21:33" x14ac:dyDescent="0.2">
      <c r="U476" s="228"/>
      <c r="AC476" s="228"/>
      <c r="AE476" s="228"/>
      <c r="AG476" s="228"/>
    </row>
    <row r="477" spans="21:33" x14ac:dyDescent="0.2">
      <c r="U477" s="228"/>
      <c r="AC477" s="228"/>
      <c r="AE477" s="228"/>
      <c r="AG477" s="228"/>
    </row>
    <row r="478" spans="21:33" x14ac:dyDescent="0.2">
      <c r="U478" s="228"/>
      <c r="AC478" s="228"/>
      <c r="AE478" s="228"/>
      <c r="AG478" s="228"/>
    </row>
    <row r="479" spans="21:33" x14ac:dyDescent="0.2">
      <c r="U479" s="228"/>
      <c r="AC479" s="228"/>
      <c r="AE479" s="228"/>
      <c r="AG479" s="228"/>
    </row>
    <row r="480" spans="21:33" x14ac:dyDescent="0.2">
      <c r="U480" s="228"/>
      <c r="AC480" s="228"/>
      <c r="AE480" s="228"/>
      <c r="AG480" s="228"/>
    </row>
    <row r="481" spans="21:33" x14ac:dyDescent="0.2">
      <c r="U481" s="228"/>
      <c r="AC481" s="228"/>
      <c r="AE481" s="228"/>
      <c r="AG481" s="228"/>
    </row>
    <row r="482" spans="21:33" x14ac:dyDescent="0.2">
      <c r="U482" s="228"/>
      <c r="AC482" s="228"/>
      <c r="AE482" s="228"/>
      <c r="AG482" s="228"/>
    </row>
    <row r="483" spans="21:33" x14ac:dyDescent="0.2">
      <c r="U483" s="228"/>
      <c r="AC483" s="228"/>
      <c r="AE483" s="228"/>
      <c r="AG483" s="228"/>
    </row>
    <row r="484" spans="21:33" x14ac:dyDescent="0.2">
      <c r="U484" s="228"/>
      <c r="AC484" s="228"/>
      <c r="AE484" s="228"/>
      <c r="AG484" s="228"/>
    </row>
    <row r="485" spans="21:33" x14ac:dyDescent="0.2">
      <c r="U485" s="228"/>
      <c r="AC485" s="228"/>
      <c r="AE485" s="228"/>
      <c r="AG485" s="228"/>
    </row>
    <row r="486" spans="21:33" x14ac:dyDescent="0.2">
      <c r="U486" s="228"/>
      <c r="AC486" s="228"/>
      <c r="AE486" s="228"/>
      <c r="AG486" s="228"/>
    </row>
    <row r="487" spans="21:33" x14ac:dyDescent="0.2">
      <c r="U487" s="228"/>
      <c r="AC487" s="228"/>
      <c r="AE487" s="228"/>
      <c r="AG487" s="228"/>
    </row>
    <row r="488" spans="21:33" x14ac:dyDescent="0.2">
      <c r="U488" s="228"/>
      <c r="AC488" s="228"/>
      <c r="AE488" s="228"/>
      <c r="AG488" s="228"/>
    </row>
    <row r="489" spans="21:33" x14ac:dyDescent="0.2">
      <c r="U489" s="228"/>
      <c r="AC489" s="228"/>
      <c r="AE489" s="228"/>
      <c r="AG489" s="228"/>
    </row>
    <row r="490" spans="21:33" x14ac:dyDescent="0.2">
      <c r="U490" s="228"/>
      <c r="AC490" s="228"/>
      <c r="AE490" s="228"/>
      <c r="AG490" s="228"/>
    </row>
    <row r="491" spans="21:33" x14ac:dyDescent="0.2">
      <c r="U491" s="228"/>
      <c r="AC491" s="228"/>
      <c r="AE491" s="228"/>
      <c r="AG491" s="228"/>
    </row>
    <row r="492" spans="21:33" x14ac:dyDescent="0.2">
      <c r="U492" s="228"/>
      <c r="AC492" s="228"/>
      <c r="AE492" s="228"/>
      <c r="AG492" s="228"/>
    </row>
    <row r="493" spans="21:33" x14ac:dyDescent="0.2">
      <c r="U493" s="228"/>
      <c r="AC493" s="228"/>
      <c r="AE493" s="228"/>
      <c r="AG493" s="228"/>
    </row>
    <row r="494" spans="21:33" x14ac:dyDescent="0.2">
      <c r="U494" s="228"/>
      <c r="AC494" s="228"/>
      <c r="AE494" s="228"/>
      <c r="AG494" s="228"/>
    </row>
    <row r="495" spans="21:33" x14ac:dyDescent="0.2">
      <c r="U495" s="228"/>
      <c r="AC495" s="228"/>
      <c r="AE495" s="228"/>
      <c r="AG495" s="228"/>
    </row>
    <row r="496" spans="21:33" x14ac:dyDescent="0.2">
      <c r="U496" s="228"/>
      <c r="AC496" s="228"/>
      <c r="AE496" s="228"/>
      <c r="AG496" s="228"/>
    </row>
    <row r="497" spans="21:33" x14ac:dyDescent="0.2">
      <c r="U497" s="228"/>
      <c r="AC497" s="228"/>
      <c r="AE497" s="228"/>
      <c r="AG497" s="228"/>
    </row>
    <row r="498" spans="21:33" x14ac:dyDescent="0.2">
      <c r="U498" s="228"/>
      <c r="AC498" s="228"/>
      <c r="AE498" s="228"/>
      <c r="AG498" s="228"/>
    </row>
    <row r="499" spans="21:33" x14ac:dyDescent="0.2">
      <c r="U499" s="228"/>
      <c r="AC499" s="228"/>
      <c r="AE499" s="228"/>
      <c r="AG499" s="228"/>
    </row>
    <row r="500" spans="21:33" x14ac:dyDescent="0.2">
      <c r="U500" s="228"/>
      <c r="AC500" s="228"/>
      <c r="AE500" s="228"/>
      <c r="AG500" s="228"/>
    </row>
    <row r="501" spans="21:33" x14ac:dyDescent="0.2">
      <c r="U501" s="228"/>
      <c r="AC501" s="228"/>
      <c r="AE501" s="228"/>
      <c r="AG501" s="228"/>
    </row>
    <row r="502" spans="21:33" x14ac:dyDescent="0.2">
      <c r="U502" s="228"/>
      <c r="AC502" s="228"/>
      <c r="AE502" s="228"/>
      <c r="AG502" s="228"/>
    </row>
    <row r="503" spans="21:33" x14ac:dyDescent="0.2">
      <c r="U503" s="228"/>
      <c r="AC503" s="228"/>
      <c r="AE503" s="228"/>
      <c r="AG503" s="228"/>
    </row>
    <row r="504" spans="21:33" x14ac:dyDescent="0.2">
      <c r="U504" s="228"/>
      <c r="AC504" s="228"/>
      <c r="AE504" s="228"/>
      <c r="AG504" s="228"/>
    </row>
    <row r="505" spans="21:33" x14ac:dyDescent="0.2">
      <c r="U505" s="228"/>
      <c r="AC505" s="228"/>
      <c r="AE505" s="228"/>
      <c r="AG505" s="228"/>
    </row>
    <row r="506" spans="21:33" x14ac:dyDescent="0.2">
      <c r="U506" s="228"/>
      <c r="AC506" s="228"/>
      <c r="AE506" s="228"/>
      <c r="AG506" s="228"/>
    </row>
    <row r="507" spans="21:33" x14ac:dyDescent="0.2">
      <c r="U507" s="228"/>
      <c r="AC507" s="228"/>
      <c r="AE507" s="228"/>
      <c r="AG507" s="228"/>
    </row>
    <row r="508" spans="21:33" x14ac:dyDescent="0.2">
      <c r="U508" s="228"/>
      <c r="AC508" s="228"/>
      <c r="AE508" s="228"/>
      <c r="AG508" s="228"/>
    </row>
    <row r="509" spans="21:33" x14ac:dyDescent="0.2">
      <c r="U509" s="228"/>
      <c r="AC509" s="228"/>
      <c r="AE509" s="228"/>
      <c r="AG509" s="228"/>
    </row>
    <row r="510" spans="21:33" x14ac:dyDescent="0.2">
      <c r="U510" s="228"/>
      <c r="AC510" s="228"/>
      <c r="AE510" s="228"/>
      <c r="AG510" s="228"/>
    </row>
    <row r="511" spans="21:33" x14ac:dyDescent="0.2">
      <c r="U511" s="228"/>
      <c r="AC511" s="228"/>
      <c r="AE511" s="228"/>
      <c r="AG511" s="228"/>
    </row>
    <row r="512" spans="21:33" x14ac:dyDescent="0.2">
      <c r="U512" s="228"/>
      <c r="AC512" s="228"/>
      <c r="AE512" s="228"/>
      <c r="AG512" s="228"/>
    </row>
    <row r="513" spans="21:33" x14ac:dyDescent="0.2">
      <c r="U513" s="228"/>
      <c r="AC513" s="228"/>
      <c r="AE513" s="228"/>
      <c r="AG513" s="228"/>
    </row>
    <row r="514" spans="21:33" x14ac:dyDescent="0.2">
      <c r="U514" s="228"/>
      <c r="AC514" s="228"/>
      <c r="AE514" s="228"/>
      <c r="AG514" s="228"/>
    </row>
    <row r="515" spans="21:33" x14ac:dyDescent="0.2">
      <c r="U515" s="228"/>
      <c r="AC515" s="228"/>
      <c r="AE515" s="228"/>
      <c r="AG515" s="228"/>
    </row>
    <row r="516" spans="21:33" x14ac:dyDescent="0.2">
      <c r="U516" s="228"/>
      <c r="AC516" s="228"/>
      <c r="AE516" s="228"/>
      <c r="AG516" s="228"/>
    </row>
    <row r="517" spans="21:33" x14ac:dyDescent="0.2">
      <c r="U517" s="228"/>
      <c r="AC517" s="228"/>
      <c r="AE517" s="228"/>
      <c r="AG517" s="228"/>
    </row>
    <row r="518" spans="21:33" x14ac:dyDescent="0.2">
      <c r="U518" s="228"/>
      <c r="AC518" s="228"/>
      <c r="AE518" s="228"/>
      <c r="AG518" s="228"/>
    </row>
    <row r="519" spans="21:33" x14ac:dyDescent="0.2">
      <c r="U519" s="228"/>
      <c r="AC519" s="228"/>
      <c r="AE519" s="228"/>
      <c r="AG519" s="228"/>
    </row>
    <row r="520" spans="21:33" x14ac:dyDescent="0.2">
      <c r="U520" s="228"/>
      <c r="AC520" s="228"/>
      <c r="AE520" s="228"/>
      <c r="AG520" s="228"/>
    </row>
    <row r="521" spans="21:33" x14ac:dyDescent="0.2">
      <c r="U521" s="228"/>
      <c r="AC521" s="228"/>
      <c r="AE521" s="228"/>
      <c r="AG521" s="228"/>
    </row>
    <row r="522" spans="21:33" x14ac:dyDescent="0.2">
      <c r="U522" s="228"/>
      <c r="AC522" s="228"/>
      <c r="AE522" s="228"/>
      <c r="AG522" s="228"/>
    </row>
    <row r="523" spans="21:33" x14ac:dyDescent="0.2">
      <c r="U523" s="228"/>
      <c r="AC523" s="228"/>
      <c r="AE523" s="228"/>
      <c r="AG523" s="228"/>
    </row>
    <row r="524" spans="21:33" x14ac:dyDescent="0.2">
      <c r="U524" s="228"/>
      <c r="AC524" s="228"/>
      <c r="AE524" s="228"/>
      <c r="AG524" s="228"/>
    </row>
    <row r="525" spans="21:33" x14ac:dyDescent="0.2">
      <c r="U525" s="228"/>
      <c r="AC525" s="228"/>
      <c r="AE525" s="228"/>
      <c r="AG525" s="228"/>
    </row>
    <row r="526" spans="21:33" x14ac:dyDescent="0.2">
      <c r="U526" s="228"/>
      <c r="AC526" s="228"/>
      <c r="AE526" s="228"/>
      <c r="AG526" s="228"/>
    </row>
    <row r="527" spans="21:33" x14ac:dyDescent="0.2">
      <c r="U527" s="228"/>
      <c r="AC527" s="228"/>
      <c r="AE527" s="228"/>
      <c r="AG527" s="228"/>
    </row>
    <row r="528" spans="21:33" x14ac:dyDescent="0.2">
      <c r="U528" s="228"/>
      <c r="AC528" s="228"/>
      <c r="AE528" s="228"/>
      <c r="AG528" s="228"/>
    </row>
    <row r="529" spans="21:33" x14ac:dyDescent="0.2">
      <c r="U529" s="228"/>
      <c r="AC529" s="228"/>
      <c r="AE529" s="228"/>
      <c r="AG529" s="228"/>
    </row>
    <row r="530" spans="21:33" x14ac:dyDescent="0.2">
      <c r="U530" s="228"/>
      <c r="AC530" s="228"/>
      <c r="AE530" s="228"/>
      <c r="AG530" s="228"/>
    </row>
    <row r="531" spans="21:33" x14ac:dyDescent="0.2">
      <c r="U531" s="228"/>
      <c r="AC531" s="228"/>
      <c r="AE531" s="228"/>
      <c r="AG531" s="228"/>
    </row>
    <row r="532" spans="21:33" x14ac:dyDescent="0.2">
      <c r="U532" s="228"/>
      <c r="AC532" s="228"/>
      <c r="AE532" s="228"/>
      <c r="AG532" s="228"/>
    </row>
    <row r="533" spans="21:33" x14ac:dyDescent="0.2">
      <c r="U533" s="228"/>
      <c r="AC533" s="228"/>
      <c r="AE533" s="228"/>
      <c r="AG533" s="228"/>
    </row>
    <row r="534" spans="21:33" x14ac:dyDescent="0.2">
      <c r="U534" s="228"/>
      <c r="AC534" s="228"/>
      <c r="AE534" s="228"/>
      <c r="AG534" s="228"/>
    </row>
    <row r="535" spans="21:33" x14ac:dyDescent="0.2">
      <c r="U535" s="228"/>
      <c r="AC535" s="228"/>
      <c r="AE535" s="228"/>
      <c r="AG535" s="228"/>
    </row>
    <row r="536" spans="21:33" x14ac:dyDescent="0.2">
      <c r="U536" s="228"/>
      <c r="AC536" s="228"/>
      <c r="AE536" s="228"/>
      <c r="AG536" s="228"/>
    </row>
    <row r="537" spans="21:33" x14ac:dyDescent="0.2">
      <c r="U537" s="228"/>
      <c r="AC537" s="228"/>
      <c r="AE537" s="228"/>
      <c r="AG537" s="228"/>
    </row>
    <row r="538" spans="21:33" x14ac:dyDescent="0.2">
      <c r="U538" s="228"/>
      <c r="AC538" s="228"/>
      <c r="AE538" s="228"/>
      <c r="AG538" s="228"/>
    </row>
    <row r="539" spans="21:33" x14ac:dyDescent="0.2">
      <c r="U539" s="228"/>
      <c r="AC539" s="228"/>
      <c r="AE539" s="228"/>
      <c r="AG539" s="228"/>
    </row>
    <row r="540" spans="21:33" x14ac:dyDescent="0.2">
      <c r="U540" s="228"/>
      <c r="AC540" s="228"/>
      <c r="AE540" s="228"/>
      <c r="AG540" s="228"/>
    </row>
    <row r="541" spans="21:33" x14ac:dyDescent="0.2">
      <c r="U541" s="228"/>
      <c r="AC541" s="228"/>
      <c r="AE541" s="228"/>
      <c r="AG541" s="228"/>
    </row>
    <row r="542" spans="21:33" x14ac:dyDescent="0.2">
      <c r="U542" s="228"/>
      <c r="AC542" s="228"/>
      <c r="AE542" s="228"/>
      <c r="AG542" s="228"/>
    </row>
    <row r="543" spans="21:33" x14ac:dyDescent="0.2">
      <c r="U543" s="228"/>
      <c r="AC543" s="228"/>
      <c r="AE543" s="228"/>
      <c r="AG543" s="228"/>
    </row>
    <row r="544" spans="21:33" x14ac:dyDescent="0.2">
      <c r="U544" s="228"/>
      <c r="AC544" s="228"/>
      <c r="AE544" s="228"/>
      <c r="AG544" s="228"/>
    </row>
    <row r="545" spans="21:33" x14ac:dyDescent="0.2">
      <c r="U545" s="228"/>
      <c r="AC545" s="228"/>
      <c r="AE545" s="228"/>
      <c r="AG545" s="228"/>
    </row>
    <row r="546" spans="21:33" x14ac:dyDescent="0.2">
      <c r="U546" s="228"/>
      <c r="AC546" s="228"/>
      <c r="AE546" s="228"/>
      <c r="AG546" s="228"/>
    </row>
    <row r="547" spans="21:33" x14ac:dyDescent="0.2">
      <c r="U547" s="228"/>
      <c r="AC547" s="228"/>
      <c r="AE547" s="228"/>
      <c r="AG547" s="228"/>
    </row>
    <row r="548" spans="21:33" x14ac:dyDescent="0.2">
      <c r="U548" s="228"/>
      <c r="AC548" s="228"/>
      <c r="AE548" s="228"/>
      <c r="AG548" s="228"/>
    </row>
    <row r="549" spans="21:33" x14ac:dyDescent="0.2">
      <c r="U549" s="228"/>
      <c r="AC549" s="228"/>
      <c r="AE549" s="228"/>
      <c r="AG549" s="228"/>
    </row>
    <row r="550" spans="21:33" x14ac:dyDescent="0.2">
      <c r="U550" s="228"/>
      <c r="AC550" s="228"/>
      <c r="AE550" s="228"/>
      <c r="AG550" s="228"/>
    </row>
    <row r="551" spans="21:33" x14ac:dyDescent="0.2">
      <c r="U551" s="228"/>
      <c r="AC551" s="228"/>
      <c r="AE551" s="228"/>
      <c r="AG551" s="228"/>
    </row>
    <row r="552" spans="21:33" x14ac:dyDescent="0.2">
      <c r="U552" s="228"/>
      <c r="AC552" s="228"/>
      <c r="AE552" s="228"/>
      <c r="AG552" s="228"/>
    </row>
    <row r="553" spans="21:33" x14ac:dyDescent="0.2">
      <c r="U553" s="228"/>
      <c r="AC553" s="228"/>
      <c r="AE553" s="228"/>
      <c r="AG553" s="228"/>
    </row>
    <row r="554" spans="21:33" x14ac:dyDescent="0.2">
      <c r="U554" s="228"/>
      <c r="AC554" s="228"/>
      <c r="AE554" s="228"/>
      <c r="AG554" s="228"/>
    </row>
    <row r="555" spans="21:33" x14ac:dyDescent="0.2">
      <c r="U555" s="228"/>
      <c r="AC555" s="228"/>
      <c r="AE555" s="228"/>
      <c r="AG555" s="228"/>
    </row>
    <row r="556" spans="21:33" x14ac:dyDescent="0.2">
      <c r="U556" s="228"/>
      <c r="AC556" s="228"/>
      <c r="AE556" s="228"/>
      <c r="AG556" s="228"/>
    </row>
    <row r="557" spans="21:33" x14ac:dyDescent="0.2">
      <c r="U557" s="228"/>
      <c r="AC557" s="228"/>
      <c r="AE557" s="228"/>
      <c r="AG557" s="228"/>
    </row>
    <row r="558" spans="21:33" x14ac:dyDescent="0.2">
      <c r="U558" s="228"/>
      <c r="AC558" s="228"/>
      <c r="AE558" s="228"/>
      <c r="AG558" s="228"/>
    </row>
    <row r="559" spans="21:33" x14ac:dyDescent="0.2">
      <c r="U559" s="228"/>
      <c r="AC559" s="228"/>
      <c r="AE559" s="228"/>
      <c r="AG559" s="228"/>
    </row>
    <row r="560" spans="21:33" x14ac:dyDescent="0.2">
      <c r="U560" s="228"/>
      <c r="AC560" s="228"/>
      <c r="AE560" s="228"/>
      <c r="AG560" s="228"/>
    </row>
    <row r="561" spans="21:33" x14ac:dyDescent="0.2">
      <c r="U561" s="228"/>
      <c r="AC561" s="228"/>
      <c r="AE561" s="228"/>
      <c r="AG561" s="228"/>
    </row>
    <row r="562" spans="21:33" x14ac:dyDescent="0.2">
      <c r="U562" s="228"/>
      <c r="AC562" s="228"/>
      <c r="AE562" s="228"/>
      <c r="AG562" s="228"/>
    </row>
    <row r="563" spans="21:33" x14ac:dyDescent="0.2">
      <c r="U563" s="228"/>
      <c r="AC563" s="228"/>
      <c r="AE563" s="228"/>
      <c r="AG563" s="228"/>
    </row>
    <row r="564" spans="21:33" x14ac:dyDescent="0.2">
      <c r="U564" s="228"/>
      <c r="AC564" s="228"/>
      <c r="AE564" s="228"/>
      <c r="AG564" s="228"/>
    </row>
    <row r="565" spans="21:33" x14ac:dyDescent="0.2">
      <c r="U565" s="228"/>
      <c r="AC565" s="228"/>
      <c r="AE565" s="228"/>
      <c r="AG565" s="228"/>
    </row>
    <row r="566" spans="21:33" x14ac:dyDescent="0.2">
      <c r="U566" s="228"/>
      <c r="AC566" s="228"/>
      <c r="AE566" s="228"/>
      <c r="AG566" s="228"/>
    </row>
    <row r="567" spans="21:33" x14ac:dyDescent="0.2">
      <c r="U567" s="228"/>
      <c r="AC567" s="228"/>
      <c r="AE567" s="228"/>
      <c r="AG567" s="228"/>
    </row>
    <row r="568" spans="21:33" x14ac:dyDescent="0.2">
      <c r="U568" s="228"/>
      <c r="AC568" s="228"/>
      <c r="AE568" s="228"/>
      <c r="AG568" s="228"/>
    </row>
    <row r="569" spans="21:33" x14ac:dyDescent="0.2">
      <c r="U569" s="228"/>
      <c r="AC569" s="228"/>
      <c r="AE569" s="228"/>
      <c r="AG569" s="228"/>
    </row>
    <row r="570" spans="21:33" x14ac:dyDescent="0.2">
      <c r="U570" s="228"/>
      <c r="AC570" s="228"/>
      <c r="AE570" s="228"/>
      <c r="AG570" s="228"/>
    </row>
    <row r="571" spans="21:33" x14ac:dyDescent="0.2">
      <c r="U571" s="228"/>
      <c r="AC571" s="228"/>
      <c r="AE571" s="228"/>
      <c r="AG571" s="228"/>
    </row>
    <row r="572" spans="21:33" x14ac:dyDescent="0.2">
      <c r="U572" s="228"/>
      <c r="AC572" s="228"/>
      <c r="AE572" s="228"/>
      <c r="AG572" s="228"/>
    </row>
    <row r="573" spans="21:33" x14ac:dyDescent="0.2">
      <c r="U573" s="228"/>
      <c r="AC573" s="228"/>
      <c r="AE573" s="228"/>
      <c r="AG573" s="228"/>
    </row>
    <row r="574" spans="21:33" x14ac:dyDescent="0.2">
      <c r="U574" s="228"/>
      <c r="AC574" s="228"/>
      <c r="AE574" s="228"/>
      <c r="AG574" s="228"/>
    </row>
    <row r="575" spans="21:33" x14ac:dyDescent="0.2">
      <c r="U575" s="228"/>
      <c r="AC575" s="228"/>
      <c r="AE575" s="228"/>
      <c r="AG575" s="228"/>
    </row>
    <row r="576" spans="21:33" x14ac:dyDescent="0.2">
      <c r="U576" s="228"/>
      <c r="AC576" s="228"/>
      <c r="AE576" s="228"/>
      <c r="AG576" s="228"/>
    </row>
    <row r="577" spans="21:33" x14ac:dyDescent="0.2">
      <c r="U577" s="228"/>
      <c r="AC577" s="228"/>
      <c r="AE577" s="228"/>
      <c r="AG577" s="228"/>
    </row>
    <row r="578" spans="21:33" x14ac:dyDescent="0.2">
      <c r="U578" s="228"/>
      <c r="AC578" s="228"/>
      <c r="AE578" s="228"/>
      <c r="AG578" s="228"/>
    </row>
    <row r="579" spans="21:33" x14ac:dyDescent="0.2">
      <c r="U579" s="228"/>
      <c r="AC579" s="228"/>
      <c r="AE579" s="228"/>
      <c r="AG579" s="228"/>
    </row>
    <row r="580" spans="21:33" x14ac:dyDescent="0.2">
      <c r="U580" s="228"/>
      <c r="AC580" s="228"/>
      <c r="AE580" s="228"/>
      <c r="AG580" s="228"/>
    </row>
    <row r="581" spans="21:33" x14ac:dyDescent="0.2">
      <c r="U581" s="228"/>
      <c r="AC581" s="228"/>
      <c r="AE581" s="228"/>
      <c r="AG581" s="228"/>
    </row>
    <row r="582" spans="21:33" x14ac:dyDescent="0.2">
      <c r="U582" s="228"/>
      <c r="AC582" s="228"/>
      <c r="AE582" s="228"/>
      <c r="AG582" s="228"/>
    </row>
    <row r="583" spans="21:33" x14ac:dyDescent="0.2">
      <c r="U583" s="228"/>
      <c r="AC583" s="228"/>
      <c r="AE583" s="228"/>
      <c r="AG583" s="228"/>
    </row>
    <row r="584" spans="21:33" x14ac:dyDescent="0.2">
      <c r="U584" s="228"/>
      <c r="AC584" s="228"/>
      <c r="AE584" s="228"/>
      <c r="AG584" s="228"/>
    </row>
    <row r="585" spans="21:33" x14ac:dyDescent="0.2">
      <c r="U585" s="228"/>
      <c r="AC585" s="228"/>
      <c r="AE585" s="228"/>
      <c r="AG585" s="228"/>
    </row>
    <row r="586" spans="21:33" x14ac:dyDescent="0.2">
      <c r="U586" s="228"/>
      <c r="AC586" s="228"/>
      <c r="AE586" s="228"/>
      <c r="AG586" s="228"/>
    </row>
    <row r="587" spans="21:33" x14ac:dyDescent="0.2">
      <c r="U587" s="228"/>
      <c r="AC587" s="228"/>
      <c r="AE587" s="228"/>
      <c r="AG587" s="228"/>
    </row>
    <row r="588" spans="21:33" x14ac:dyDescent="0.2">
      <c r="U588" s="228"/>
      <c r="AC588" s="228"/>
      <c r="AE588" s="228"/>
      <c r="AG588" s="228"/>
    </row>
    <row r="589" spans="21:33" x14ac:dyDescent="0.2">
      <c r="U589" s="228"/>
      <c r="AC589" s="228"/>
      <c r="AE589" s="228"/>
      <c r="AG589" s="228"/>
    </row>
    <row r="590" spans="21:33" x14ac:dyDescent="0.2">
      <c r="U590" s="228"/>
      <c r="AC590" s="228"/>
      <c r="AE590" s="228"/>
      <c r="AG590" s="228"/>
    </row>
    <row r="591" spans="21:33" x14ac:dyDescent="0.2">
      <c r="U591" s="228"/>
      <c r="AC591" s="228"/>
      <c r="AE591" s="228"/>
      <c r="AG591" s="228"/>
    </row>
    <row r="592" spans="21:33" x14ac:dyDescent="0.2">
      <c r="U592" s="228"/>
      <c r="AC592" s="228"/>
      <c r="AE592" s="228"/>
      <c r="AG592" s="228"/>
    </row>
    <row r="593" spans="21:33" x14ac:dyDescent="0.2">
      <c r="U593" s="228"/>
      <c r="AC593" s="228"/>
      <c r="AE593" s="228"/>
      <c r="AG593" s="228"/>
    </row>
    <row r="594" spans="21:33" x14ac:dyDescent="0.2">
      <c r="U594" s="228"/>
      <c r="AC594" s="228"/>
      <c r="AE594" s="228"/>
      <c r="AG594" s="228"/>
    </row>
    <row r="595" spans="21:33" x14ac:dyDescent="0.2">
      <c r="U595" s="228"/>
      <c r="AC595" s="228"/>
      <c r="AE595" s="228"/>
      <c r="AG595" s="228"/>
    </row>
    <row r="596" spans="21:33" x14ac:dyDescent="0.2">
      <c r="U596" s="228"/>
      <c r="AC596" s="228"/>
      <c r="AE596" s="228"/>
      <c r="AG596" s="228"/>
    </row>
    <row r="597" spans="21:33" x14ac:dyDescent="0.2">
      <c r="U597" s="228"/>
      <c r="AC597" s="228"/>
      <c r="AE597" s="228"/>
      <c r="AG597" s="228"/>
    </row>
    <row r="598" spans="21:33" x14ac:dyDescent="0.2">
      <c r="U598" s="228"/>
      <c r="AC598" s="228"/>
      <c r="AE598" s="228"/>
      <c r="AG598" s="228"/>
    </row>
    <row r="599" spans="21:33" x14ac:dyDescent="0.2">
      <c r="U599" s="228"/>
      <c r="AC599" s="228"/>
      <c r="AE599" s="228"/>
      <c r="AG599" s="228"/>
    </row>
    <row r="600" spans="21:33" x14ac:dyDescent="0.2">
      <c r="U600" s="228"/>
      <c r="AC600" s="228"/>
      <c r="AE600" s="228"/>
      <c r="AG600" s="228"/>
    </row>
    <row r="601" spans="21:33" x14ac:dyDescent="0.2">
      <c r="U601" s="228"/>
      <c r="AC601" s="228"/>
      <c r="AE601" s="228"/>
      <c r="AG601" s="228"/>
    </row>
    <row r="602" spans="21:33" x14ac:dyDescent="0.2">
      <c r="U602" s="228"/>
      <c r="AC602" s="228"/>
      <c r="AE602" s="228"/>
      <c r="AG602" s="228"/>
    </row>
    <row r="603" spans="21:33" x14ac:dyDescent="0.2">
      <c r="U603" s="228"/>
      <c r="AC603" s="228"/>
      <c r="AE603" s="228"/>
      <c r="AG603" s="228"/>
    </row>
    <row r="604" spans="21:33" x14ac:dyDescent="0.2">
      <c r="U604" s="228"/>
      <c r="AC604" s="228"/>
      <c r="AE604" s="228"/>
      <c r="AG604" s="228"/>
    </row>
    <row r="605" spans="21:33" x14ac:dyDescent="0.2">
      <c r="U605" s="228"/>
      <c r="AC605" s="228"/>
      <c r="AE605" s="228"/>
      <c r="AG605" s="228"/>
    </row>
    <row r="606" spans="21:33" x14ac:dyDescent="0.2">
      <c r="U606" s="228"/>
      <c r="AC606" s="228"/>
      <c r="AE606" s="228"/>
      <c r="AG606" s="228"/>
    </row>
    <row r="607" spans="21:33" x14ac:dyDescent="0.2">
      <c r="U607" s="228"/>
      <c r="AC607" s="228"/>
      <c r="AE607" s="228"/>
      <c r="AG607" s="228"/>
    </row>
    <row r="608" spans="21:33" x14ac:dyDescent="0.2">
      <c r="U608" s="228"/>
      <c r="AC608" s="228"/>
      <c r="AE608" s="228"/>
      <c r="AG608" s="228"/>
    </row>
    <row r="609" spans="21:33" x14ac:dyDescent="0.2">
      <c r="U609" s="228"/>
      <c r="AC609" s="228"/>
      <c r="AE609" s="228"/>
      <c r="AG609" s="228"/>
    </row>
    <row r="610" spans="21:33" x14ac:dyDescent="0.2">
      <c r="U610" s="228"/>
      <c r="AC610" s="228"/>
      <c r="AE610" s="228"/>
      <c r="AG610" s="228"/>
    </row>
    <row r="611" spans="21:33" x14ac:dyDescent="0.2">
      <c r="U611" s="228"/>
      <c r="AC611" s="228"/>
      <c r="AE611" s="228"/>
      <c r="AG611" s="228"/>
    </row>
    <row r="612" spans="21:33" x14ac:dyDescent="0.2">
      <c r="U612" s="228"/>
      <c r="AC612" s="228"/>
      <c r="AE612" s="228"/>
      <c r="AG612" s="228"/>
    </row>
    <row r="613" spans="21:33" x14ac:dyDescent="0.2">
      <c r="U613" s="228"/>
      <c r="AC613" s="228"/>
      <c r="AE613" s="228"/>
      <c r="AG613" s="228"/>
    </row>
    <row r="614" spans="21:33" x14ac:dyDescent="0.2">
      <c r="U614" s="228"/>
      <c r="AC614" s="228"/>
      <c r="AE614" s="228"/>
      <c r="AG614" s="228"/>
    </row>
    <row r="615" spans="21:33" x14ac:dyDescent="0.2">
      <c r="U615" s="228"/>
      <c r="AC615" s="228"/>
      <c r="AE615" s="228"/>
      <c r="AG615" s="228"/>
    </row>
    <row r="616" spans="21:33" x14ac:dyDescent="0.2">
      <c r="U616" s="228"/>
      <c r="AC616" s="228"/>
      <c r="AE616" s="228"/>
      <c r="AG616" s="228"/>
    </row>
    <row r="617" spans="21:33" x14ac:dyDescent="0.2">
      <c r="U617" s="228"/>
      <c r="AC617" s="228"/>
      <c r="AE617" s="228"/>
      <c r="AG617" s="228"/>
    </row>
    <row r="618" spans="21:33" x14ac:dyDescent="0.2">
      <c r="U618" s="228"/>
      <c r="AC618" s="228"/>
      <c r="AE618" s="228"/>
      <c r="AG618" s="228"/>
    </row>
    <row r="619" spans="21:33" x14ac:dyDescent="0.2">
      <c r="U619" s="228"/>
      <c r="AC619" s="228"/>
      <c r="AE619" s="228"/>
      <c r="AG619" s="228"/>
    </row>
    <row r="620" spans="21:33" x14ac:dyDescent="0.2">
      <c r="U620" s="228"/>
      <c r="AC620" s="228"/>
      <c r="AE620" s="228"/>
      <c r="AG620" s="228"/>
    </row>
    <row r="621" spans="21:33" x14ac:dyDescent="0.2">
      <c r="U621" s="228"/>
      <c r="AC621" s="228"/>
      <c r="AE621" s="228"/>
      <c r="AG621" s="228"/>
    </row>
    <row r="622" spans="21:33" x14ac:dyDescent="0.2">
      <c r="U622" s="228"/>
      <c r="AC622" s="228"/>
      <c r="AE622" s="228"/>
      <c r="AG622" s="228"/>
    </row>
    <row r="623" spans="21:33" x14ac:dyDescent="0.2">
      <c r="U623" s="228"/>
      <c r="AC623" s="228"/>
      <c r="AE623" s="228"/>
      <c r="AG623" s="228"/>
    </row>
    <row r="624" spans="21:33" x14ac:dyDescent="0.2">
      <c r="U624" s="228"/>
      <c r="AC624" s="228"/>
      <c r="AE624" s="228"/>
      <c r="AG624" s="228"/>
    </row>
    <row r="625" spans="21:33" x14ac:dyDescent="0.2">
      <c r="U625" s="228"/>
      <c r="AC625" s="228"/>
      <c r="AE625" s="228"/>
      <c r="AG625" s="228"/>
    </row>
    <row r="626" spans="21:33" x14ac:dyDescent="0.2">
      <c r="U626" s="228"/>
      <c r="AC626" s="228"/>
      <c r="AE626" s="228"/>
      <c r="AG626" s="228"/>
    </row>
    <row r="627" spans="21:33" x14ac:dyDescent="0.2">
      <c r="U627" s="228"/>
      <c r="AC627" s="228"/>
      <c r="AE627" s="228"/>
      <c r="AG627" s="228"/>
    </row>
    <row r="628" spans="21:33" x14ac:dyDescent="0.2">
      <c r="U628" s="228"/>
      <c r="AC628" s="228"/>
      <c r="AE628" s="228"/>
      <c r="AG628" s="228"/>
    </row>
    <row r="629" spans="21:33" x14ac:dyDescent="0.2">
      <c r="U629" s="228"/>
      <c r="AC629" s="228"/>
      <c r="AE629" s="228"/>
      <c r="AG629" s="228"/>
    </row>
    <row r="630" spans="21:33" x14ac:dyDescent="0.2">
      <c r="U630" s="228"/>
      <c r="AC630" s="228"/>
      <c r="AE630" s="228"/>
      <c r="AG630" s="228"/>
    </row>
    <row r="631" spans="21:33" x14ac:dyDescent="0.2">
      <c r="U631" s="228"/>
      <c r="AC631" s="228"/>
      <c r="AE631" s="228"/>
      <c r="AG631" s="228"/>
    </row>
    <row r="632" spans="21:33" x14ac:dyDescent="0.2">
      <c r="U632" s="228"/>
      <c r="AC632" s="228"/>
      <c r="AE632" s="228"/>
      <c r="AG632" s="228"/>
    </row>
    <row r="633" spans="21:33" x14ac:dyDescent="0.2">
      <c r="U633" s="228"/>
      <c r="AC633" s="228"/>
      <c r="AE633" s="228"/>
      <c r="AG633" s="228"/>
    </row>
    <row r="634" spans="21:33" x14ac:dyDescent="0.2">
      <c r="U634" s="228"/>
      <c r="AC634" s="228"/>
      <c r="AE634" s="228"/>
      <c r="AG634" s="228"/>
    </row>
    <row r="635" spans="21:33" x14ac:dyDescent="0.2">
      <c r="U635" s="228"/>
      <c r="AC635" s="228"/>
      <c r="AE635" s="228"/>
      <c r="AG635" s="228"/>
    </row>
    <row r="636" spans="21:33" x14ac:dyDescent="0.2">
      <c r="U636" s="228"/>
      <c r="AC636" s="228"/>
      <c r="AE636" s="228"/>
      <c r="AG636" s="228"/>
    </row>
    <row r="637" spans="21:33" x14ac:dyDescent="0.2">
      <c r="U637" s="228"/>
      <c r="AC637" s="228"/>
      <c r="AE637" s="228"/>
      <c r="AG637" s="228"/>
    </row>
    <row r="638" spans="21:33" x14ac:dyDescent="0.2">
      <c r="U638" s="228"/>
      <c r="AC638" s="228"/>
      <c r="AE638" s="228"/>
      <c r="AG638" s="228"/>
    </row>
    <row r="639" spans="21:33" x14ac:dyDescent="0.2">
      <c r="U639" s="228"/>
      <c r="AC639" s="228"/>
      <c r="AE639" s="228"/>
      <c r="AG639" s="228"/>
    </row>
    <row r="640" spans="21:33" x14ac:dyDescent="0.2">
      <c r="U640" s="228"/>
      <c r="AC640" s="228"/>
      <c r="AE640" s="228"/>
      <c r="AG640" s="228"/>
    </row>
    <row r="641" spans="21:33" x14ac:dyDescent="0.2">
      <c r="U641" s="228"/>
      <c r="AC641" s="228"/>
      <c r="AE641" s="228"/>
      <c r="AG641" s="228"/>
    </row>
    <row r="642" spans="21:33" x14ac:dyDescent="0.2">
      <c r="U642" s="228"/>
      <c r="AC642" s="228"/>
      <c r="AE642" s="228"/>
      <c r="AG642" s="228"/>
    </row>
    <row r="643" spans="21:33" x14ac:dyDescent="0.2">
      <c r="U643" s="228"/>
      <c r="AC643" s="228"/>
      <c r="AE643" s="228"/>
      <c r="AG643" s="228"/>
    </row>
    <row r="644" spans="21:33" x14ac:dyDescent="0.2">
      <c r="U644" s="228"/>
      <c r="AC644" s="228"/>
      <c r="AE644" s="228"/>
      <c r="AG644" s="228"/>
    </row>
    <row r="645" spans="21:33" x14ac:dyDescent="0.2">
      <c r="U645" s="228"/>
      <c r="AC645" s="228"/>
      <c r="AE645" s="228"/>
      <c r="AG645" s="228"/>
    </row>
    <row r="646" spans="21:33" x14ac:dyDescent="0.2">
      <c r="U646" s="228"/>
      <c r="AC646" s="228"/>
      <c r="AE646" s="228"/>
      <c r="AG646" s="228"/>
    </row>
    <row r="647" spans="21:33" x14ac:dyDescent="0.2">
      <c r="U647" s="228"/>
      <c r="AC647" s="228"/>
      <c r="AE647" s="228"/>
      <c r="AG647" s="228"/>
    </row>
    <row r="648" spans="21:33" x14ac:dyDescent="0.2">
      <c r="U648" s="228"/>
      <c r="AC648" s="228"/>
      <c r="AE648" s="228"/>
      <c r="AG648" s="228"/>
    </row>
    <row r="649" spans="21:33" x14ac:dyDescent="0.2">
      <c r="U649" s="228"/>
      <c r="AC649" s="228"/>
      <c r="AE649" s="228"/>
      <c r="AG649" s="228"/>
    </row>
    <row r="650" spans="21:33" x14ac:dyDescent="0.2">
      <c r="U650" s="228"/>
      <c r="AC650" s="228"/>
      <c r="AE650" s="228"/>
      <c r="AG650" s="228"/>
    </row>
    <row r="651" spans="21:33" x14ac:dyDescent="0.2">
      <c r="U651" s="228"/>
      <c r="AC651" s="228"/>
      <c r="AE651" s="228"/>
      <c r="AG651" s="228"/>
    </row>
    <row r="652" spans="21:33" x14ac:dyDescent="0.2">
      <c r="U652" s="228"/>
      <c r="AC652" s="228"/>
      <c r="AE652" s="228"/>
      <c r="AG652" s="228"/>
    </row>
    <row r="653" spans="21:33" x14ac:dyDescent="0.2">
      <c r="U653" s="228"/>
      <c r="AC653" s="228"/>
      <c r="AE653" s="228"/>
      <c r="AG653" s="228"/>
    </row>
    <row r="654" spans="21:33" x14ac:dyDescent="0.2">
      <c r="U654" s="228"/>
      <c r="AC654" s="228"/>
      <c r="AE654" s="228"/>
      <c r="AG654" s="228"/>
    </row>
    <row r="655" spans="21:33" x14ac:dyDescent="0.2">
      <c r="U655" s="228"/>
      <c r="AC655" s="228"/>
      <c r="AE655" s="228"/>
      <c r="AG655" s="228"/>
    </row>
    <row r="656" spans="21:33" x14ac:dyDescent="0.2">
      <c r="U656" s="228"/>
      <c r="AC656" s="228"/>
      <c r="AE656" s="228"/>
      <c r="AG656" s="228"/>
    </row>
    <row r="657" spans="21:33" x14ac:dyDescent="0.2">
      <c r="U657" s="228"/>
      <c r="AC657" s="228"/>
      <c r="AE657" s="228"/>
      <c r="AG657" s="228"/>
    </row>
    <row r="658" spans="21:33" x14ac:dyDescent="0.2">
      <c r="U658" s="228"/>
      <c r="AC658" s="228"/>
      <c r="AE658" s="228"/>
      <c r="AG658" s="228"/>
    </row>
    <row r="659" spans="21:33" x14ac:dyDescent="0.2">
      <c r="U659" s="228"/>
      <c r="AC659" s="228"/>
      <c r="AE659" s="228"/>
      <c r="AG659" s="228"/>
    </row>
    <row r="660" spans="21:33" x14ac:dyDescent="0.2">
      <c r="U660" s="228"/>
      <c r="AC660" s="228"/>
      <c r="AE660" s="228"/>
      <c r="AG660" s="228"/>
    </row>
    <row r="661" spans="21:33" x14ac:dyDescent="0.2">
      <c r="U661" s="228"/>
      <c r="AC661" s="228"/>
      <c r="AE661" s="228"/>
      <c r="AG661" s="228"/>
    </row>
    <row r="662" spans="21:33" x14ac:dyDescent="0.2">
      <c r="U662" s="228"/>
      <c r="AC662" s="228"/>
      <c r="AE662" s="228"/>
      <c r="AG662" s="228"/>
    </row>
    <row r="663" spans="21:33" x14ac:dyDescent="0.2">
      <c r="U663" s="228"/>
      <c r="AC663" s="228"/>
      <c r="AE663" s="228"/>
      <c r="AG663" s="228"/>
    </row>
    <row r="664" spans="21:33" x14ac:dyDescent="0.2">
      <c r="U664" s="228"/>
      <c r="AC664" s="228"/>
      <c r="AE664" s="228"/>
      <c r="AG664" s="228"/>
    </row>
    <row r="665" spans="21:33" x14ac:dyDescent="0.2">
      <c r="U665" s="228"/>
      <c r="AC665" s="228"/>
      <c r="AE665" s="228"/>
      <c r="AG665" s="228"/>
    </row>
    <row r="666" spans="21:33" x14ac:dyDescent="0.2">
      <c r="U666" s="228"/>
      <c r="AC666" s="228"/>
      <c r="AE666" s="228"/>
      <c r="AG666" s="228"/>
    </row>
    <row r="667" spans="21:33" x14ac:dyDescent="0.2">
      <c r="U667" s="228"/>
      <c r="AC667" s="228"/>
      <c r="AE667" s="228"/>
      <c r="AG667" s="228"/>
    </row>
    <row r="668" spans="21:33" x14ac:dyDescent="0.2">
      <c r="U668" s="228"/>
      <c r="AC668" s="228"/>
      <c r="AE668" s="228"/>
      <c r="AG668" s="228"/>
    </row>
    <row r="669" spans="21:33" x14ac:dyDescent="0.2">
      <c r="U669" s="228"/>
      <c r="AC669" s="228"/>
      <c r="AE669" s="228"/>
      <c r="AG669" s="228"/>
    </row>
    <row r="670" spans="21:33" x14ac:dyDescent="0.2">
      <c r="U670" s="228"/>
      <c r="AC670" s="228"/>
      <c r="AE670" s="228"/>
      <c r="AG670" s="228"/>
    </row>
    <row r="671" spans="21:33" x14ac:dyDescent="0.2">
      <c r="U671" s="228"/>
      <c r="AC671" s="228"/>
      <c r="AE671" s="228"/>
      <c r="AG671" s="228"/>
    </row>
    <row r="672" spans="21:33" x14ac:dyDescent="0.2">
      <c r="U672" s="228"/>
      <c r="AC672" s="228"/>
      <c r="AE672" s="228"/>
      <c r="AG672" s="228"/>
    </row>
    <row r="673" spans="21:33" x14ac:dyDescent="0.2">
      <c r="U673" s="228"/>
      <c r="AC673" s="228"/>
      <c r="AE673" s="228"/>
      <c r="AG673" s="228"/>
    </row>
    <row r="674" spans="21:33" x14ac:dyDescent="0.2">
      <c r="U674" s="228"/>
      <c r="AC674" s="228"/>
      <c r="AE674" s="228"/>
      <c r="AG674" s="228"/>
    </row>
    <row r="675" spans="21:33" x14ac:dyDescent="0.2">
      <c r="U675" s="228"/>
      <c r="AC675" s="228"/>
      <c r="AE675" s="228"/>
      <c r="AG675" s="228"/>
    </row>
    <row r="676" spans="21:33" x14ac:dyDescent="0.2">
      <c r="U676" s="228"/>
      <c r="AC676" s="228"/>
      <c r="AE676" s="228"/>
      <c r="AG676" s="228"/>
    </row>
    <row r="677" spans="21:33" x14ac:dyDescent="0.2">
      <c r="U677" s="228"/>
      <c r="AC677" s="228"/>
      <c r="AE677" s="228"/>
      <c r="AG677" s="228"/>
    </row>
    <row r="678" spans="21:33" x14ac:dyDescent="0.2">
      <c r="U678" s="228"/>
      <c r="AC678" s="228"/>
      <c r="AE678" s="228"/>
      <c r="AG678" s="228"/>
    </row>
    <row r="679" spans="21:33" x14ac:dyDescent="0.2">
      <c r="U679" s="228"/>
      <c r="AC679" s="228"/>
      <c r="AE679" s="228"/>
      <c r="AG679" s="228"/>
    </row>
    <row r="680" spans="21:33" x14ac:dyDescent="0.2">
      <c r="U680" s="228"/>
      <c r="AC680" s="228"/>
      <c r="AE680" s="228"/>
      <c r="AG680" s="228"/>
    </row>
    <row r="681" spans="21:33" x14ac:dyDescent="0.2">
      <c r="U681" s="228"/>
      <c r="AC681" s="228"/>
      <c r="AE681" s="228"/>
      <c r="AG681" s="228"/>
    </row>
    <row r="682" spans="21:33" x14ac:dyDescent="0.2">
      <c r="U682" s="228"/>
      <c r="AC682" s="228"/>
      <c r="AE682" s="228"/>
      <c r="AG682" s="228"/>
    </row>
    <row r="683" spans="21:33" x14ac:dyDescent="0.2">
      <c r="U683" s="228"/>
      <c r="AC683" s="228"/>
      <c r="AE683" s="228"/>
      <c r="AG683" s="228"/>
    </row>
    <row r="684" spans="21:33" x14ac:dyDescent="0.2">
      <c r="U684" s="228"/>
      <c r="AC684" s="228"/>
      <c r="AE684" s="228"/>
      <c r="AG684" s="228"/>
    </row>
    <row r="685" spans="21:33" x14ac:dyDescent="0.2">
      <c r="U685" s="228"/>
      <c r="AC685" s="228"/>
      <c r="AE685" s="228"/>
      <c r="AG685" s="228"/>
    </row>
    <row r="686" spans="21:33" x14ac:dyDescent="0.2">
      <c r="U686" s="228"/>
      <c r="AC686" s="228"/>
      <c r="AE686" s="228"/>
      <c r="AG686" s="228"/>
    </row>
    <row r="687" spans="21:33" x14ac:dyDescent="0.2">
      <c r="U687" s="228"/>
      <c r="AC687" s="228"/>
      <c r="AE687" s="228"/>
      <c r="AG687" s="228"/>
    </row>
    <row r="688" spans="21:33" x14ac:dyDescent="0.2">
      <c r="U688" s="228"/>
      <c r="AC688" s="228"/>
      <c r="AE688" s="228"/>
      <c r="AG688" s="228"/>
    </row>
    <row r="689" spans="21:33" x14ac:dyDescent="0.2">
      <c r="U689" s="228"/>
      <c r="AC689" s="228"/>
      <c r="AE689" s="228"/>
      <c r="AG689" s="228"/>
    </row>
    <row r="690" spans="21:33" x14ac:dyDescent="0.2">
      <c r="U690" s="228"/>
      <c r="AC690" s="228"/>
      <c r="AE690" s="228"/>
      <c r="AG690" s="228"/>
    </row>
    <row r="691" spans="21:33" x14ac:dyDescent="0.2">
      <c r="U691" s="228"/>
      <c r="AC691" s="228"/>
      <c r="AE691" s="228"/>
      <c r="AG691" s="228"/>
    </row>
    <row r="692" spans="21:33" x14ac:dyDescent="0.2">
      <c r="U692" s="228"/>
      <c r="AC692" s="228"/>
      <c r="AE692" s="228"/>
      <c r="AG692" s="228"/>
    </row>
    <row r="693" spans="21:33" x14ac:dyDescent="0.2">
      <c r="U693" s="228"/>
      <c r="AC693" s="228"/>
      <c r="AE693" s="228"/>
      <c r="AG693" s="228"/>
    </row>
    <row r="694" spans="21:33" x14ac:dyDescent="0.2">
      <c r="U694" s="228"/>
      <c r="AC694" s="228"/>
      <c r="AE694" s="228"/>
      <c r="AG694" s="228"/>
    </row>
    <row r="695" spans="21:33" x14ac:dyDescent="0.2">
      <c r="U695" s="228"/>
      <c r="AC695" s="228"/>
      <c r="AE695" s="228"/>
      <c r="AG695" s="228"/>
    </row>
    <row r="696" spans="21:33" x14ac:dyDescent="0.2">
      <c r="U696" s="228"/>
      <c r="AC696" s="228"/>
      <c r="AE696" s="228"/>
      <c r="AG696" s="228"/>
    </row>
    <row r="697" spans="21:33" x14ac:dyDescent="0.2">
      <c r="U697" s="228"/>
      <c r="AC697" s="228"/>
      <c r="AE697" s="228"/>
      <c r="AG697" s="228"/>
    </row>
    <row r="698" spans="21:33" x14ac:dyDescent="0.2">
      <c r="U698" s="228"/>
      <c r="AC698" s="228"/>
      <c r="AE698" s="228"/>
      <c r="AG698" s="228"/>
    </row>
    <row r="699" spans="21:33" x14ac:dyDescent="0.2">
      <c r="U699" s="228"/>
      <c r="AC699" s="228"/>
      <c r="AE699" s="228"/>
      <c r="AG699" s="228"/>
    </row>
    <row r="700" spans="21:33" x14ac:dyDescent="0.2">
      <c r="U700" s="228"/>
      <c r="AC700" s="228"/>
      <c r="AE700" s="228"/>
      <c r="AG700" s="228"/>
    </row>
    <row r="701" spans="21:33" x14ac:dyDescent="0.2">
      <c r="U701" s="228"/>
      <c r="AC701" s="228"/>
      <c r="AE701" s="228"/>
      <c r="AG701" s="228"/>
    </row>
    <row r="702" spans="21:33" x14ac:dyDescent="0.2">
      <c r="U702" s="228"/>
      <c r="AC702" s="228"/>
      <c r="AE702" s="228"/>
      <c r="AG702" s="228"/>
    </row>
    <row r="703" spans="21:33" x14ac:dyDescent="0.2">
      <c r="U703" s="228"/>
      <c r="AC703" s="228"/>
      <c r="AE703" s="228"/>
      <c r="AG703" s="228"/>
    </row>
    <row r="704" spans="21:33" x14ac:dyDescent="0.2">
      <c r="U704" s="228"/>
      <c r="AC704" s="228"/>
      <c r="AE704" s="228"/>
      <c r="AG704" s="228"/>
    </row>
    <row r="705" spans="21:33" x14ac:dyDescent="0.2">
      <c r="U705" s="228"/>
      <c r="AC705" s="228"/>
      <c r="AE705" s="228"/>
      <c r="AG705" s="228"/>
    </row>
    <row r="706" spans="21:33" x14ac:dyDescent="0.2">
      <c r="U706" s="228"/>
      <c r="AC706" s="228"/>
      <c r="AE706" s="228"/>
      <c r="AG706" s="228"/>
    </row>
    <row r="707" spans="21:33" x14ac:dyDescent="0.2">
      <c r="U707" s="228"/>
      <c r="AC707" s="228"/>
      <c r="AE707" s="228"/>
      <c r="AG707" s="228"/>
    </row>
    <row r="708" spans="21:33" x14ac:dyDescent="0.2">
      <c r="U708" s="228"/>
      <c r="AC708" s="228"/>
      <c r="AE708" s="228"/>
      <c r="AG708" s="228"/>
    </row>
    <row r="709" spans="21:33" x14ac:dyDescent="0.2">
      <c r="U709" s="228"/>
      <c r="AC709" s="228"/>
      <c r="AE709" s="228"/>
      <c r="AG709" s="228"/>
    </row>
    <row r="710" spans="21:33" x14ac:dyDescent="0.2">
      <c r="U710" s="228"/>
      <c r="AC710" s="228"/>
      <c r="AE710" s="228"/>
      <c r="AG710" s="228"/>
    </row>
    <row r="711" spans="21:33" x14ac:dyDescent="0.2">
      <c r="U711" s="228"/>
      <c r="AC711" s="228"/>
      <c r="AE711" s="228"/>
      <c r="AG711" s="228"/>
    </row>
    <row r="712" spans="21:33" x14ac:dyDescent="0.2">
      <c r="U712" s="228"/>
      <c r="AC712" s="228"/>
      <c r="AE712" s="228"/>
      <c r="AG712" s="228"/>
    </row>
    <row r="713" spans="21:33" x14ac:dyDescent="0.2">
      <c r="U713" s="228"/>
      <c r="AC713" s="228"/>
      <c r="AE713" s="228"/>
      <c r="AG713" s="228"/>
    </row>
    <row r="714" spans="21:33" x14ac:dyDescent="0.2">
      <c r="U714" s="228"/>
      <c r="AC714" s="228"/>
      <c r="AE714" s="228"/>
      <c r="AG714" s="228"/>
    </row>
    <row r="715" spans="21:33" x14ac:dyDescent="0.2">
      <c r="U715" s="228"/>
      <c r="AC715" s="228"/>
      <c r="AE715" s="228"/>
      <c r="AG715" s="228"/>
    </row>
    <row r="716" spans="21:33" x14ac:dyDescent="0.2">
      <c r="U716" s="228"/>
      <c r="AC716" s="228"/>
      <c r="AE716" s="228"/>
      <c r="AG716" s="228"/>
    </row>
    <row r="717" spans="21:33" x14ac:dyDescent="0.2">
      <c r="U717" s="228"/>
      <c r="AC717" s="228"/>
      <c r="AE717" s="228"/>
      <c r="AG717" s="228"/>
    </row>
    <row r="718" spans="21:33" x14ac:dyDescent="0.2">
      <c r="U718" s="228"/>
      <c r="AC718" s="228"/>
      <c r="AE718" s="228"/>
      <c r="AG718" s="228"/>
    </row>
    <row r="719" spans="21:33" x14ac:dyDescent="0.2">
      <c r="U719" s="228"/>
      <c r="AC719" s="228"/>
      <c r="AE719" s="228"/>
      <c r="AG719" s="228"/>
    </row>
    <row r="720" spans="21:33" x14ac:dyDescent="0.2">
      <c r="U720" s="228"/>
      <c r="AC720" s="228"/>
      <c r="AE720" s="228"/>
      <c r="AG720" s="228"/>
    </row>
    <row r="721" spans="21:33" x14ac:dyDescent="0.2">
      <c r="U721" s="228"/>
      <c r="AC721" s="228"/>
      <c r="AE721" s="228"/>
      <c r="AG721" s="228"/>
    </row>
    <row r="722" spans="21:33" x14ac:dyDescent="0.2">
      <c r="U722" s="228"/>
      <c r="AC722" s="228"/>
      <c r="AE722" s="228"/>
      <c r="AG722" s="228"/>
    </row>
    <row r="723" spans="21:33" x14ac:dyDescent="0.2">
      <c r="U723" s="228"/>
      <c r="AC723" s="228"/>
      <c r="AE723" s="228"/>
      <c r="AG723" s="228"/>
    </row>
    <row r="724" spans="21:33" x14ac:dyDescent="0.2">
      <c r="U724" s="228"/>
      <c r="AC724" s="228"/>
      <c r="AE724" s="228"/>
      <c r="AG724" s="228"/>
    </row>
    <row r="725" spans="21:33" x14ac:dyDescent="0.2">
      <c r="U725" s="228"/>
      <c r="AC725" s="228"/>
      <c r="AE725" s="228"/>
      <c r="AG725" s="228"/>
    </row>
    <row r="726" spans="21:33" x14ac:dyDescent="0.2">
      <c r="U726" s="228"/>
      <c r="AC726" s="228"/>
      <c r="AE726" s="228"/>
      <c r="AG726" s="228"/>
    </row>
    <row r="727" spans="21:33" x14ac:dyDescent="0.2">
      <c r="U727" s="228"/>
      <c r="AC727" s="228"/>
      <c r="AE727" s="228"/>
      <c r="AG727" s="228"/>
    </row>
    <row r="728" spans="21:33" x14ac:dyDescent="0.2">
      <c r="U728" s="228"/>
      <c r="AC728" s="228"/>
      <c r="AE728" s="228"/>
      <c r="AG728" s="228"/>
    </row>
    <row r="729" spans="21:33" x14ac:dyDescent="0.2">
      <c r="U729" s="228"/>
      <c r="AC729" s="228"/>
      <c r="AE729" s="228"/>
      <c r="AG729" s="228"/>
    </row>
    <row r="730" spans="21:33" x14ac:dyDescent="0.2">
      <c r="U730" s="228"/>
      <c r="AC730" s="228"/>
      <c r="AE730" s="228"/>
      <c r="AG730" s="228"/>
    </row>
    <row r="731" spans="21:33" x14ac:dyDescent="0.2">
      <c r="U731" s="228"/>
      <c r="AC731" s="228"/>
      <c r="AE731" s="228"/>
      <c r="AG731" s="228"/>
    </row>
    <row r="732" spans="21:33" x14ac:dyDescent="0.2">
      <c r="U732" s="228"/>
      <c r="AC732" s="228"/>
      <c r="AE732" s="228"/>
      <c r="AG732" s="228"/>
    </row>
    <row r="733" spans="21:33" x14ac:dyDescent="0.2">
      <c r="U733" s="228"/>
      <c r="AC733" s="228"/>
      <c r="AE733" s="228"/>
      <c r="AG733" s="228"/>
    </row>
    <row r="734" spans="21:33" x14ac:dyDescent="0.2">
      <c r="U734" s="228"/>
      <c r="AC734" s="228"/>
      <c r="AE734" s="228"/>
      <c r="AG734" s="228"/>
    </row>
    <row r="735" spans="21:33" x14ac:dyDescent="0.2">
      <c r="U735" s="228"/>
      <c r="AC735" s="228"/>
      <c r="AE735" s="228"/>
      <c r="AG735" s="228"/>
    </row>
    <row r="736" spans="21:33" x14ac:dyDescent="0.2">
      <c r="U736" s="228"/>
      <c r="AC736" s="228"/>
      <c r="AE736" s="228"/>
      <c r="AG736" s="228"/>
    </row>
    <row r="737" spans="21:33" x14ac:dyDescent="0.2">
      <c r="U737" s="228"/>
      <c r="AC737" s="228"/>
      <c r="AE737" s="228"/>
      <c r="AG737" s="228"/>
    </row>
    <row r="738" spans="21:33" x14ac:dyDescent="0.2">
      <c r="U738" s="228"/>
      <c r="AC738" s="228"/>
      <c r="AE738" s="228"/>
      <c r="AG738" s="228"/>
    </row>
    <row r="739" spans="21:33" x14ac:dyDescent="0.2">
      <c r="U739" s="228"/>
      <c r="AC739" s="228"/>
      <c r="AE739" s="228"/>
      <c r="AG739" s="228"/>
    </row>
    <row r="740" spans="21:33" x14ac:dyDescent="0.2">
      <c r="U740" s="228"/>
      <c r="AC740" s="228"/>
      <c r="AE740" s="228"/>
      <c r="AG740" s="228"/>
    </row>
    <row r="741" spans="21:33" x14ac:dyDescent="0.2">
      <c r="U741" s="228"/>
      <c r="AC741" s="228"/>
      <c r="AE741" s="228"/>
      <c r="AG741" s="228"/>
    </row>
    <row r="742" spans="21:33" x14ac:dyDescent="0.2">
      <c r="U742" s="228"/>
      <c r="AC742" s="228"/>
      <c r="AE742" s="228"/>
      <c r="AG742" s="228"/>
    </row>
    <row r="743" spans="21:33" x14ac:dyDescent="0.2">
      <c r="U743" s="228"/>
      <c r="AC743" s="228"/>
      <c r="AE743" s="228"/>
      <c r="AG743" s="228"/>
    </row>
    <row r="744" spans="21:33" x14ac:dyDescent="0.2">
      <c r="U744" s="228"/>
      <c r="AC744" s="228"/>
      <c r="AE744" s="228"/>
      <c r="AG744" s="228"/>
    </row>
    <row r="745" spans="21:33" x14ac:dyDescent="0.2">
      <c r="U745" s="228"/>
      <c r="AC745" s="228"/>
      <c r="AE745" s="228"/>
      <c r="AG745" s="228"/>
    </row>
    <row r="746" spans="21:33" x14ac:dyDescent="0.2">
      <c r="U746" s="228"/>
      <c r="AC746" s="228"/>
      <c r="AE746" s="228"/>
      <c r="AG746" s="228"/>
    </row>
    <row r="747" spans="21:33" x14ac:dyDescent="0.2">
      <c r="U747" s="228"/>
      <c r="AC747" s="228"/>
      <c r="AE747" s="228"/>
      <c r="AG747" s="228"/>
    </row>
    <row r="748" spans="21:33" x14ac:dyDescent="0.2">
      <c r="U748" s="228"/>
      <c r="AC748" s="228"/>
      <c r="AE748" s="228"/>
      <c r="AG748" s="228"/>
    </row>
    <row r="749" spans="21:33" x14ac:dyDescent="0.2">
      <c r="U749" s="228"/>
      <c r="AC749" s="228"/>
      <c r="AE749" s="228"/>
      <c r="AG749" s="228"/>
    </row>
    <row r="750" spans="21:33" x14ac:dyDescent="0.2">
      <c r="U750" s="228"/>
      <c r="AC750" s="228"/>
      <c r="AE750" s="228"/>
      <c r="AG750" s="228"/>
    </row>
    <row r="751" spans="21:33" x14ac:dyDescent="0.2">
      <c r="U751" s="228"/>
      <c r="AC751" s="228"/>
      <c r="AE751" s="228"/>
      <c r="AG751" s="228"/>
    </row>
    <row r="752" spans="21:33" x14ac:dyDescent="0.2">
      <c r="U752" s="228"/>
      <c r="AC752" s="228"/>
      <c r="AE752" s="228"/>
      <c r="AG752" s="228"/>
    </row>
    <row r="753" spans="21:33" x14ac:dyDescent="0.2">
      <c r="U753" s="228"/>
      <c r="AC753" s="228"/>
      <c r="AE753" s="228"/>
      <c r="AG753" s="228"/>
    </row>
    <row r="754" spans="21:33" x14ac:dyDescent="0.2">
      <c r="U754" s="228"/>
      <c r="AC754" s="228"/>
      <c r="AE754" s="228"/>
      <c r="AG754" s="228"/>
    </row>
    <row r="755" spans="21:33" x14ac:dyDescent="0.2">
      <c r="U755" s="228"/>
      <c r="AC755" s="228"/>
      <c r="AE755" s="228"/>
      <c r="AG755" s="228"/>
    </row>
    <row r="756" spans="21:33" x14ac:dyDescent="0.2">
      <c r="U756" s="228"/>
      <c r="AC756" s="228"/>
      <c r="AE756" s="228"/>
      <c r="AG756" s="228"/>
    </row>
    <row r="757" spans="21:33" x14ac:dyDescent="0.2">
      <c r="U757" s="228"/>
      <c r="AC757" s="228"/>
      <c r="AE757" s="228"/>
      <c r="AG757" s="228"/>
    </row>
    <row r="758" spans="21:33" x14ac:dyDescent="0.2">
      <c r="U758" s="228"/>
      <c r="AC758" s="228"/>
      <c r="AE758" s="228"/>
      <c r="AG758" s="228"/>
    </row>
    <row r="759" spans="21:33" x14ac:dyDescent="0.2">
      <c r="U759" s="228"/>
      <c r="AC759" s="228"/>
      <c r="AE759" s="228"/>
      <c r="AG759" s="228"/>
    </row>
    <row r="760" spans="21:33" x14ac:dyDescent="0.2">
      <c r="U760" s="228"/>
      <c r="AC760" s="228"/>
      <c r="AE760" s="228"/>
      <c r="AG760" s="228"/>
    </row>
    <row r="761" spans="21:33" x14ac:dyDescent="0.2">
      <c r="U761" s="228"/>
      <c r="AC761" s="228"/>
      <c r="AE761" s="228"/>
      <c r="AG761" s="228"/>
    </row>
    <row r="762" spans="21:33" x14ac:dyDescent="0.2">
      <c r="U762" s="228"/>
      <c r="AC762" s="228"/>
      <c r="AE762" s="228"/>
      <c r="AG762" s="228"/>
    </row>
    <row r="763" spans="21:33" x14ac:dyDescent="0.2">
      <c r="U763" s="228"/>
      <c r="AC763" s="228"/>
      <c r="AE763" s="228"/>
      <c r="AG763" s="228"/>
    </row>
    <row r="764" spans="21:33" x14ac:dyDescent="0.2">
      <c r="U764" s="228"/>
      <c r="AC764" s="228"/>
      <c r="AE764" s="228"/>
      <c r="AG764" s="228"/>
    </row>
    <row r="765" spans="21:33" x14ac:dyDescent="0.2">
      <c r="U765" s="228"/>
      <c r="AC765" s="228"/>
      <c r="AE765" s="228"/>
      <c r="AG765" s="228"/>
    </row>
    <row r="766" spans="21:33" x14ac:dyDescent="0.2">
      <c r="U766" s="228"/>
      <c r="AC766" s="228"/>
      <c r="AE766" s="228"/>
      <c r="AG766" s="228"/>
    </row>
    <row r="767" spans="21:33" x14ac:dyDescent="0.2">
      <c r="U767" s="228"/>
      <c r="AC767" s="228"/>
      <c r="AE767" s="228"/>
      <c r="AG767" s="228"/>
    </row>
    <row r="768" spans="21:33" x14ac:dyDescent="0.2">
      <c r="U768" s="228"/>
      <c r="AC768" s="228"/>
      <c r="AE768" s="228"/>
      <c r="AG768" s="228"/>
    </row>
    <row r="769" spans="21:33" x14ac:dyDescent="0.2">
      <c r="U769" s="228"/>
      <c r="AC769" s="228"/>
      <c r="AE769" s="228"/>
      <c r="AG769" s="228"/>
    </row>
    <row r="770" spans="21:33" x14ac:dyDescent="0.2">
      <c r="U770" s="228"/>
      <c r="AC770" s="228"/>
      <c r="AE770" s="228"/>
      <c r="AG770" s="228"/>
    </row>
    <row r="771" spans="21:33" x14ac:dyDescent="0.2">
      <c r="U771" s="228"/>
      <c r="AC771" s="228"/>
      <c r="AE771" s="228"/>
      <c r="AG771" s="228"/>
    </row>
    <row r="772" spans="21:33" x14ac:dyDescent="0.2">
      <c r="U772" s="228"/>
      <c r="AC772" s="228"/>
      <c r="AE772" s="228"/>
      <c r="AG772" s="228"/>
    </row>
    <row r="773" spans="21:33" x14ac:dyDescent="0.2">
      <c r="U773" s="228"/>
      <c r="AC773" s="228"/>
      <c r="AE773" s="228"/>
      <c r="AG773" s="228"/>
    </row>
    <row r="774" spans="21:33" x14ac:dyDescent="0.2">
      <c r="U774" s="228"/>
      <c r="AC774" s="228"/>
      <c r="AE774" s="228"/>
      <c r="AG774" s="228"/>
    </row>
    <row r="775" spans="21:33" x14ac:dyDescent="0.2">
      <c r="U775" s="228"/>
      <c r="AC775" s="228"/>
      <c r="AE775" s="228"/>
      <c r="AG775" s="228"/>
    </row>
    <row r="776" spans="21:33" x14ac:dyDescent="0.2">
      <c r="U776" s="228"/>
      <c r="AC776" s="228"/>
      <c r="AE776" s="228"/>
      <c r="AG776" s="228"/>
    </row>
    <row r="777" spans="21:33" x14ac:dyDescent="0.2">
      <c r="U777" s="228"/>
      <c r="AC777" s="228"/>
      <c r="AE777" s="228"/>
      <c r="AG777" s="228"/>
    </row>
    <row r="778" spans="21:33" x14ac:dyDescent="0.2">
      <c r="U778" s="228"/>
      <c r="AC778" s="228"/>
      <c r="AE778" s="228"/>
      <c r="AG778" s="228"/>
    </row>
    <row r="779" spans="21:33" x14ac:dyDescent="0.2">
      <c r="U779" s="228"/>
      <c r="AC779" s="228"/>
      <c r="AE779" s="228"/>
      <c r="AG779" s="228"/>
    </row>
    <row r="780" spans="21:33" x14ac:dyDescent="0.2">
      <c r="U780" s="228"/>
      <c r="AC780" s="228"/>
      <c r="AE780" s="228"/>
      <c r="AG780" s="228"/>
    </row>
    <row r="781" spans="21:33" x14ac:dyDescent="0.2">
      <c r="U781" s="228"/>
      <c r="AC781" s="228"/>
      <c r="AE781" s="228"/>
      <c r="AG781" s="228"/>
    </row>
    <row r="782" spans="21:33" x14ac:dyDescent="0.2">
      <c r="U782" s="228"/>
      <c r="AC782" s="228"/>
      <c r="AE782" s="228"/>
      <c r="AG782" s="228"/>
    </row>
    <row r="783" spans="21:33" x14ac:dyDescent="0.2">
      <c r="U783" s="228"/>
      <c r="AC783" s="228"/>
      <c r="AE783" s="228"/>
      <c r="AG783" s="228"/>
    </row>
    <row r="784" spans="21:33" x14ac:dyDescent="0.2">
      <c r="U784" s="228"/>
      <c r="AC784" s="228"/>
      <c r="AE784" s="228"/>
      <c r="AG784" s="228"/>
    </row>
    <row r="785" spans="21:33" x14ac:dyDescent="0.2">
      <c r="U785" s="228"/>
      <c r="AC785" s="228"/>
      <c r="AE785" s="228"/>
      <c r="AG785" s="228"/>
    </row>
    <row r="786" spans="21:33" x14ac:dyDescent="0.2">
      <c r="U786" s="228"/>
      <c r="AC786" s="228"/>
      <c r="AE786" s="228"/>
      <c r="AG786" s="228"/>
    </row>
    <row r="787" spans="21:33" x14ac:dyDescent="0.2">
      <c r="U787" s="228"/>
      <c r="AC787" s="228"/>
      <c r="AE787" s="228"/>
      <c r="AG787" s="228"/>
    </row>
    <row r="788" spans="21:33" x14ac:dyDescent="0.2">
      <c r="U788" s="228"/>
      <c r="AC788" s="228"/>
      <c r="AE788" s="228"/>
      <c r="AG788" s="228"/>
    </row>
    <row r="789" spans="21:33" x14ac:dyDescent="0.2">
      <c r="U789" s="228"/>
      <c r="AC789" s="228"/>
      <c r="AE789" s="228"/>
      <c r="AG789" s="228"/>
    </row>
    <row r="790" spans="21:33" x14ac:dyDescent="0.2">
      <c r="U790" s="228"/>
      <c r="AC790" s="228"/>
      <c r="AE790" s="228"/>
      <c r="AG790" s="228"/>
    </row>
    <row r="791" spans="21:33" x14ac:dyDescent="0.2">
      <c r="U791" s="228"/>
      <c r="AC791" s="228"/>
      <c r="AE791" s="228"/>
      <c r="AG791" s="228"/>
    </row>
    <row r="792" spans="21:33" x14ac:dyDescent="0.2">
      <c r="U792" s="228"/>
      <c r="AC792" s="228"/>
      <c r="AE792" s="228"/>
      <c r="AG792" s="228"/>
    </row>
    <row r="793" spans="21:33" x14ac:dyDescent="0.2">
      <c r="U793" s="228"/>
      <c r="AC793" s="228"/>
      <c r="AE793" s="228"/>
      <c r="AG793" s="228"/>
    </row>
    <row r="794" spans="21:33" x14ac:dyDescent="0.2">
      <c r="U794" s="228"/>
      <c r="AC794" s="228"/>
      <c r="AE794" s="228"/>
      <c r="AG794" s="228"/>
    </row>
    <row r="795" spans="21:33" x14ac:dyDescent="0.2">
      <c r="U795" s="228"/>
      <c r="AC795" s="228"/>
      <c r="AE795" s="228"/>
      <c r="AG795" s="228"/>
    </row>
    <row r="796" spans="21:33" x14ac:dyDescent="0.2">
      <c r="U796" s="228"/>
      <c r="AC796" s="228"/>
      <c r="AE796" s="228"/>
      <c r="AG796" s="228"/>
    </row>
    <row r="797" spans="21:33" x14ac:dyDescent="0.2">
      <c r="U797" s="228"/>
      <c r="AC797" s="228"/>
      <c r="AE797" s="228"/>
      <c r="AG797" s="228"/>
    </row>
    <row r="798" spans="21:33" x14ac:dyDescent="0.2">
      <c r="U798" s="228"/>
      <c r="AC798" s="228"/>
      <c r="AE798" s="228"/>
      <c r="AG798" s="228"/>
    </row>
    <row r="799" spans="21:33" x14ac:dyDescent="0.2">
      <c r="U799" s="228"/>
      <c r="AC799" s="228"/>
      <c r="AE799" s="228"/>
      <c r="AG799" s="228"/>
    </row>
    <row r="800" spans="21:33" x14ac:dyDescent="0.2">
      <c r="U800" s="228"/>
      <c r="AC800" s="228"/>
      <c r="AE800" s="228"/>
      <c r="AG800" s="228"/>
    </row>
    <row r="801" spans="21:33" x14ac:dyDescent="0.2">
      <c r="U801" s="228"/>
      <c r="AC801" s="228"/>
      <c r="AE801" s="228"/>
      <c r="AG801" s="228"/>
    </row>
    <row r="802" spans="21:33" x14ac:dyDescent="0.2">
      <c r="U802" s="228"/>
      <c r="AC802" s="228"/>
      <c r="AE802" s="228"/>
      <c r="AG802" s="228"/>
    </row>
    <row r="803" spans="21:33" x14ac:dyDescent="0.2">
      <c r="U803" s="228"/>
      <c r="AC803" s="228"/>
      <c r="AE803" s="228"/>
      <c r="AG803" s="228"/>
    </row>
    <row r="804" spans="21:33" x14ac:dyDescent="0.2">
      <c r="U804" s="228"/>
      <c r="AC804" s="228"/>
      <c r="AE804" s="228"/>
      <c r="AG804" s="228"/>
    </row>
    <row r="805" spans="21:33" x14ac:dyDescent="0.2">
      <c r="U805" s="228"/>
      <c r="AC805" s="228"/>
      <c r="AE805" s="228"/>
      <c r="AG805" s="228"/>
    </row>
    <row r="806" spans="21:33" x14ac:dyDescent="0.2">
      <c r="U806" s="228"/>
      <c r="AC806" s="228"/>
      <c r="AE806" s="228"/>
      <c r="AG806" s="228"/>
    </row>
    <row r="807" spans="21:33" x14ac:dyDescent="0.2">
      <c r="U807" s="228"/>
      <c r="AC807" s="228"/>
      <c r="AE807" s="228"/>
      <c r="AG807" s="228"/>
    </row>
    <row r="808" spans="21:33" x14ac:dyDescent="0.2">
      <c r="U808" s="228"/>
      <c r="AC808" s="228"/>
      <c r="AE808" s="228"/>
      <c r="AG808" s="228"/>
    </row>
    <row r="809" spans="21:33" x14ac:dyDescent="0.2">
      <c r="U809" s="228"/>
      <c r="AC809" s="228"/>
      <c r="AE809" s="228"/>
      <c r="AG809" s="228"/>
    </row>
    <row r="810" spans="21:33" x14ac:dyDescent="0.2">
      <c r="U810" s="228"/>
      <c r="AC810" s="228"/>
      <c r="AE810" s="228"/>
      <c r="AG810" s="228"/>
    </row>
    <row r="811" spans="21:33" x14ac:dyDescent="0.2">
      <c r="U811" s="228"/>
      <c r="AC811" s="228"/>
      <c r="AE811" s="228"/>
      <c r="AG811" s="228"/>
    </row>
    <row r="812" spans="21:33" x14ac:dyDescent="0.2">
      <c r="U812" s="228"/>
      <c r="AC812" s="228"/>
      <c r="AE812" s="228"/>
      <c r="AG812" s="228"/>
    </row>
    <row r="813" spans="21:33" x14ac:dyDescent="0.2">
      <c r="U813" s="228"/>
      <c r="AC813" s="228"/>
      <c r="AE813" s="228"/>
      <c r="AG813" s="228"/>
    </row>
    <row r="814" spans="21:33" x14ac:dyDescent="0.2">
      <c r="U814" s="228"/>
      <c r="AC814" s="228"/>
      <c r="AE814" s="228"/>
      <c r="AG814" s="228"/>
    </row>
    <row r="815" spans="21:33" x14ac:dyDescent="0.2">
      <c r="U815" s="228"/>
      <c r="AC815" s="228"/>
      <c r="AE815" s="228"/>
      <c r="AG815" s="228"/>
    </row>
    <row r="816" spans="21:33" x14ac:dyDescent="0.2">
      <c r="U816" s="228"/>
      <c r="AC816" s="228"/>
      <c r="AE816" s="228"/>
      <c r="AG816" s="228"/>
    </row>
    <row r="817" spans="21:33" x14ac:dyDescent="0.2">
      <c r="U817" s="228"/>
      <c r="AC817" s="228"/>
      <c r="AE817" s="228"/>
      <c r="AG817" s="228"/>
    </row>
    <row r="818" spans="21:33" x14ac:dyDescent="0.2">
      <c r="U818" s="228"/>
      <c r="AC818" s="228"/>
      <c r="AE818" s="228"/>
      <c r="AG818" s="228"/>
    </row>
    <row r="819" spans="21:33" x14ac:dyDescent="0.2">
      <c r="U819" s="228"/>
      <c r="AC819" s="228"/>
      <c r="AE819" s="228"/>
      <c r="AG819" s="228"/>
    </row>
    <row r="820" spans="21:33" x14ac:dyDescent="0.2">
      <c r="U820" s="228"/>
      <c r="AC820" s="228"/>
      <c r="AE820" s="228"/>
      <c r="AG820" s="228"/>
    </row>
    <row r="821" spans="21:33" x14ac:dyDescent="0.2">
      <c r="U821" s="228"/>
      <c r="AC821" s="228"/>
      <c r="AE821" s="228"/>
      <c r="AG821" s="228"/>
    </row>
    <row r="822" spans="21:33" x14ac:dyDescent="0.2">
      <c r="U822" s="228"/>
      <c r="AC822" s="228"/>
      <c r="AE822" s="228"/>
      <c r="AG822" s="228"/>
    </row>
    <row r="823" spans="21:33" x14ac:dyDescent="0.2">
      <c r="U823" s="228"/>
      <c r="AC823" s="228"/>
      <c r="AE823" s="228"/>
      <c r="AG823" s="228"/>
    </row>
    <row r="824" spans="21:33" x14ac:dyDescent="0.2">
      <c r="U824" s="228"/>
      <c r="AC824" s="228"/>
      <c r="AE824" s="228"/>
      <c r="AG824" s="228"/>
    </row>
    <row r="825" spans="21:33" x14ac:dyDescent="0.2">
      <c r="U825" s="228"/>
      <c r="AC825" s="228"/>
      <c r="AE825" s="228"/>
      <c r="AG825" s="228"/>
    </row>
    <row r="826" spans="21:33" x14ac:dyDescent="0.2">
      <c r="U826" s="228"/>
      <c r="AC826" s="228"/>
      <c r="AE826" s="228"/>
      <c r="AG826" s="228"/>
    </row>
    <row r="827" spans="21:33" x14ac:dyDescent="0.2">
      <c r="U827" s="228"/>
      <c r="AC827" s="228"/>
      <c r="AE827" s="228"/>
      <c r="AG827" s="228"/>
    </row>
    <row r="828" spans="21:33" x14ac:dyDescent="0.2">
      <c r="U828" s="228"/>
      <c r="AC828" s="228"/>
      <c r="AE828" s="228"/>
      <c r="AG828" s="228"/>
    </row>
    <row r="829" spans="21:33" x14ac:dyDescent="0.2">
      <c r="U829" s="228"/>
      <c r="AC829" s="228"/>
      <c r="AE829" s="228"/>
      <c r="AG829" s="228"/>
    </row>
    <row r="830" spans="21:33" x14ac:dyDescent="0.2">
      <c r="U830" s="228"/>
      <c r="AC830" s="228"/>
      <c r="AE830" s="228"/>
      <c r="AG830" s="228"/>
    </row>
    <row r="831" spans="21:33" x14ac:dyDescent="0.2">
      <c r="U831" s="228"/>
      <c r="AC831" s="228"/>
      <c r="AE831" s="228"/>
      <c r="AG831" s="228"/>
    </row>
    <row r="832" spans="21:33" x14ac:dyDescent="0.2">
      <c r="U832" s="228"/>
      <c r="AC832" s="228"/>
      <c r="AE832" s="228"/>
      <c r="AG832" s="228"/>
    </row>
    <row r="833" spans="21:33" x14ac:dyDescent="0.2">
      <c r="U833" s="228"/>
      <c r="AC833" s="228"/>
      <c r="AE833" s="228"/>
      <c r="AG833" s="228"/>
    </row>
    <row r="834" spans="21:33" x14ac:dyDescent="0.2">
      <c r="U834" s="228"/>
      <c r="AC834" s="228"/>
      <c r="AE834" s="228"/>
      <c r="AG834" s="228"/>
    </row>
    <row r="835" spans="21:33" x14ac:dyDescent="0.2">
      <c r="U835" s="228"/>
      <c r="AC835" s="228"/>
      <c r="AE835" s="228"/>
      <c r="AG835" s="228"/>
    </row>
    <row r="836" spans="21:33" x14ac:dyDescent="0.2">
      <c r="U836" s="228"/>
      <c r="AC836" s="228"/>
      <c r="AE836" s="228"/>
      <c r="AG836" s="228"/>
    </row>
    <row r="837" spans="21:33" x14ac:dyDescent="0.2">
      <c r="U837" s="228"/>
      <c r="AC837" s="228"/>
      <c r="AE837" s="228"/>
      <c r="AG837" s="228"/>
    </row>
    <row r="838" spans="21:33" x14ac:dyDescent="0.2">
      <c r="U838" s="228"/>
      <c r="AC838" s="228"/>
      <c r="AE838" s="228"/>
      <c r="AG838" s="228"/>
    </row>
    <row r="839" spans="21:33" x14ac:dyDescent="0.2">
      <c r="U839" s="228"/>
      <c r="AC839" s="228"/>
      <c r="AE839" s="228"/>
      <c r="AG839" s="228"/>
    </row>
    <row r="840" spans="21:33" x14ac:dyDescent="0.2">
      <c r="U840" s="228"/>
      <c r="AC840" s="228"/>
      <c r="AE840" s="228"/>
      <c r="AG840" s="228"/>
    </row>
    <row r="841" spans="21:33" x14ac:dyDescent="0.2">
      <c r="U841" s="228"/>
      <c r="AC841" s="228"/>
      <c r="AE841" s="228"/>
      <c r="AG841" s="228"/>
    </row>
    <row r="842" spans="21:33" x14ac:dyDescent="0.2">
      <c r="U842" s="228"/>
      <c r="AC842" s="228"/>
      <c r="AE842" s="228"/>
      <c r="AG842" s="228"/>
    </row>
    <row r="843" spans="21:33" x14ac:dyDescent="0.2">
      <c r="U843" s="228"/>
      <c r="AC843" s="228"/>
      <c r="AE843" s="228"/>
      <c r="AG843" s="228"/>
    </row>
    <row r="844" spans="21:33" x14ac:dyDescent="0.2">
      <c r="U844" s="228"/>
      <c r="AC844" s="228"/>
      <c r="AE844" s="228"/>
      <c r="AG844" s="228"/>
    </row>
    <row r="845" spans="21:33" x14ac:dyDescent="0.2">
      <c r="U845" s="228"/>
      <c r="AC845" s="228"/>
      <c r="AE845" s="228"/>
      <c r="AG845" s="228"/>
    </row>
    <row r="846" spans="21:33" x14ac:dyDescent="0.2">
      <c r="U846" s="228"/>
      <c r="AC846" s="228"/>
      <c r="AE846" s="228"/>
      <c r="AG846" s="228"/>
    </row>
    <row r="847" spans="21:33" x14ac:dyDescent="0.2">
      <c r="U847" s="228"/>
      <c r="AC847" s="228"/>
      <c r="AE847" s="228"/>
      <c r="AG847" s="228"/>
    </row>
    <row r="848" spans="21:33" x14ac:dyDescent="0.2">
      <c r="U848" s="228"/>
      <c r="AC848" s="228"/>
      <c r="AE848" s="228"/>
      <c r="AG848" s="228"/>
    </row>
    <row r="849" spans="21:33" x14ac:dyDescent="0.2">
      <c r="U849" s="228"/>
      <c r="AC849" s="228"/>
      <c r="AE849" s="228"/>
      <c r="AG849" s="228"/>
    </row>
    <row r="850" spans="21:33" x14ac:dyDescent="0.2">
      <c r="U850" s="228"/>
      <c r="AC850" s="228"/>
      <c r="AE850" s="228"/>
      <c r="AG850" s="228"/>
    </row>
    <row r="851" spans="21:33" x14ac:dyDescent="0.2">
      <c r="U851" s="228"/>
      <c r="AC851" s="228"/>
      <c r="AE851" s="228"/>
      <c r="AG851" s="228"/>
    </row>
    <row r="852" spans="21:33" x14ac:dyDescent="0.2">
      <c r="U852" s="228"/>
      <c r="AC852" s="228"/>
      <c r="AE852" s="228"/>
      <c r="AG852" s="228"/>
    </row>
    <row r="853" spans="21:33" x14ac:dyDescent="0.2">
      <c r="U853" s="228"/>
      <c r="AC853" s="228"/>
      <c r="AE853" s="228"/>
      <c r="AG853" s="228"/>
    </row>
    <row r="854" spans="21:33" x14ac:dyDescent="0.2">
      <c r="U854" s="228"/>
      <c r="AC854" s="228"/>
      <c r="AE854" s="228"/>
      <c r="AG854" s="228"/>
    </row>
    <row r="855" spans="21:33" x14ac:dyDescent="0.2">
      <c r="U855" s="228"/>
      <c r="AC855" s="228"/>
      <c r="AE855" s="228"/>
      <c r="AG855" s="228"/>
    </row>
    <row r="856" spans="21:33" x14ac:dyDescent="0.2">
      <c r="U856" s="228"/>
      <c r="AC856" s="228"/>
      <c r="AE856" s="228"/>
      <c r="AG856" s="228"/>
    </row>
    <row r="857" spans="21:33" x14ac:dyDescent="0.2">
      <c r="U857" s="228"/>
      <c r="AC857" s="228"/>
      <c r="AE857" s="228"/>
      <c r="AG857" s="228"/>
    </row>
    <row r="858" spans="21:33" x14ac:dyDescent="0.2">
      <c r="U858" s="228"/>
      <c r="AC858" s="228"/>
      <c r="AE858" s="228"/>
      <c r="AG858" s="228"/>
    </row>
    <row r="859" spans="21:33" x14ac:dyDescent="0.2">
      <c r="U859" s="228"/>
      <c r="AC859" s="228"/>
      <c r="AE859" s="228"/>
      <c r="AG859" s="228"/>
    </row>
    <row r="860" spans="21:33" x14ac:dyDescent="0.2">
      <c r="U860" s="228"/>
      <c r="AC860" s="228"/>
      <c r="AE860" s="228"/>
      <c r="AG860" s="228"/>
    </row>
    <row r="861" spans="21:33" x14ac:dyDescent="0.2">
      <c r="U861" s="228"/>
      <c r="AC861" s="228"/>
      <c r="AE861" s="228"/>
      <c r="AG861" s="228"/>
    </row>
    <row r="862" spans="21:33" x14ac:dyDescent="0.2">
      <c r="U862" s="228"/>
      <c r="AC862" s="228"/>
      <c r="AE862" s="228"/>
      <c r="AG862" s="228"/>
    </row>
    <row r="863" spans="21:33" x14ac:dyDescent="0.2">
      <c r="U863" s="228"/>
      <c r="AC863" s="228"/>
      <c r="AE863" s="228"/>
      <c r="AG863" s="228"/>
    </row>
    <row r="864" spans="21:33" x14ac:dyDescent="0.2">
      <c r="U864" s="228"/>
      <c r="AC864" s="228"/>
      <c r="AE864" s="228"/>
      <c r="AG864" s="228"/>
    </row>
    <row r="865" spans="21:33" x14ac:dyDescent="0.2">
      <c r="U865" s="228"/>
      <c r="AC865" s="228"/>
      <c r="AE865" s="228"/>
      <c r="AG865" s="228"/>
    </row>
    <row r="866" spans="21:33" x14ac:dyDescent="0.2">
      <c r="U866" s="228"/>
      <c r="AC866" s="228"/>
      <c r="AE866" s="228"/>
      <c r="AG866" s="228"/>
    </row>
    <row r="867" spans="21:33" x14ac:dyDescent="0.2">
      <c r="U867" s="228"/>
      <c r="AC867" s="228"/>
      <c r="AE867" s="228"/>
      <c r="AG867" s="228"/>
    </row>
    <row r="868" spans="21:33" x14ac:dyDescent="0.2">
      <c r="U868" s="228"/>
      <c r="AC868" s="228"/>
      <c r="AE868" s="228"/>
      <c r="AG868" s="228"/>
    </row>
    <row r="869" spans="21:33" x14ac:dyDescent="0.2">
      <c r="U869" s="228"/>
      <c r="AC869" s="228"/>
      <c r="AE869" s="228"/>
      <c r="AG869" s="228"/>
    </row>
    <row r="870" spans="21:33" x14ac:dyDescent="0.2">
      <c r="U870" s="228"/>
      <c r="AC870" s="228"/>
      <c r="AE870" s="228"/>
      <c r="AG870" s="228"/>
    </row>
    <row r="871" spans="21:33" x14ac:dyDescent="0.2">
      <c r="U871" s="228"/>
      <c r="AC871" s="228"/>
      <c r="AE871" s="228"/>
      <c r="AG871" s="228"/>
    </row>
    <row r="872" spans="21:33" x14ac:dyDescent="0.2">
      <c r="U872" s="228"/>
      <c r="AC872" s="228"/>
      <c r="AE872" s="228"/>
      <c r="AG872" s="228"/>
    </row>
    <row r="873" spans="21:33" x14ac:dyDescent="0.2">
      <c r="U873" s="228"/>
      <c r="AC873" s="228"/>
      <c r="AE873" s="228"/>
      <c r="AG873" s="228"/>
    </row>
    <row r="874" spans="21:33" x14ac:dyDescent="0.2">
      <c r="U874" s="228"/>
      <c r="AC874" s="228"/>
      <c r="AE874" s="228"/>
      <c r="AG874" s="228"/>
    </row>
    <row r="875" spans="21:33" x14ac:dyDescent="0.2">
      <c r="U875" s="228"/>
      <c r="AC875" s="228"/>
      <c r="AE875" s="228"/>
      <c r="AG875" s="228"/>
    </row>
    <row r="876" spans="21:33" x14ac:dyDescent="0.2">
      <c r="U876" s="228"/>
      <c r="AC876" s="228"/>
      <c r="AE876" s="228"/>
      <c r="AG876" s="228"/>
    </row>
    <row r="877" spans="21:33" x14ac:dyDescent="0.2">
      <c r="U877" s="228"/>
      <c r="AC877" s="228"/>
      <c r="AE877" s="228"/>
      <c r="AG877" s="228"/>
    </row>
    <row r="878" spans="21:33" x14ac:dyDescent="0.2">
      <c r="U878" s="228"/>
      <c r="AC878" s="228"/>
      <c r="AE878" s="228"/>
      <c r="AG878" s="228"/>
    </row>
    <row r="879" spans="21:33" x14ac:dyDescent="0.2">
      <c r="U879" s="228"/>
      <c r="AC879" s="228"/>
      <c r="AE879" s="228"/>
      <c r="AG879" s="228"/>
    </row>
    <row r="880" spans="21:33" x14ac:dyDescent="0.2">
      <c r="U880" s="228"/>
      <c r="AC880" s="228"/>
      <c r="AE880" s="228"/>
      <c r="AG880" s="228"/>
    </row>
    <row r="881" spans="21:33" x14ac:dyDescent="0.2">
      <c r="U881" s="228"/>
      <c r="AC881" s="228"/>
      <c r="AE881" s="228"/>
      <c r="AG881" s="228"/>
    </row>
    <row r="882" spans="21:33" x14ac:dyDescent="0.2">
      <c r="U882" s="228"/>
      <c r="AC882" s="228"/>
      <c r="AE882" s="228"/>
      <c r="AG882" s="228"/>
    </row>
    <row r="883" spans="21:33" x14ac:dyDescent="0.2">
      <c r="U883" s="228"/>
      <c r="AC883" s="228"/>
      <c r="AE883" s="228"/>
      <c r="AG883" s="228"/>
    </row>
    <row r="884" spans="21:33" x14ac:dyDescent="0.2">
      <c r="U884" s="228"/>
      <c r="AC884" s="228"/>
      <c r="AE884" s="228"/>
      <c r="AG884" s="228"/>
    </row>
    <row r="885" spans="21:33" x14ac:dyDescent="0.2">
      <c r="U885" s="228"/>
      <c r="AC885" s="228"/>
      <c r="AE885" s="228"/>
      <c r="AG885" s="228"/>
    </row>
    <row r="886" spans="21:33" x14ac:dyDescent="0.2">
      <c r="U886" s="228"/>
      <c r="AC886" s="228"/>
      <c r="AE886" s="228"/>
      <c r="AG886" s="228"/>
    </row>
    <row r="887" spans="21:33" x14ac:dyDescent="0.2">
      <c r="U887" s="228"/>
      <c r="AC887" s="228"/>
      <c r="AE887" s="228"/>
      <c r="AG887" s="228"/>
    </row>
    <row r="888" spans="21:33" x14ac:dyDescent="0.2">
      <c r="U888" s="228"/>
      <c r="AC888" s="228"/>
      <c r="AE888" s="228"/>
      <c r="AG888" s="228"/>
    </row>
    <row r="889" spans="21:33" x14ac:dyDescent="0.2">
      <c r="U889" s="228"/>
      <c r="AC889" s="228"/>
      <c r="AE889" s="228"/>
      <c r="AG889" s="228"/>
    </row>
    <row r="890" spans="21:33" x14ac:dyDescent="0.2">
      <c r="U890" s="228"/>
      <c r="AC890" s="228"/>
      <c r="AE890" s="228"/>
      <c r="AG890" s="228"/>
    </row>
    <row r="891" spans="21:33" x14ac:dyDescent="0.2">
      <c r="U891" s="228"/>
      <c r="AC891" s="228"/>
      <c r="AE891" s="228"/>
      <c r="AG891" s="228"/>
    </row>
    <row r="892" spans="21:33" x14ac:dyDescent="0.2">
      <c r="U892" s="228"/>
      <c r="AC892" s="228"/>
      <c r="AE892" s="228"/>
      <c r="AG892" s="228"/>
    </row>
    <row r="893" spans="21:33" x14ac:dyDescent="0.2">
      <c r="U893" s="228"/>
      <c r="AC893" s="228"/>
      <c r="AE893" s="228"/>
      <c r="AG893" s="228"/>
    </row>
    <row r="894" spans="21:33" x14ac:dyDescent="0.2">
      <c r="U894" s="228"/>
      <c r="AC894" s="228"/>
      <c r="AE894" s="228"/>
      <c r="AG894" s="228"/>
    </row>
    <row r="895" spans="21:33" x14ac:dyDescent="0.2">
      <c r="U895" s="228"/>
      <c r="AC895" s="228"/>
      <c r="AE895" s="228"/>
      <c r="AG895" s="228"/>
    </row>
    <row r="896" spans="21:33" x14ac:dyDescent="0.2">
      <c r="U896" s="228"/>
      <c r="AC896" s="228"/>
      <c r="AE896" s="228"/>
      <c r="AG896" s="228"/>
    </row>
    <row r="897" spans="21:33" x14ac:dyDescent="0.2">
      <c r="U897" s="228"/>
      <c r="AC897" s="228"/>
      <c r="AE897" s="228"/>
      <c r="AG897" s="228"/>
    </row>
    <row r="898" spans="21:33" x14ac:dyDescent="0.2">
      <c r="U898" s="228"/>
      <c r="AC898" s="228"/>
      <c r="AE898" s="228"/>
      <c r="AG898" s="228"/>
    </row>
    <row r="899" spans="21:33" x14ac:dyDescent="0.2">
      <c r="U899" s="228"/>
      <c r="AC899" s="228"/>
      <c r="AE899" s="228"/>
      <c r="AG899" s="228"/>
    </row>
    <row r="900" spans="21:33" x14ac:dyDescent="0.2">
      <c r="U900" s="228"/>
      <c r="AC900" s="228"/>
      <c r="AE900" s="228"/>
      <c r="AG900" s="228"/>
    </row>
    <row r="901" spans="21:33" x14ac:dyDescent="0.2">
      <c r="U901" s="228"/>
      <c r="AC901" s="228"/>
      <c r="AE901" s="228"/>
      <c r="AG901" s="228"/>
    </row>
    <row r="902" spans="21:33" x14ac:dyDescent="0.2">
      <c r="U902" s="228"/>
      <c r="AC902" s="228"/>
      <c r="AE902" s="228"/>
      <c r="AG902" s="228"/>
    </row>
    <row r="903" spans="21:33" x14ac:dyDescent="0.2">
      <c r="U903" s="228"/>
      <c r="AC903" s="228"/>
      <c r="AE903" s="228"/>
      <c r="AG903" s="228"/>
    </row>
    <row r="904" spans="21:33" x14ac:dyDescent="0.2">
      <c r="U904" s="228"/>
      <c r="AC904" s="228"/>
      <c r="AE904" s="228"/>
      <c r="AG904" s="228"/>
    </row>
    <row r="905" spans="21:33" x14ac:dyDescent="0.2">
      <c r="U905" s="228"/>
      <c r="AC905" s="228"/>
      <c r="AE905" s="228"/>
      <c r="AG905" s="228"/>
    </row>
    <row r="906" spans="21:33" x14ac:dyDescent="0.2">
      <c r="U906" s="228"/>
      <c r="AC906" s="228"/>
      <c r="AE906" s="228"/>
      <c r="AG906" s="228"/>
    </row>
    <row r="907" spans="21:33" x14ac:dyDescent="0.2">
      <c r="U907" s="228"/>
      <c r="AC907" s="228"/>
      <c r="AE907" s="228"/>
      <c r="AG907" s="228"/>
    </row>
    <row r="908" spans="21:33" x14ac:dyDescent="0.2">
      <c r="U908" s="228"/>
      <c r="AC908" s="228"/>
      <c r="AE908" s="228"/>
      <c r="AG908" s="228"/>
    </row>
    <row r="909" spans="21:33" x14ac:dyDescent="0.2">
      <c r="U909" s="228"/>
      <c r="AC909" s="228"/>
      <c r="AE909" s="228"/>
      <c r="AG909" s="228"/>
    </row>
    <row r="910" spans="21:33" x14ac:dyDescent="0.2">
      <c r="U910" s="228"/>
      <c r="AC910" s="228"/>
      <c r="AE910" s="228"/>
      <c r="AG910" s="228"/>
    </row>
    <row r="911" spans="21:33" x14ac:dyDescent="0.2">
      <c r="U911" s="228"/>
      <c r="AC911" s="228"/>
      <c r="AE911" s="228"/>
      <c r="AG911" s="228"/>
    </row>
    <row r="912" spans="21:33" x14ac:dyDescent="0.2">
      <c r="U912" s="228"/>
      <c r="AC912" s="228"/>
      <c r="AE912" s="228"/>
      <c r="AG912" s="228"/>
    </row>
    <row r="913" spans="21:33" x14ac:dyDescent="0.2">
      <c r="U913" s="228"/>
      <c r="AC913" s="228"/>
      <c r="AE913" s="228"/>
      <c r="AG913" s="228"/>
    </row>
    <row r="914" spans="21:33" x14ac:dyDescent="0.2">
      <c r="U914" s="228"/>
      <c r="AC914" s="228"/>
      <c r="AE914" s="228"/>
      <c r="AG914" s="228"/>
    </row>
    <row r="915" spans="21:33" x14ac:dyDescent="0.2">
      <c r="U915" s="228"/>
      <c r="AC915" s="228"/>
      <c r="AE915" s="228"/>
      <c r="AG915" s="228"/>
    </row>
    <row r="916" spans="21:33" x14ac:dyDescent="0.2">
      <c r="U916" s="228"/>
      <c r="AC916" s="228"/>
      <c r="AE916" s="228"/>
      <c r="AG916" s="228"/>
    </row>
    <row r="917" spans="21:33" x14ac:dyDescent="0.2">
      <c r="U917" s="228"/>
      <c r="AC917" s="228"/>
      <c r="AE917" s="228"/>
      <c r="AG917" s="228"/>
    </row>
    <row r="918" spans="21:33" x14ac:dyDescent="0.2">
      <c r="U918" s="228"/>
      <c r="AC918" s="228"/>
      <c r="AE918" s="228"/>
      <c r="AG918" s="228"/>
    </row>
    <row r="919" spans="21:33" x14ac:dyDescent="0.2">
      <c r="U919" s="228"/>
      <c r="AC919" s="228"/>
      <c r="AE919" s="228"/>
      <c r="AG919" s="228"/>
    </row>
    <row r="920" spans="21:33" x14ac:dyDescent="0.2">
      <c r="U920" s="228"/>
      <c r="AC920" s="228"/>
      <c r="AE920" s="228"/>
      <c r="AG920" s="228"/>
    </row>
    <row r="921" spans="21:33" x14ac:dyDescent="0.2">
      <c r="U921" s="228"/>
      <c r="AC921" s="228"/>
      <c r="AE921" s="228"/>
      <c r="AG921" s="228"/>
    </row>
    <row r="922" spans="21:33" x14ac:dyDescent="0.2">
      <c r="U922" s="228"/>
      <c r="AC922" s="228"/>
      <c r="AE922" s="228"/>
      <c r="AG922" s="228"/>
    </row>
    <row r="923" spans="21:33" x14ac:dyDescent="0.2">
      <c r="U923" s="228"/>
      <c r="AC923" s="228"/>
      <c r="AE923" s="228"/>
      <c r="AG923" s="228"/>
    </row>
    <row r="924" spans="21:33" x14ac:dyDescent="0.2">
      <c r="U924" s="228"/>
      <c r="AC924" s="228"/>
      <c r="AE924" s="228"/>
      <c r="AG924" s="228"/>
    </row>
    <row r="925" spans="21:33" x14ac:dyDescent="0.2">
      <c r="U925" s="228"/>
      <c r="AC925" s="228"/>
      <c r="AE925" s="228"/>
      <c r="AG925" s="228"/>
    </row>
    <row r="926" spans="21:33" x14ac:dyDescent="0.2">
      <c r="U926" s="228"/>
      <c r="AC926" s="228"/>
      <c r="AE926" s="228"/>
      <c r="AG926" s="228"/>
    </row>
    <row r="927" spans="21:33" x14ac:dyDescent="0.2">
      <c r="U927" s="228"/>
      <c r="AC927" s="228"/>
      <c r="AE927" s="228"/>
      <c r="AG927" s="228"/>
    </row>
    <row r="928" spans="21:33" x14ac:dyDescent="0.2">
      <c r="U928" s="228"/>
      <c r="AC928" s="228"/>
      <c r="AE928" s="228"/>
      <c r="AG928" s="228"/>
    </row>
    <row r="929" spans="21:33" x14ac:dyDescent="0.2">
      <c r="U929" s="228"/>
      <c r="AC929" s="228"/>
      <c r="AE929" s="228"/>
      <c r="AG929" s="228"/>
    </row>
    <row r="930" spans="21:33" x14ac:dyDescent="0.2">
      <c r="U930" s="228"/>
      <c r="AC930" s="228"/>
      <c r="AE930" s="228"/>
      <c r="AG930" s="228"/>
    </row>
    <row r="931" spans="21:33" x14ac:dyDescent="0.2">
      <c r="U931" s="228"/>
      <c r="AC931" s="228"/>
      <c r="AE931" s="228"/>
      <c r="AG931" s="228"/>
    </row>
    <row r="932" spans="21:33" x14ac:dyDescent="0.2">
      <c r="U932" s="228"/>
      <c r="AC932" s="228"/>
      <c r="AE932" s="228"/>
      <c r="AG932" s="228"/>
    </row>
    <row r="933" spans="21:33" x14ac:dyDescent="0.2">
      <c r="U933" s="228"/>
      <c r="AC933" s="228"/>
      <c r="AE933" s="228"/>
      <c r="AG933" s="228"/>
    </row>
    <row r="934" spans="21:33" x14ac:dyDescent="0.2">
      <c r="U934" s="228"/>
      <c r="AC934" s="228"/>
      <c r="AE934" s="228"/>
      <c r="AG934" s="228"/>
    </row>
    <row r="935" spans="21:33" x14ac:dyDescent="0.2">
      <c r="U935" s="228"/>
      <c r="AC935" s="228"/>
      <c r="AE935" s="228"/>
      <c r="AG935" s="228"/>
    </row>
    <row r="936" spans="21:33" x14ac:dyDescent="0.2">
      <c r="U936" s="228"/>
      <c r="AC936" s="228"/>
      <c r="AE936" s="228"/>
      <c r="AG936" s="228"/>
    </row>
    <row r="937" spans="21:33" x14ac:dyDescent="0.2">
      <c r="U937" s="228"/>
      <c r="AC937" s="228"/>
      <c r="AE937" s="228"/>
      <c r="AG937" s="228"/>
    </row>
    <row r="938" spans="21:33" x14ac:dyDescent="0.2">
      <c r="U938" s="228"/>
      <c r="AC938" s="228"/>
      <c r="AE938" s="228"/>
      <c r="AG938" s="228"/>
    </row>
    <row r="939" spans="21:33" x14ac:dyDescent="0.2">
      <c r="U939" s="228"/>
      <c r="AC939" s="228"/>
      <c r="AE939" s="228"/>
      <c r="AG939" s="228"/>
    </row>
    <row r="940" spans="21:33" x14ac:dyDescent="0.2">
      <c r="U940" s="228"/>
      <c r="AC940" s="228"/>
      <c r="AE940" s="228"/>
      <c r="AG940" s="228"/>
    </row>
    <row r="941" spans="21:33" x14ac:dyDescent="0.2">
      <c r="U941" s="228"/>
      <c r="AC941" s="228"/>
      <c r="AE941" s="228"/>
      <c r="AG941" s="228"/>
    </row>
    <row r="942" spans="21:33" x14ac:dyDescent="0.2">
      <c r="U942" s="228"/>
      <c r="AC942" s="228"/>
      <c r="AE942" s="228"/>
      <c r="AG942" s="228"/>
    </row>
    <row r="943" spans="21:33" x14ac:dyDescent="0.2">
      <c r="U943" s="228"/>
      <c r="AC943" s="228"/>
      <c r="AE943" s="228"/>
      <c r="AG943" s="228"/>
    </row>
    <row r="944" spans="21:33" x14ac:dyDescent="0.2">
      <c r="U944" s="228"/>
      <c r="AC944" s="228"/>
      <c r="AE944" s="228"/>
      <c r="AG944" s="228"/>
    </row>
    <row r="945" spans="21:33" x14ac:dyDescent="0.2">
      <c r="U945" s="228"/>
      <c r="AC945" s="228"/>
      <c r="AE945" s="228"/>
      <c r="AG945" s="228"/>
    </row>
    <row r="946" spans="21:33" x14ac:dyDescent="0.2">
      <c r="U946" s="228"/>
      <c r="AC946" s="228"/>
      <c r="AE946" s="228"/>
      <c r="AG946" s="228"/>
    </row>
    <row r="947" spans="21:33" x14ac:dyDescent="0.2">
      <c r="U947" s="228"/>
      <c r="AC947" s="228"/>
      <c r="AE947" s="228"/>
      <c r="AG947" s="228"/>
    </row>
    <row r="948" spans="21:33" x14ac:dyDescent="0.2">
      <c r="U948" s="228"/>
      <c r="AC948" s="228"/>
      <c r="AE948" s="228"/>
      <c r="AG948" s="228"/>
    </row>
    <row r="949" spans="21:33" x14ac:dyDescent="0.2">
      <c r="U949" s="228"/>
      <c r="AC949" s="228"/>
      <c r="AE949" s="228"/>
      <c r="AG949" s="228"/>
    </row>
    <row r="950" spans="21:33" x14ac:dyDescent="0.2">
      <c r="U950" s="228"/>
      <c r="AC950" s="228"/>
      <c r="AE950" s="228"/>
      <c r="AG950" s="228"/>
    </row>
    <row r="951" spans="21:33" x14ac:dyDescent="0.2">
      <c r="U951" s="228"/>
      <c r="AC951" s="228"/>
      <c r="AE951" s="228"/>
      <c r="AG951" s="228"/>
    </row>
    <row r="952" spans="21:33" x14ac:dyDescent="0.2">
      <c r="U952" s="228"/>
      <c r="AC952" s="228"/>
      <c r="AE952" s="228"/>
      <c r="AG952" s="228"/>
    </row>
    <row r="953" spans="21:33" x14ac:dyDescent="0.2">
      <c r="U953" s="228"/>
      <c r="AC953" s="228"/>
      <c r="AE953" s="228"/>
      <c r="AG953" s="228"/>
    </row>
    <row r="954" spans="21:33" x14ac:dyDescent="0.2">
      <c r="U954" s="228"/>
      <c r="AC954" s="228"/>
      <c r="AE954" s="228"/>
      <c r="AG954" s="228"/>
    </row>
    <row r="955" spans="21:33" x14ac:dyDescent="0.2">
      <c r="U955" s="228"/>
      <c r="AC955" s="228"/>
      <c r="AE955" s="228"/>
      <c r="AG955" s="228"/>
    </row>
    <row r="956" spans="21:33" x14ac:dyDescent="0.2">
      <c r="U956" s="228"/>
      <c r="AC956" s="228"/>
      <c r="AE956" s="228"/>
      <c r="AG956" s="228"/>
    </row>
    <row r="957" spans="21:33" x14ac:dyDescent="0.2">
      <c r="U957" s="228"/>
      <c r="AC957" s="228"/>
      <c r="AE957" s="228"/>
      <c r="AG957" s="228"/>
    </row>
    <row r="958" spans="21:33" x14ac:dyDescent="0.2">
      <c r="U958" s="228"/>
      <c r="AC958" s="228"/>
      <c r="AE958" s="228"/>
      <c r="AG958" s="228"/>
    </row>
    <row r="959" spans="21:33" x14ac:dyDescent="0.2">
      <c r="U959" s="228"/>
      <c r="AC959" s="228"/>
      <c r="AE959" s="228"/>
      <c r="AG959" s="228"/>
    </row>
    <row r="960" spans="21:33" x14ac:dyDescent="0.2">
      <c r="U960" s="228"/>
      <c r="AC960" s="228"/>
      <c r="AE960" s="228"/>
      <c r="AG960" s="228"/>
    </row>
    <row r="961" spans="21:33" x14ac:dyDescent="0.2">
      <c r="U961" s="228"/>
      <c r="AC961" s="228"/>
      <c r="AE961" s="228"/>
      <c r="AG961" s="228"/>
    </row>
    <row r="962" spans="21:33" x14ac:dyDescent="0.2">
      <c r="U962" s="228"/>
      <c r="AC962" s="228"/>
      <c r="AE962" s="228"/>
      <c r="AG962" s="228"/>
    </row>
    <row r="963" spans="21:33" x14ac:dyDescent="0.2">
      <c r="U963" s="228"/>
      <c r="AC963" s="228"/>
      <c r="AE963" s="228"/>
      <c r="AG963" s="228"/>
    </row>
    <row r="964" spans="21:33" x14ac:dyDescent="0.2">
      <c r="U964" s="228"/>
      <c r="AC964" s="228"/>
      <c r="AE964" s="228"/>
      <c r="AG964" s="228"/>
    </row>
    <row r="965" spans="21:33" x14ac:dyDescent="0.2">
      <c r="U965" s="228"/>
      <c r="AC965" s="228"/>
      <c r="AE965" s="228"/>
      <c r="AG965" s="228"/>
    </row>
    <row r="966" spans="21:33" x14ac:dyDescent="0.2">
      <c r="U966" s="228"/>
      <c r="AC966" s="228"/>
      <c r="AE966" s="228"/>
      <c r="AG966" s="228"/>
    </row>
    <row r="967" spans="21:33" x14ac:dyDescent="0.2">
      <c r="U967" s="228"/>
      <c r="AC967" s="228"/>
      <c r="AE967" s="228"/>
      <c r="AG967" s="228"/>
    </row>
    <row r="968" spans="21:33" x14ac:dyDescent="0.2">
      <c r="U968" s="228"/>
      <c r="AC968" s="228"/>
      <c r="AE968" s="228"/>
      <c r="AG968" s="228"/>
    </row>
    <row r="969" spans="21:33" x14ac:dyDescent="0.2">
      <c r="U969" s="228"/>
      <c r="AC969" s="228"/>
      <c r="AE969" s="228"/>
      <c r="AG969" s="228"/>
    </row>
    <row r="970" spans="21:33" x14ac:dyDescent="0.2">
      <c r="U970" s="228"/>
      <c r="AC970" s="228"/>
      <c r="AE970" s="228"/>
      <c r="AG970" s="228"/>
    </row>
    <row r="971" spans="21:33" x14ac:dyDescent="0.2">
      <c r="U971" s="228"/>
      <c r="AC971" s="228"/>
      <c r="AE971" s="228"/>
      <c r="AG971" s="228"/>
    </row>
    <row r="972" spans="21:33" x14ac:dyDescent="0.2">
      <c r="U972" s="228"/>
      <c r="AC972" s="228"/>
      <c r="AE972" s="228"/>
      <c r="AG972" s="228"/>
    </row>
    <row r="973" spans="21:33" x14ac:dyDescent="0.2">
      <c r="U973" s="228"/>
      <c r="AC973" s="228"/>
      <c r="AE973" s="228"/>
      <c r="AG973" s="228"/>
    </row>
    <row r="974" spans="21:33" x14ac:dyDescent="0.2">
      <c r="U974" s="228"/>
      <c r="AC974" s="228"/>
      <c r="AE974" s="228"/>
      <c r="AG974" s="228"/>
    </row>
    <row r="975" spans="21:33" x14ac:dyDescent="0.2">
      <c r="U975" s="228"/>
      <c r="AC975" s="228"/>
      <c r="AE975" s="228"/>
      <c r="AG975" s="228"/>
    </row>
    <row r="976" spans="21:33" x14ac:dyDescent="0.2">
      <c r="U976" s="228"/>
      <c r="AC976" s="228"/>
      <c r="AE976" s="228"/>
      <c r="AG976" s="228"/>
    </row>
    <row r="977" spans="21:33" x14ac:dyDescent="0.2">
      <c r="U977" s="228"/>
      <c r="AC977" s="228"/>
      <c r="AE977" s="228"/>
      <c r="AG977" s="228"/>
    </row>
    <row r="978" spans="21:33" x14ac:dyDescent="0.2">
      <c r="U978" s="228"/>
      <c r="AC978" s="228"/>
      <c r="AE978" s="228"/>
      <c r="AG978" s="228"/>
    </row>
    <row r="979" spans="21:33" x14ac:dyDescent="0.2">
      <c r="U979" s="228"/>
      <c r="AC979" s="228"/>
      <c r="AE979" s="228"/>
      <c r="AG979" s="228"/>
    </row>
    <row r="980" spans="21:33" x14ac:dyDescent="0.2">
      <c r="U980" s="228"/>
      <c r="AC980" s="228"/>
      <c r="AE980" s="228"/>
      <c r="AG980" s="228"/>
    </row>
    <row r="981" spans="21:33" x14ac:dyDescent="0.2">
      <c r="U981" s="228"/>
      <c r="AC981" s="228"/>
      <c r="AE981" s="228"/>
      <c r="AG981" s="228"/>
    </row>
    <row r="982" spans="21:33" x14ac:dyDescent="0.2">
      <c r="U982" s="228"/>
      <c r="AC982" s="228"/>
      <c r="AE982" s="228"/>
      <c r="AG982" s="228"/>
    </row>
    <row r="983" spans="21:33" x14ac:dyDescent="0.2">
      <c r="U983" s="228"/>
      <c r="AC983" s="228"/>
      <c r="AE983" s="228"/>
      <c r="AG983" s="228"/>
    </row>
    <row r="984" spans="21:33" x14ac:dyDescent="0.2">
      <c r="U984" s="228"/>
      <c r="AC984" s="228"/>
      <c r="AE984" s="228"/>
      <c r="AG984" s="228"/>
    </row>
    <row r="985" spans="21:33" x14ac:dyDescent="0.2">
      <c r="U985" s="228"/>
      <c r="AC985" s="228"/>
      <c r="AE985" s="228"/>
      <c r="AG985" s="228"/>
    </row>
    <row r="986" spans="21:33" x14ac:dyDescent="0.2">
      <c r="U986" s="228"/>
      <c r="AC986" s="228"/>
      <c r="AE986" s="228"/>
      <c r="AG986" s="228"/>
    </row>
    <row r="987" spans="21:33" x14ac:dyDescent="0.2">
      <c r="U987" s="228"/>
      <c r="AC987" s="228"/>
      <c r="AE987" s="228"/>
      <c r="AG987" s="228"/>
    </row>
    <row r="988" spans="21:33" x14ac:dyDescent="0.2">
      <c r="U988" s="228"/>
      <c r="AC988" s="228"/>
      <c r="AE988" s="228"/>
      <c r="AG988" s="228"/>
    </row>
    <row r="989" spans="21:33" x14ac:dyDescent="0.2">
      <c r="U989" s="228"/>
      <c r="AC989" s="228"/>
      <c r="AE989" s="228"/>
      <c r="AG989" s="228"/>
    </row>
    <row r="990" spans="21:33" x14ac:dyDescent="0.2">
      <c r="U990" s="228"/>
      <c r="AC990" s="228"/>
      <c r="AE990" s="228"/>
      <c r="AG990" s="228"/>
    </row>
    <row r="991" spans="21:33" x14ac:dyDescent="0.2">
      <c r="U991" s="228"/>
      <c r="AC991" s="228"/>
      <c r="AE991" s="228"/>
      <c r="AG991" s="228"/>
    </row>
    <row r="992" spans="21:33" x14ac:dyDescent="0.2">
      <c r="U992" s="228"/>
      <c r="AC992" s="228"/>
      <c r="AE992" s="228"/>
      <c r="AG992" s="228"/>
    </row>
    <row r="993" spans="21:33" x14ac:dyDescent="0.2">
      <c r="U993" s="228"/>
      <c r="AC993" s="228"/>
      <c r="AE993" s="228"/>
      <c r="AG993" s="228"/>
    </row>
    <row r="994" spans="21:33" x14ac:dyDescent="0.2">
      <c r="U994" s="228"/>
      <c r="AC994" s="228"/>
      <c r="AE994" s="228"/>
      <c r="AG994" s="228"/>
    </row>
    <row r="995" spans="21:33" x14ac:dyDescent="0.2">
      <c r="U995" s="228"/>
      <c r="AC995" s="228"/>
      <c r="AE995" s="228"/>
      <c r="AG995" s="228"/>
    </row>
    <row r="996" spans="21:33" x14ac:dyDescent="0.2">
      <c r="U996" s="228"/>
      <c r="AC996" s="228"/>
      <c r="AE996" s="228"/>
      <c r="AG996" s="228"/>
    </row>
    <row r="997" spans="21:33" x14ac:dyDescent="0.2">
      <c r="U997" s="228"/>
      <c r="AC997" s="228"/>
      <c r="AE997" s="228"/>
      <c r="AG997" s="228"/>
    </row>
    <row r="998" spans="21:33" x14ac:dyDescent="0.2">
      <c r="U998" s="228"/>
      <c r="AC998" s="228"/>
      <c r="AE998" s="228"/>
      <c r="AG998" s="228"/>
    </row>
    <row r="999" spans="21:33" x14ac:dyDescent="0.2">
      <c r="U999" s="228"/>
      <c r="AC999" s="228"/>
      <c r="AE999" s="228"/>
      <c r="AG999" s="228"/>
    </row>
    <row r="1000" spans="21:33" x14ac:dyDescent="0.2">
      <c r="U1000" s="228"/>
      <c r="AC1000" s="228"/>
      <c r="AE1000" s="228"/>
      <c r="AG1000" s="228"/>
    </row>
  </sheetData>
  <autoFilter ref="A1:AK1000"/>
  <mergeCells count="1">
    <mergeCell ref="K2:L2"/>
  </mergeCells>
  <conditionalFormatting sqref="K2 O2">
    <cfRule type="cellIs" dxfId="240" priority="4" operator="equal">
      <formula>"COPY FORMULAS DOWN !!!"</formula>
    </cfRule>
  </conditionalFormatting>
  <conditionalFormatting sqref="K2:L2 O2">
    <cfRule type="cellIs" dxfId="239" priority="3" operator="equal">
      <formula>"OK"</formula>
    </cfRule>
  </conditionalFormatting>
  <conditionalFormatting sqref="M2">
    <cfRule type="cellIs" dxfId="238" priority="2" operator="equal">
      <formula>"OK"</formula>
    </cfRule>
  </conditionalFormatting>
  <conditionalFormatting sqref="N2">
    <cfRule type="cellIs" dxfId="237" priority="1" operator="equal">
      <formula>"OK"</formula>
    </cfRule>
  </conditionalFormatting>
  <pageMargins left="0.7" right="0.7" top="0.75" bottom="0.75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2:I34"/>
  <sheetViews>
    <sheetView showGridLines="0" workbookViewId="0">
      <selection activeCell="L18" sqref="L18"/>
    </sheetView>
  </sheetViews>
  <sheetFormatPr defaultRowHeight="11.25" x14ac:dyDescent="0.2"/>
  <cols>
    <col min="1" max="1" width="14.33203125" style="1" customWidth="1"/>
    <col min="2" max="2" width="22" customWidth="1"/>
    <col min="3" max="3" width="25.5" customWidth="1"/>
    <col min="4" max="4" width="18.5" customWidth="1"/>
    <col min="5" max="5" width="15.33203125" customWidth="1"/>
    <col min="6" max="6" width="17.6640625" customWidth="1"/>
    <col min="8" max="8" width="13.6640625" customWidth="1"/>
    <col min="9" max="9" width="11.83203125" bestFit="1" customWidth="1"/>
  </cols>
  <sheetData>
    <row r="2" spans="1:9" ht="12.75" x14ac:dyDescent="0.2">
      <c r="B2" s="78" t="s">
        <v>416</v>
      </c>
    </row>
    <row r="4" spans="1:9" ht="15" x14ac:dyDescent="0.2">
      <c r="B4" s="76" t="s">
        <v>414</v>
      </c>
      <c r="C4" s="77">
        <v>0.1</v>
      </c>
      <c r="D4" s="3"/>
    </row>
    <row r="5" spans="1:9" ht="15" x14ac:dyDescent="0.2">
      <c r="B5" s="76" t="s">
        <v>415</v>
      </c>
      <c r="C5" s="77">
        <v>0.2</v>
      </c>
      <c r="D5" s="75"/>
    </row>
    <row r="6" spans="1:9" ht="15" x14ac:dyDescent="0.2">
      <c r="B6" s="76"/>
      <c r="C6" s="77"/>
      <c r="D6" s="75"/>
    </row>
    <row r="7" spans="1:9" ht="15" x14ac:dyDescent="0.2">
      <c r="B7" s="76"/>
      <c r="C7" s="77"/>
      <c r="D7" s="75"/>
    </row>
    <row r="8" spans="1:9" ht="15" x14ac:dyDescent="0.25">
      <c r="B8" s="348" t="s">
        <v>419</v>
      </c>
      <c r="C8" s="349" t="s">
        <v>418</v>
      </c>
      <c r="D8" s="350" t="s">
        <v>420</v>
      </c>
      <c r="E8" s="351" t="s">
        <v>417</v>
      </c>
      <c r="F8" s="351" t="s">
        <v>1042</v>
      </c>
      <c r="H8" t="s">
        <v>1195</v>
      </c>
    </row>
    <row r="9" spans="1:9" ht="12.75" x14ac:dyDescent="0.2">
      <c r="A9" s="87"/>
      <c r="B9" s="342" t="s">
        <v>365</v>
      </c>
      <c r="C9" s="356">
        <f t="array" ref="C9">SUM(('Adjusted Ageing by Customer'!$S$8:$AB$8='AR Provision'!$B9)*('Adjusted Ageing by Customer'!$S$9:$AB$1000))-C10</f>
        <v>86222138.090000004</v>
      </c>
      <c r="D9" s="148"/>
      <c r="E9" s="346">
        <f>-D9*C9</f>
        <v>0</v>
      </c>
      <c r="F9" s="346">
        <f>C9+E9</f>
        <v>86222138.090000004</v>
      </c>
      <c r="H9" s="216">
        <v>0</v>
      </c>
      <c r="I9" s="9">
        <f>E9-H9</f>
        <v>0</v>
      </c>
    </row>
    <row r="10" spans="1:9" ht="12.75" x14ac:dyDescent="0.2">
      <c r="A10" s="339" t="s">
        <v>24</v>
      </c>
      <c r="B10" s="342" t="s">
        <v>365</v>
      </c>
      <c r="C10" s="346">
        <f t="array" ref="C10">SUM(('Check 1S 62 vs UT'!A9:A1000='AR Provision'!$A10)*('Check 1S 62 vs UT'!I9:I1000))</f>
        <v>0</v>
      </c>
      <c r="D10" s="148"/>
      <c r="E10" s="346">
        <f t="shared" ref="E10:E14" si="0">-D10*C10</f>
        <v>0</v>
      </c>
      <c r="F10" s="346">
        <f t="shared" ref="F10:F14" si="1">C10+E10</f>
        <v>0</v>
      </c>
      <c r="H10" s="216"/>
      <c r="I10" s="9">
        <f t="shared" ref="I10:I14" si="2">E10-H10</f>
        <v>0</v>
      </c>
    </row>
    <row r="11" spans="1:9" ht="15" x14ac:dyDescent="0.2">
      <c r="A11" s="87"/>
      <c r="B11" s="342" t="s">
        <v>361</v>
      </c>
      <c r="C11" s="346">
        <f t="array" ref="C11">SUM(('Adjusted Ageing by Customer'!$S$8:$AB$8='AR Provision'!$B11)*('Adjusted Ageing by Customer'!$S$9:$AB$1000))</f>
        <v>4241372.2300000004</v>
      </c>
      <c r="D11" s="158">
        <v>0.1</v>
      </c>
      <c r="E11" s="346">
        <f t="shared" si="0"/>
        <v>-424137.22300000006</v>
      </c>
      <c r="F11" s="346">
        <f t="shared" si="1"/>
        <v>3817235.0070000002</v>
      </c>
      <c r="H11" s="216">
        <v>535.80000000000007</v>
      </c>
      <c r="I11" s="9">
        <f t="shared" si="2"/>
        <v>-424673.02300000004</v>
      </c>
    </row>
    <row r="12" spans="1:9" ht="15" x14ac:dyDescent="0.2">
      <c r="A12" s="87"/>
      <c r="B12" s="342" t="s">
        <v>362</v>
      </c>
      <c r="C12" s="346">
        <f t="array" ref="C12">SUM(('Adjusted Ageing by Customer'!$S$8:$AB$8='AR Provision'!$B12)*('Adjusted Ageing by Customer'!$S$9:$AB$1000))</f>
        <v>5358</v>
      </c>
      <c r="D12" s="158">
        <v>0.2</v>
      </c>
      <c r="E12" s="346">
        <f t="shared" si="0"/>
        <v>-1071.6000000000001</v>
      </c>
      <c r="F12" s="346">
        <f t="shared" si="1"/>
        <v>4286.3999999999996</v>
      </c>
      <c r="H12" s="216">
        <v>0</v>
      </c>
      <c r="I12" s="9">
        <f t="shared" si="2"/>
        <v>-1071.6000000000001</v>
      </c>
    </row>
    <row r="13" spans="1:9" ht="15" x14ac:dyDescent="0.2">
      <c r="B13" s="342" t="s">
        <v>386</v>
      </c>
      <c r="C13" s="346">
        <f t="array" ref="C13">SUM(('Adjusted Ageing by Customer'!$S$8:$AB$8='AR Provision'!$B13)*('Adjusted Ageing by Customer'!$S$9:$AB$1000))</f>
        <v>0</v>
      </c>
      <c r="D13" s="158">
        <v>0.5</v>
      </c>
      <c r="E13" s="346">
        <f t="shared" si="0"/>
        <v>0</v>
      </c>
      <c r="F13" s="346">
        <f t="shared" si="1"/>
        <v>0</v>
      </c>
      <c r="H13" s="216">
        <v>-112061.25</v>
      </c>
      <c r="I13" s="9">
        <f t="shared" si="2"/>
        <v>112061.25</v>
      </c>
    </row>
    <row r="14" spans="1:9" ht="15" x14ac:dyDescent="0.2">
      <c r="B14" s="342" t="s">
        <v>364</v>
      </c>
      <c r="C14" s="346">
        <f t="array" ref="C14">SUM(('Adjusted Ageing by Customer'!$S$8:$AB$8='AR Provision'!$B14)*('Adjusted Ageing by Customer'!$S$9:$AB$1000))</f>
        <v>85942.5</v>
      </c>
      <c r="D14" s="158">
        <v>1</v>
      </c>
      <c r="E14" s="346">
        <f t="shared" si="0"/>
        <v>-85942.5</v>
      </c>
      <c r="F14" s="346">
        <f t="shared" si="1"/>
        <v>0</v>
      </c>
      <c r="H14" s="216">
        <v>-5215718.33</v>
      </c>
      <c r="I14" s="9">
        <f t="shared" si="2"/>
        <v>5129775.83</v>
      </c>
    </row>
    <row r="15" spans="1:9" s="32" customFormat="1" ht="15" x14ac:dyDescent="0.2">
      <c r="A15" s="340"/>
      <c r="B15" s="159"/>
      <c r="C15" s="347">
        <f>SUM(C9:C14)</f>
        <v>90554810.820000008</v>
      </c>
      <c r="D15" s="347"/>
      <c r="E15" s="347">
        <f>SUM(E9:E14)</f>
        <v>-511151.32300000003</v>
      </c>
      <c r="F15" s="347">
        <f>SUM(F9:F14)</f>
        <v>90043659.497000009</v>
      </c>
      <c r="H15" s="32">
        <v>-5327243.78</v>
      </c>
    </row>
    <row r="16" spans="1:9" ht="15" x14ac:dyDescent="0.2">
      <c r="C16" s="157"/>
    </row>
    <row r="17" spans="1:9" x14ac:dyDescent="0.2">
      <c r="C17" s="9"/>
    </row>
    <row r="19" spans="1:9" ht="12" x14ac:dyDescent="0.2">
      <c r="B19" s="271">
        <v>55486990.579999968</v>
      </c>
      <c r="C19" s="272" t="s">
        <v>1197</v>
      </c>
      <c r="E19" s="345">
        <v>0</v>
      </c>
      <c r="F19" t="s">
        <v>1355</v>
      </c>
    </row>
    <row r="20" spans="1:9" ht="15" x14ac:dyDescent="0.25">
      <c r="B20" s="269">
        <f>C15-B19</f>
        <v>35067820.240000039</v>
      </c>
      <c r="C20" s="267" t="s">
        <v>1196</v>
      </c>
      <c r="E20" s="281">
        <v>0</v>
      </c>
      <c r="F20" t="s">
        <v>1356</v>
      </c>
    </row>
    <row r="21" spans="1:9" x14ac:dyDescent="0.2">
      <c r="E21" s="281">
        <v>0</v>
      </c>
      <c r="F21" t="s">
        <v>1357</v>
      </c>
    </row>
    <row r="23" spans="1:9" ht="15" x14ac:dyDescent="0.25">
      <c r="A23" s="343" t="s">
        <v>1354</v>
      </c>
      <c r="B23" s="348" t="s">
        <v>419</v>
      </c>
      <c r="C23" s="349" t="s">
        <v>418</v>
      </c>
      <c r="D23" s="351"/>
      <c r="E23" s="351"/>
      <c r="F23" s="351"/>
    </row>
    <row r="24" spans="1:9" ht="12.75" x14ac:dyDescent="0.2">
      <c r="B24" s="341" t="s">
        <v>365</v>
      </c>
      <c r="C24" s="353">
        <f t="array" ref="C24">SUM(('DATA 2'!$S$8:$AH$8='AR Provision'!$B24)*('DATA 2'!$S$9:$AH$1000))</f>
        <v>84376754.470000014</v>
      </c>
      <c r="D24" s="227"/>
      <c r="E24" s="264"/>
      <c r="I24" s="344">
        <f>SUM(C24:C28)-C9</f>
        <v>0</v>
      </c>
    </row>
    <row r="25" spans="1:9" ht="12.75" x14ac:dyDescent="0.2">
      <c r="B25" s="342" t="s">
        <v>351</v>
      </c>
      <c r="C25" s="354">
        <f t="array" ref="C25">SUM(('DATA 2'!$S$8:$AH$8='AR Provision'!$B25)*('DATA 2'!$S$9:$AH$1000))</f>
        <v>6879.23</v>
      </c>
      <c r="D25" s="227"/>
    </row>
    <row r="26" spans="1:9" ht="12.75" x14ac:dyDescent="0.2">
      <c r="B26" s="342" t="s">
        <v>352</v>
      </c>
      <c r="C26" s="354">
        <f t="array" ref="C26">SUM(('DATA 2'!$S$8:$AH$8='AR Provision'!$B26)*('DATA 2'!$S$9:$AH$1000))</f>
        <v>567010</v>
      </c>
      <c r="D26" s="227"/>
    </row>
    <row r="27" spans="1:9" ht="12.75" x14ac:dyDescent="0.2">
      <c r="B27" s="342" t="s">
        <v>353</v>
      </c>
      <c r="C27" s="354">
        <f t="array" ref="C27">SUM(('DATA 2'!$S$8:$AH$8='AR Provision'!$B27)*('DATA 2'!$S$9:$AH$1000))</f>
        <v>1091088.43</v>
      </c>
      <c r="D27" s="227"/>
    </row>
    <row r="28" spans="1:9" ht="12.75" x14ac:dyDescent="0.2">
      <c r="B28" s="341" t="s">
        <v>354</v>
      </c>
      <c r="C28" s="355">
        <f t="array" ref="C28">SUM(('DATA 2'!$S$8:$AH$8='AR Provision'!$B28)*('DATA 2'!$S$9:$AH$1000))</f>
        <v>180405.96000000002</v>
      </c>
      <c r="D28" s="227"/>
    </row>
    <row r="29" spans="1:9" ht="12.75" x14ac:dyDescent="0.2">
      <c r="B29" s="341" t="s">
        <v>355</v>
      </c>
      <c r="C29" s="346">
        <f t="array" ref="C29">SUM(('DATA 2'!$S$8:$AH$8='AR Provision'!$B29)*('DATA 2'!$S$9:$AH$1000))</f>
        <v>4241372.2300000004</v>
      </c>
      <c r="D29" s="227"/>
    </row>
    <row r="30" spans="1:9" ht="12.75" x14ac:dyDescent="0.2">
      <c r="B30" s="341" t="s">
        <v>356</v>
      </c>
      <c r="C30" s="346">
        <f t="array" ref="C30">SUM(('DATA 2'!$S$8:$AH$8='AR Provision'!$B30)*('DATA 2'!$S$9:$AH$1000))</f>
        <v>91300.5</v>
      </c>
      <c r="D30" s="227"/>
    </row>
    <row r="31" spans="1:9" ht="15" x14ac:dyDescent="0.2">
      <c r="B31" s="159"/>
      <c r="C31" s="347">
        <f>SUM(C24:C30)</f>
        <v>90554810.820000023</v>
      </c>
      <c r="D31" s="347">
        <f>SUM(D24:D30)</f>
        <v>0</v>
      </c>
      <c r="E31" s="347"/>
      <c r="F31" s="347"/>
      <c r="G31" s="265"/>
      <c r="H31" s="266"/>
    </row>
    <row r="32" spans="1:9" x14ac:dyDescent="0.2">
      <c r="D32" s="255"/>
    </row>
    <row r="34" spans="2:4" ht="15" x14ac:dyDescent="0.25">
      <c r="B34" s="267" t="s">
        <v>1196</v>
      </c>
      <c r="C34" s="268">
        <f>C31-B19</f>
        <v>35067820.240000054</v>
      </c>
      <c r="D34" s="25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"/>
  <sheetViews>
    <sheetView showGridLines="0" workbookViewId="0">
      <selection activeCell="A13" sqref="A13"/>
    </sheetView>
  </sheetViews>
  <sheetFormatPr defaultRowHeight="11.25" outlineLevelRow="1" x14ac:dyDescent="0.2"/>
  <cols>
    <col min="1" max="2" width="22" customWidth="1"/>
    <col min="3" max="3" width="11.33203125" customWidth="1"/>
    <col min="4" max="4" width="16.5" customWidth="1"/>
    <col min="5" max="5" width="9.83203125" customWidth="1"/>
    <col min="6" max="6" width="10.83203125" customWidth="1"/>
    <col min="7" max="7" width="11" customWidth="1"/>
    <col min="8" max="8" width="7.6640625" bestFit="1" customWidth="1"/>
    <col min="9" max="9" width="14" bestFit="1" customWidth="1"/>
    <col min="10" max="10" width="12" bestFit="1" customWidth="1"/>
    <col min="11" max="11" width="12" customWidth="1"/>
    <col min="12" max="12" width="12" bestFit="1" customWidth="1"/>
  </cols>
  <sheetData>
    <row r="1" spans="1:12" x14ac:dyDescent="0.2">
      <c r="A1" s="7" t="s">
        <v>7</v>
      </c>
      <c r="B1" t="s">
        <v>1022</v>
      </c>
      <c r="D1" t="s">
        <v>1188</v>
      </c>
    </row>
    <row r="2" spans="1:12" x14ac:dyDescent="0.2">
      <c r="A2" s="7" t="s">
        <v>335</v>
      </c>
      <c r="B2" t="s">
        <v>1022</v>
      </c>
    </row>
    <row r="4" spans="1:12" x14ac:dyDescent="0.2">
      <c r="A4" s="7" t="s">
        <v>397</v>
      </c>
      <c r="B4" s="7" t="s">
        <v>1037</v>
      </c>
    </row>
    <row r="5" spans="1:12" s="17" customFormat="1" x14ac:dyDescent="0.2">
      <c r="A5" s="30" t="s">
        <v>1038</v>
      </c>
      <c r="B5" s="17" t="s">
        <v>22</v>
      </c>
      <c r="C5" s="17" t="s">
        <v>16</v>
      </c>
      <c r="D5" s="17" t="s">
        <v>21</v>
      </c>
      <c r="E5" s="17" t="s">
        <v>31</v>
      </c>
      <c r="F5" s="17" t="s">
        <v>23</v>
      </c>
      <c r="G5" s="17" t="s">
        <v>396</v>
      </c>
      <c r="H5" s="17" t="s">
        <v>1040</v>
      </c>
      <c r="I5" s="17" t="s">
        <v>1358</v>
      </c>
      <c r="J5" s="17" t="s">
        <v>1039</v>
      </c>
      <c r="K5"/>
      <c r="L5"/>
    </row>
    <row r="6" spans="1:12" x14ac:dyDescent="0.2">
      <c r="A6" s="1" t="s">
        <v>20</v>
      </c>
      <c r="B6" s="9">
        <v>47328567.279999994</v>
      </c>
      <c r="C6" s="9"/>
      <c r="D6" s="9"/>
      <c r="E6" s="9"/>
      <c r="F6" s="9"/>
      <c r="G6" s="9"/>
      <c r="H6" s="9"/>
      <c r="I6" s="9"/>
      <c r="J6" s="9">
        <v>47328567.279999994</v>
      </c>
    </row>
    <row r="7" spans="1:12" x14ac:dyDescent="0.2">
      <c r="A7" s="1" t="s">
        <v>102</v>
      </c>
      <c r="B7" s="9"/>
      <c r="C7" s="9">
        <v>1426988.4600000002</v>
      </c>
      <c r="D7" s="9"/>
      <c r="E7" s="9"/>
      <c r="F7" s="9"/>
      <c r="G7" s="9"/>
      <c r="H7" s="9"/>
      <c r="I7" s="9"/>
      <c r="J7" s="9">
        <v>1426988.4600000002</v>
      </c>
    </row>
    <row r="8" spans="1:12" x14ac:dyDescent="0.2">
      <c r="A8" s="1" t="s">
        <v>18</v>
      </c>
      <c r="B8" s="9"/>
      <c r="C8" s="9"/>
      <c r="D8" s="9">
        <v>2197923</v>
      </c>
      <c r="E8" s="9"/>
      <c r="F8" s="9"/>
      <c r="G8" s="9"/>
      <c r="H8" s="9"/>
      <c r="I8" s="9"/>
      <c r="J8" s="9">
        <v>2197923</v>
      </c>
    </row>
    <row r="9" spans="1:12" x14ac:dyDescent="0.2">
      <c r="A9" s="1" t="s">
        <v>76</v>
      </c>
      <c r="B9" s="9"/>
      <c r="C9" s="9"/>
      <c r="D9" s="9"/>
      <c r="E9" s="9">
        <v>667403.65</v>
      </c>
      <c r="F9" s="9"/>
      <c r="G9" s="9"/>
      <c r="H9" s="9"/>
      <c r="I9" s="9"/>
      <c r="J9" s="9">
        <v>667403.65</v>
      </c>
    </row>
    <row r="10" spans="1:12" x14ac:dyDescent="0.2">
      <c r="A10" s="1" t="s">
        <v>56</v>
      </c>
      <c r="B10" s="9"/>
      <c r="C10" s="9"/>
      <c r="D10" s="9"/>
      <c r="E10" s="9"/>
      <c r="F10" s="9">
        <v>1499133.05</v>
      </c>
      <c r="G10" s="9"/>
      <c r="H10" s="9"/>
      <c r="I10" s="9"/>
      <c r="J10" s="9">
        <v>1499133.05</v>
      </c>
    </row>
    <row r="11" spans="1:12" x14ac:dyDescent="0.2">
      <c r="A11" s="1" t="s">
        <v>46</v>
      </c>
      <c r="B11" s="9"/>
      <c r="C11" s="9"/>
      <c r="D11" s="9"/>
      <c r="E11" s="9"/>
      <c r="F11" s="9"/>
      <c r="G11" s="9">
        <v>-700</v>
      </c>
      <c r="H11" s="9"/>
      <c r="I11" s="9"/>
      <c r="J11" s="9">
        <v>-700</v>
      </c>
    </row>
    <row r="12" spans="1:12" x14ac:dyDescent="0.2">
      <c r="A12" s="1" t="s">
        <v>96</v>
      </c>
      <c r="B12" s="9"/>
      <c r="C12" s="9"/>
      <c r="D12" s="9"/>
      <c r="E12" s="9"/>
      <c r="F12" s="9"/>
      <c r="G12" s="9">
        <v>-7495</v>
      </c>
      <c r="H12" s="9"/>
      <c r="I12" s="9"/>
      <c r="J12" s="9">
        <v>-7495</v>
      </c>
    </row>
    <row r="13" spans="1:12" x14ac:dyDescent="0.2">
      <c r="A13" s="1" t="s">
        <v>52</v>
      </c>
      <c r="B13" s="9">
        <v>44556233.630000003</v>
      </c>
      <c r="C13" s="9"/>
      <c r="D13" s="9"/>
      <c r="E13" s="9"/>
      <c r="F13" s="9"/>
      <c r="G13" s="9"/>
      <c r="H13" s="9"/>
      <c r="I13" s="9"/>
      <c r="J13" s="9">
        <v>44556233.630000003</v>
      </c>
    </row>
    <row r="14" spans="1:12" x14ac:dyDescent="0.2">
      <c r="A14" s="1" t="s">
        <v>107</v>
      </c>
      <c r="B14" s="9"/>
      <c r="C14" s="9">
        <v>-708707.7699999999</v>
      </c>
      <c r="D14" s="9"/>
      <c r="E14" s="9"/>
      <c r="F14" s="9"/>
      <c r="G14" s="9"/>
      <c r="H14" s="9"/>
      <c r="I14" s="9"/>
      <c r="J14" s="9">
        <v>-708707.7699999999</v>
      </c>
    </row>
    <row r="15" spans="1:12" x14ac:dyDescent="0.2">
      <c r="A15" s="1" t="s">
        <v>85</v>
      </c>
      <c r="B15" s="9"/>
      <c r="C15" s="9"/>
      <c r="D15" s="9">
        <v>766897.14999999991</v>
      </c>
      <c r="E15" s="9"/>
      <c r="F15" s="9"/>
      <c r="G15" s="9"/>
      <c r="H15" s="9"/>
      <c r="I15" s="9"/>
      <c r="J15" s="9">
        <v>766897.14999999991</v>
      </c>
    </row>
    <row r="16" spans="1:12" x14ac:dyDescent="0.2">
      <c r="A16" s="1" t="s">
        <v>35</v>
      </c>
      <c r="B16" s="9"/>
      <c r="C16" s="9"/>
      <c r="D16" s="9"/>
      <c r="E16" s="9">
        <v>3878021.8400000003</v>
      </c>
      <c r="F16" s="9"/>
      <c r="G16" s="9"/>
      <c r="H16" s="9"/>
      <c r="I16" s="9"/>
      <c r="J16" s="9">
        <v>3878021.8400000003</v>
      </c>
    </row>
    <row r="17" spans="1:11" x14ac:dyDescent="0.2">
      <c r="A17" s="1" t="s">
        <v>88</v>
      </c>
      <c r="B17" s="9"/>
      <c r="C17" s="9"/>
      <c r="D17" s="9"/>
      <c r="E17" s="9"/>
      <c r="F17" s="9">
        <v>726688.22</v>
      </c>
      <c r="G17" s="9"/>
      <c r="H17" s="9"/>
      <c r="I17" s="9"/>
      <c r="J17" s="9">
        <v>726688.22</v>
      </c>
    </row>
    <row r="18" spans="1:11" x14ac:dyDescent="0.2">
      <c r="A18" s="1" t="s">
        <v>1040</v>
      </c>
      <c r="B18" s="9">
        <v>-28100819.950000003</v>
      </c>
      <c r="C18" s="9">
        <v>-46631866.170000002</v>
      </c>
      <c r="D18" s="9">
        <v>-281921</v>
      </c>
      <c r="E18" s="9">
        <v>-6986865.0600000005</v>
      </c>
      <c r="F18" s="9">
        <v>-28573455.309999999</v>
      </c>
      <c r="G18" s="9"/>
      <c r="H18" s="9"/>
      <c r="I18" s="9"/>
      <c r="J18" s="9">
        <v>-110574927.49000001</v>
      </c>
    </row>
    <row r="19" spans="1:11" x14ac:dyDescent="0.2">
      <c r="A19" s="1" t="s">
        <v>1358</v>
      </c>
      <c r="B19" s="9"/>
      <c r="C19" s="9"/>
      <c r="D19" s="9"/>
      <c r="E19" s="9"/>
      <c r="F19" s="9"/>
      <c r="G19" s="9"/>
      <c r="H19" s="9"/>
      <c r="I19" s="9">
        <v>8696</v>
      </c>
      <c r="J19" s="9">
        <v>8696</v>
      </c>
    </row>
    <row r="20" spans="1:11" x14ac:dyDescent="0.2">
      <c r="A20" s="1" t="s">
        <v>1039</v>
      </c>
      <c r="B20" s="9">
        <v>63783980.959999993</v>
      </c>
      <c r="C20" s="9">
        <v>-45913585.480000004</v>
      </c>
      <c r="D20" s="9">
        <v>2682899.15</v>
      </c>
      <c r="E20" s="9">
        <v>-2441439.5700000003</v>
      </c>
      <c r="F20" s="9">
        <v>-26347634.039999999</v>
      </c>
      <c r="G20" s="9">
        <v>-8195</v>
      </c>
      <c r="H20" s="9"/>
      <c r="I20" s="9">
        <v>8696</v>
      </c>
      <c r="J20" s="9">
        <v>-8235277.9800000042</v>
      </c>
    </row>
    <row r="22" spans="1:11" ht="12" x14ac:dyDescent="0.2">
      <c r="A22" s="259"/>
      <c r="B22" s="257"/>
      <c r="C22" s="257"/>
      <c r="D22" s="257"/>
      <c r="E22" s="257"/>
      <c r="F22" s="257"/>
      <c r="G22" s="257"/>
      <c r="H22" s="257"/>
      <c r="I22" s="257"/>
      <c r="K22" s="215"/>
    </row>
    <row r="23" spans="1:11" ht="12" x14ac:dyDescent="0.2">
      <c r="A23" s="260"/>
    </row>
    <row r="24" spans="1:11" hidden="1" outlineLevel="1" x14ac:dyDescent="0.2">
      <c r="B24" s="196" t="e">
        <v>#REF!</v>
      </c>
      <c r="C24" s="196" t="e">
        <v>#REF!</v>
      </c>
      <c r="D24" s="196" t="e">
        <v>#REF!</v>
      </c>
      <c r="E24" s="196" t="e">
        <v>#REF!</v>
      </c>
      <c r="F24" s="196" t="e">
        <v>#REF!</v>
      </c>
    </row>
    <row r="25" spans="1:11" ht="12" hidden="1" outlineLevel="1" thickBot="1" x14ac:dyDescent="0.25">
      <c r="A25" t="s">
        <v>1189</v>
      </c>
      <c r="B25" s="212">
        <v>-1912000.6780000001</v>
      </c>
      <c r="C25" s="213">
        <v>-2239062.7120000003</v>
      </c>
      <c r="D25" s="213"/>
      <c r="E25" s="213"/>
      <c r="F25" s="213">
        <v>-1802980</v>
      </c>
      <c r="G25" s="214"/>
      <c r="H25" s="214"/>
      <c r="I25" s="214"/>
      <c r="J25" s="213"/>
    </row>
    <row r="26" spans="1:11" ht="12" hidden="1" outlineLevel="1" thickTop="1" x14ac:dyDescent="0.2">
      <c r="B26" s="195" t="e">
        <f>B24+B25-GETPIVOTDATA("Amount",$A$4,"Brand","Converse")</f>
        <v>#REF!</v>
      </c>
      <c r="C26" s="195" t="e">
        <f>C24+C25-GETPIVOTDATA("Amount",$A$4,"Brand","Dr.Martens")</f>
        <v>#REF!</v>
      </c>
      <c r="D26" s="195" t="e">
        <f>D24+D25-GETPIVOTDATA("Amount",$A$4,"Brand","Havaianas")</f>
        <v>#REF!</v>
      </c>
      <c r="E26" s="195" t="e">
        <f>E24+E25-GETPIVOTDATA("Amount",$A$4,"Brand","Saucony")</f>
        <v>#REF!</v>
      </c>
      <c r="F26" s="195" t="e">
        <f>F24+F25-GETPIVOTDATA("Amount",$A$4,"Brand","UGG")</f>
        <v>#REF!</v>
      </c>
      <c r="G26">
        <f>G24+G25-GETPIVOTDATA("Amount",$A$4,"Brand","Multibrand")</f>
        <v>8195</v>
      </c>
    </row>
    <row r="27" spans="1:11" collapsed="1" x14ac:dyDescent="0.2">
      <c r="B27" s="211"/>
      <c r="C27" s="211"/>
      <c r="D27" s="211"/>
      <c r="E27" s="211"/>
      <c r="F27" s="211"/>
      <c r="G27" s="211"/>
      <c r="H27" s="211"/>
    </row>
    <row r="28" spans="1:11" x14ac:dyDescent="0.2">
      <c r="A28" s="258" t="s">
        <v>1190</v>
      </c>
    </row>
    <row r="29" spans="1:11" x14ac:dyDescent="0.2">
      <c r="A29" t="s">
        <v>397</v>
      </c>
      <c r="B29" t="s">
        <v>1037</v>
      </c>
      <c r="C29" t="s">
        <v>1385</v>
      </c>
      <c r="D29" t="s">
        <v>1430</v>
      </c>
      <c r="E29" t="s">
        <v>1431</v>
      </c>
      <c r="F29" t="s">
        <v>1432</v>
      </c>
      <c r="G29" t="s">
        <v>1433</v>
      </c>
      <c r="H29" t="s">
        <v>1434</v>
      </c>
      <c r="I29" t="s">
        <v>1435</v>
      </c>
      <c r="J29" t="s">
        <v>1436</v>
      </c>
      <c r="K29" t="s">
        <v>1437</v>
      </c>
    </row>
    <row r="30" spans="1:11" x14ac:dyDescent="0.2">
      <c r="A30" t="s">
        <v>1038</v>
      </c>
      <c r="B30" t="s">
        <v>22</v>
      </c>
      <c r="C30" t="s">
        <v>16</v>
      </c>
      <c r="D30" t="s">
        <v>21</v>
      </c>
      <c r="E30" t="s">
        <v>31</v>
      </c>
      <c r="F30" t="s">
        <v>23</v>
      </c>
      <c r="G30" t="s">
        <v>396</v>
      </c>
      <c r="H30" t="s">
        <v>398</v>
      </c>
      <c r="I30" t="s">
        <v>1040</v>
      </c>
      <c r="J30" t="s">
        <v>1358</v>
      </c>
      <c r="K30" t="s">
        <v>1039</v>
      </c>
    </row>
    <row r="31" spans="1:11" x14ac:dyDescent="0.2">
      <c r="A31" t="s">
        <v>20</v>
      </c>
      <c r="B31">
        <v>56718635.579999998</v>
      </c>
      <c r="K31">
        <v>56718635.579999998</v>
      </c>
    </row>
    <row r="32" spans="1:11" x14ac:dyDescent="0.2">
      <c r="A32" t="s">
        <v>102</v>
      </c>
      <c r="C32">
        <v>6041399</v>
      </c>
      <c r="K32">
        <v>6041399</v>
      </c>
    </row>
    <row r="33" spans="1:11" x14ac:dyDescent="0.2">
      <c r="A33" t="s">
        <v>18</v>
      </c>
      <c r="D33">
        <v>2605605</v>
      </c>
      <c r="K33">
        <v>2605605</v>
      </c>
    </row>
    <row r="34" spans="1:11" x14ac:dyDescent="0.2">
      <c r="A34" t="s">
        <v>76</v>
      </c>
      <c r="E34">
        <v>679769.4</v>
      </c>
      <c r="K34">
        <v>679769.4</v>
      </c>
    </row>
    <row r="35" spans="1:11" x14ac:dyDescent="0.2">
      <c r="A35" t="s">
        <v>56</v>
      </c>
      <c r="F35">
        <v>1834525.43</v>
      </c>
      <c r="K35">
        <v>1834525.43</v>
      </c>
    </row>
    <row r="36" spans="1:11" x14ac:dyDescent="0.2">
      <c r="A36" t="s">
        <v>46</v>
      </c>
      <c r="G36">
        <v>-700</v>
      </c>
      <c r="K36">
        <v>-700</v>
      </c>
    </row>
    <row r="37" spans="1:11" x14ac:dyDescent="0.2">
      <c r="A37" t="s">
        <v>96</v>
      </c>
      <c r="G37">
        <v>-7495</v>
      </c>
      <c r="K37">
        <v>-7495</v>
      </c>
    </row>
    <row r="38" spans="1:11" x14ac:dyDescent="0.2">
      <c r="A38" t="s">
        <v>52</v>
      </c>
      <c r="B38">
        <v>32978017.969999999</v>
      </c>
      <c r="K38">
        <v>32978017.969999999</v>
      </c>
    </row>
    <row r="39" spans="1:11" x14ac:dyDescent="0.2">
      <c r="A39" t="s">
        <v>107</v>
      </c>
      <c r="C39">
        <v>1529233.6800000002</v>
      </c>
      <c r="K39">
        <v>1529233.6800000002</v>
      </c>
    </row>
    <row r="40" spans="1:11" x14ac:dyDescent="0.2">
      <c r="A40" t="s">
        <v>85</v>
      </c>
      <c r="D40">
        <v>765441.71000000008</v>
      </c>
      <c r="K40">
        <v>765441.71000000008</v>
      </c>
    </row>
    <row r="41" spans="1:11" x14ac:dyDescent="0.2">
      <c r="A41" t="s">
        <v>35</v>
      </c>
      <c r="E41">
        <v>7177381.96</v>
      </c>
      <c r="K41">
        <v>7177381.96</v>
      </c>
    </row>
    <row r="42" spans="1:11" x14ac:dyDescent="0.2">
      <c r="A42" t="s">
        <v>88</v>
      </c>
      <c r="F42">
        <v>608112.12</v>
      </c>
      <c r="K42">
        <v>608112.12</v>
      </c>
    </row>
    <row r="43" spans="1:11" x14ac:dyDescent="0.2">
      <c r="A43" t="s">
        <v>1040</v>
      </c>
      <c r="B43">
        <v>-29994336.029999997</v>
      </c>
      <c r="C43">
        <v>-49466632.879999995</v>
      </c>
      <c r="D43">
        <v>-281921</v>
      </c>
      <c r="E43">
        <v>-4708791.0100000007</v>
      </c>
      <c r="F43">
        <v>-29422406.629999999</v>
      </c>
      <c r="H43">
        <v>-113627.8</v>
      </c>
      <c r="K43">
        <v>-113987715.34999999</v>
      </c>
    </row>
    <row r="44" spans="1:11" x14ac:dyDescent="0.2">
      <c r="A44" t="s">
        <v>1358</v>
      </c>
      <c r="J44">
        <v>2437</v>
      </c>
      <c r="K44">
        <v>2437</v>
      </c>
    </row>
    <row r="45" spans="1:11" x14ac:dyDescent="0.2">
      <c r="A45" t="s">
        <v>1039</v>
      </c>
      <c r="B45">
        <v>59702317.519999996</v>
      </c>
      <c r="C45">
        <v>-41896000.199999996</v>
      </c>
      <c r="D45">
        <v>3089125.71</v>
      </c>
      <c r="E45">
        <v>3148360.3499999996</v>
      </c>
      <c r="F45">
        <v>-26979769.079999998</v>
      </c>
      <c r="G45">
        <v>-8195</v>
      </c>
      <c r="H45">
        <v>-113627.8</v>
      </c>
      <c r="J45">
        <v>2437</v>
      </c>
      <c r="K45">
        <v>-3055351.5</v>
      </c>
    </row>
    <row r="50" spans="1:11" ht="12" x14ac:dyDescent="0.2">
      <c r="A50" s="261" t="s">
        <v>1191</v>
      </c>
      <c r="B50" s="261">
        <f>B45+G45+H45</f>
        <v>59580494.719999999</v>
      </c>
      <c r="C50" s="261">
        <f>C45</f>
        <v>-41896000.199999996</v>
      </c>
      <c r="D50" s="261">
        <f t="shared" ref="D50:K50" si="0">D45</f>
        <v>3089125.71</v>
      </c>
      <c r="E50" s="261">
        <f t="shared" si="0"/>
        <v>3148360.3499999996</v>
      </c>
      <c r="F50" s="261">
        <f t="shared" si="0"/>
        <v>-26979769.079999998</v>
      </c>
      <c r="G50" s="261">
        <f t="shared" si="0"/>
        <v>-8195</v>
      </c>
      <c r="H50" s="261">
        <f t="shared" si="0"/>
        <v>-113627.8</v>
      </c>
      <c r="I50" s="261">
        <f t="shared" si="0"/>
        <v>0</v>
      </c>
      <c r="J50" s="261">
        <f t="shared" si="0"/>
        <v>2437</v>
      </c>
      <c r="K50" s="261">
        <f t="shared" si="0"/>
        <v>-3055351.5</v>
      </c>
    </row>
  </sheetData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00"/>
  <sheetViews>
    <sheetView showGridLines="0" workbookViewId="0">
      <pane xSplit="1" ySplit="8" topLeftCell="B65" activePane="bottomRight" state="frozen"/>
      <selection pane="topRight" activeCell="B1" sqref="B1"/>
      <selection pane="bottomLeft" activeCell="A9" sqref="A9"/>
      <selection pane="bottomRight" activeCell="A69" sqref="A69"/>
    </sheetView>
  </sheetViews>
  <sheetFormatPr defaultRowHeight="11.25" outlineLevelCol="1" x14ac:dyDescent="0.2"/>
  <cols>
    <col min="1" max="1" width="49.83203125" bestFit="1" customWidth="1"/>
    <col min="2" max="2" width="10.5" customWidth="1"/>
    <col min="3" max="3" width="12.83203125" customWidth="1"/>
    <col min="4" max="4" width="10.83203125" customWidth="1"/>
    <col min="5" max="5" width="8.1640625" customWidth="1"/>
    <col min="6" max="6" width="4.5" customWidth="1"/>
    <col min="7" max="7" width="15.6640625" style="227" bestFit="1" customWidth="1"/>
    <col min="8" max="9" width="13.6640625" style="227" bestFit="1" customWidth="1"/>
    <col min="10" max="10" width="16" style="227" bestFit="1" customWidth="1"/>
    <col min="11" max="11" width="14.6640625" style="227" bestFit="1" customWidth="1"/>
    <col min="12" max="12" width="15.6640625" style="227" bestFit="1" customWidth="1"/>
    <col min="13" max="13" width="14.5" style="227" customWidth="1"/>
    <col min="14" max="14" width="5.83203125" customWidth="1"/>
    <col min="15" max="15" width="13.83203125" customWidth="1"/>
    <col min="16" max="16" width="5.83203125" customWidth="1"/>
    <col min="17" max="17" width="5.5" customWidth="1"/>
    <col min="18" max="18" width="10.1640625" customWidth="1"/>
    <col min="19" max="19" width="17.83203125" style="227" bestFit="1" customWidth="1"/>
    <col min="20" max="20" width="11.5" hidden="1" customWidth="1" outlineLevel="1"/>
    <col min="21" max="21" width="13.5" style="227" bestFit="1" customWidth="1" collapsed="1"/>
    <col min="22" max="22" width="11.5" hidden="1" customWidth="1" outlineLevel="1"/>
    <col min="23" max="23" width="13.5" style="227" bestFit="1" customWidth="1" collapsed="1"/>
    <col min="24" max="24" width="11.5" hidden="1" customWidth="1" outlineLevel="1"/>
    <col min="25" max="25" width="15.83203125" style="227" bestFit="1" customWidth="1" collapsed="1"/>
    <col min="26" max="26" width="11.5" hidden="1" customWidth="1" outlineLevel="1"/>
    <col min="27" max="27" width="13" style="227" bestFit="1" customWidth="1" collapsed="1"/>
    <col min="28" max="28" width="14.1640625" style="227" bestFit="1" customWidth="1"/>
    <col min="29" max="30" width="14.5" style="227" customWidth="1"/>
    <col min="31" max="31" width="13.5" customWidth="1"/>
  </cols>
  <sheetData>
    <row r="1" spans="1:31" x14ac:dyDescent="0.2">
      <c r="K1" s="228">
        <f t="array" ref="K1">MATCH(TRUE,ISBLANK(A9:A5000),0)</f>
        <v>90</v>
      </c>
      <c r="L1" s="227">
        <f t="array" ref="L1">MATCH(TRUE,ISBLANK(G9:G5000),0)</f>
        <v>89</v>
      </c>
      <c r="O1" s="9"/>
    </row>
    <row r="2" spans="1:31" x14ac:dyDescent="0.2">
      <c r="A2" s="7" t="s">
        <v>5</v>
      </c>
      <c r="B2" t="s">
        <v>1022</v>
      </c>
      <c r="G2" s="242" t="s">
        <v>394</v>
      </c>
      <c r="K2" s="397" t="str">
        <f>IF(K1&gt;L1,"COPY FORMULAS DOWN !!!","OK")</f>
        <v>COPY FORMULAS DOWN !!!</v>
      </c>
      <c r="L2" s="397"/>
      <c r="M2" s="249"/>
      <c r="O2" s="9">
        <f>-SUM('Adjusted Ageing by Customer'!G5,'Adjusted Ageing by Customer'!L5)</f>
        <v>-37738077.380000025</v>
      </c>
    </row>
    <row r="3" spans="1:31" x14ac:dyDescent="0.2">
      <c r="A3" s="7" t="s">
        <v>366</v>
      </c>
      <c r="B3" t="s">
        <v>1022</v>
      </c>
    </row>
    <row r="4" spans="1:31" x14ac:dyDescent="0.2">
      <c r="A4" s="7" t="s">
        <v>367</v>
      </c>
      <c r="B4" t="s">
        <v>1022</v>
      </c>
      <c r="M4" s="227">
        <f>-M5+D5</f>
        <v>396194.65999999642</v>
      </c>
    </row>
    <row r="5" spans="1:31" x14ac:dyDescent="0.2">
      <c r="A5" s="7" t="s">
        <v>335</v>
      </c>
      <c r="B5" t="s">
        <v>1023</v>
      </c>
      <c r="D5" s="193">
        <f>SUM(D9:D5000)</f>
        <v>42645983.779999994</v>
      </c>
      <c r="G5" s="251">
        <f>SUM(G9:G5000)</f>
        <v>203576105.90000004</v>
      </c>
      <c r="H5" s="251">
        <f t="shared" ref="H5:M5" si="0">SUM(H9:H5000)</f>
        <v>4420411.2300000004</v>
      </c>
      <c r="I5" s="251">
        <f t="shared" si="0"/>
        <v>5358.01</v>
      </c>
      <c r="J5" s="251">
        <f t="shared" si="0"/>
        <v>0</v>
      </c>
      <c r="K5" s="251">
        <f t="shared" si="0"/>
        <v>85942.5</v>
      </c>
      <c r="L5" s="240">
        <f t="shared" si="0"/>
        <v>-165838028.52000001</v>
      </c>
      <c r="M5" s="241">
        <f t="shared" si="0"/>
        <v>42249789.119999997</v>
      </c>
      <c r="R5" t="b">
        <f>M5=SUM(S5,U5,W5,Y5,AA5,AB5)</f>
        <v>1</v>
      </c>
      <c r="S5" s="240">
        <f t="shared" ref="S5" si="1">SUM(S9:S5000)</f>
        <v>86222138.090000004</v>
      </c>
      <c r="T5" s="46"/>
      <c r="U5" s="240">
        <f t="shared" ref="U5" si="2">SUM(U9:U5000)</f>
        <v>4241372.2300000004</v>
      </c>
      <c r="V5" s="46"/>
      <c r="W5" s="240">
        <f t="shared" ref="W5" si="3">SUM(W9:W5000)</f>
        <v>5358</v>
      </c>
      <c r="X5" s="46"/>
      <c r="Y5" s="240">
        <f t="shared" ref="Y5" si="4">SUM(Y9:Y5000)</f>
        <v>0</v>
      </c>
      <c r="Z5" s="46"/>
      <c r="AA5" s="240">
        <f t="shared" ref="AA5:AC5" si="5">SUM(AA9:AA5000)</f>
        <v>85942.5</v>
      </c>
      <c r="AB5" s="240">
        <f t="shared" si="5"/>
        <v>-48305021.700000003</v>
      </c>
      <c r="AC5" s="262">
        <f t="shared" si="5"/>
        <v>42249789.119999997</v>
      </c>
      <c r="AD5" s="241">
        <f>SUM(AD9:AD96)</f>
        <v>90554810.820000008</v>
      </c>
    </row>
    <row r="6" spans="1:31" x14ac:dyDescent="0.2">
      <c r="A6" s="35" t="s">
        <v>1016</v>
      </c>
      <c r="B6" s="35"/>
      <c r="C6" s="35"/>
      <c r="D6" s="35"/>
      <c r="E6" s="35"/>
      <c r="F6" s="35"/>
      <c r="AC6" s="227">
        <f>'Источник &gt;&gt;'!G82-'Adjusted Ageing by Customer'!AC5</f>
        <v>396194.66000000387</v>
      </c>
    </row>
    <row r="7" spans="1:31" s="35" customFormat="1" x14ac:dyDescent="0.2">
      <c r="A7" s="47" t="s">
        <v>368</v>
      </c>
      <c r="B7" s="47"/>
      <c r="C7" s="47"/>
      <c r="D7" s="47"/>
      <c r="E7" s="47"/>
      <c r="F7"/>
      <c r="G7" s="242" t="s">
        <v>389</v>
      </c>
      <c r="H7" s="242"/>
      <c r="I7" s="242"/>
      <c r="J7" s="242"/>
      <c r="K7" s="242"/>
      <c r="L7" s="242"/>
      <c r="M7" s="242"/>
      <c r="S7" s="242" t="s">
        <v>390</v>
      </c>
      <c r="U7" s="242"/>
      <c r="W7" s="242"/>
      <c r="Y7" s="242"/>
      <c r="AA7" s="242"/>
      <c r="AB7" s="242"/>
      <c r="AC7" s="242"/>
      <c r="AD7" s="242"/>
    </row>
    <row r="8" spans="1:31" s="49" customFormat="1" ht="22.5" x14ac:dyDescent="0.2">
      <c r="A8" s="149" t="s">
        <v>3</v>
      </c>
      <c r="B8" s="150" t="s">
        <v>369</v>
      </c>
      <c r="C8" s="150" t="s">
        <v>2</v>
      </c>
      <c r="D8" s="17" t="s">
        <v>1021</v>
      </c>
      <c r="F8" s="151"/>
      <c r="G8" s="243" t="s">
        <v>365</v>
      </c>
      <c r="H8" s="245" t="s">
        <v>361</v>
      </c>
      <c r="I8" s="245" t="s">
        <v>362</v>
      </c>
      <c r="J8" s="243" t="s">
        <v>363</v>
      </c>
      <c r="K8" s="245" t="s">
        <v>364</v>
      </c>
      <c r="L8" s="245" t="s">
        <v>385</v>
      </c>
      <c r="M8" s="245" t="s">
        <v>391</v>
      </c>
      <c r="N8" s="233" t="s">
        <v>831</v>
      </c>
      <c r="S8" s="243" t="s">
        <v>365</v>
      </c>
      <c r="T8" s="154" t="s">
        <v>388</v>
      </c>
      <c r="U8" s="245" t="s">
        <v>361</v>
      </c>
      <c r="V8" s="154" t="s">
        <v>388</v>
      </c>
      <c r="W8" s="245" t="s">
        <v>362</v>
      </c>
      <c r="X8" s="154" t="s">
        <v>388</v>
      </c>
      <c r="Y8" s="245" t="s">
        <v>363</v>
      </c>
      <c r="Z8" s="154" t="s">
        <v>388</v>
      </c>
      <c r="AA8" s="243" t="s">
        <v>364</v>
      </c>
      <c r="AB8" s="245" t="s">
        <v>387</v>
      </c>
      <c r="AC8" s="245" t="s">
        <v>391</v>
      </c>
      <c r="AD8" s="246" t="s">
        <v>828</v>
      </c>
      <c r="AE8" s="172" t="s">
        <v>831</v>
      </c>
    </row>
    <row r="9" spans="1:31" x14ac:dyDescent="0.2">
      <c r="A9" s="47" t="s">
        <v>33</v>
      </c>
      <c r="D9" s="31">
        <v>-34032</v>
      </c>
      <c r="E9" s="9"/>
      <c r="F9" s="9"/>
      <c r="G9" s="254">
        <f>SUM(('Отчет по покупателям УТ'!$H$6:$H$5000='Adjusted Ageing by Customer'!G$8)*('Отчет по покупателям УТ'!$M$6:$M$5000='Adjusted Ageing by Customer'!$A9)*('Отчет по покупателям УТ'!$K$6:$K$5000))</f>
        <v>0</v>
      </c>
      <c r="H9" s="254">
        <f t="array" ref="H9">SUM(('Отчет по покупателям УТ'!$H$6:$H$5000='Adjusted Ageing by Customer'!H$8)*('Отчет по покупателям УТ'!$M$6:$M$5000='Adjusted Ageing by Customer'!$A9)*('Отчет по покупателям УТ'!$K$6:$K$5000))</f>
        <v>0</v>
      </c>
      <c r="I9" s="254">
        <f t="array" ref="I9">SUM(('Отчет по покупателям УТ'!$H$6:$H$5000='Adjusted Ageing by Customer'!I$8)*('Отчет по покупателям УТ'!$M$6:$M$5000='Adjusted Ageing by Customer'!$A9)*('Отчет по покупателям УТ'!$K$6:$K$5000))</f>
        <v>0</v>
      </c>
      <c r="J9" s="254">
        <f t="array" ref="J9">SUM(('Отчет по покупателям УТ'!$H$6:$H$5000='Adjusted Ageing by Customer'!J$8)*('Отчет по покупателям УТ'!$M$6:$M$5000='Adjusted Ageing by Customer'!$A9)*('Отчет по покупателям УТ'!$K$6:$K$5000))</f>
        <v>0</v>
      </c>
      <c r="K9" s="254">
        <f t="array" ref="K9">SUM(('Отчет по покупателям УТ'!$H$6:$H$5000='Adjusted Ageing by Customer'!K$8)*('Отчет по покупателям УТ'!$M$6:$M$5000='Adjusted Ageing by Customer'!$A9)*('Отчет по покупателям УТ'!$K$6:$K$5000))</f>
        <v>0</v>
      </c>
      <c r="L9" s="254">
        <f t="array" ref="L9">SUM(('Отчет по покупателям УТ'!$H$6:$H$5000='Adjusted Ageing by Customer'!L$8)*('Отчет по покупателям УТ'!$M$6:$M$5000='Adjusted Ageing by Customer'!$A9)*('Отчет по покупателям УТ'!$K$6:$K$5000))</f>
        <v>-34032</v>
      </c>
      <c r="M9" s="247">
        <f t="shared" ref="M9:M72" si="6">SUM(G9:L9)</f>
        <v>-34032</v>
      </c>
      <c r="N9" s="9"/>
      <c r="R9" t="b">
        <f>M9=SUM(S9,U9,W9,Y9,AA9,AB9)</f>
        <v>1</v>
      </c>
      <c r="S9" s="228">
        <f>IF(G9+T9&lt;0,0,G9+T9)</f>
        <v>0</v>
      </c>
      <c r="T9" s="31">
        <f>IF(L9+K9+J9+I9+H9&lt;0,L9+K9+J9+I9+H9,0)</f>
        <v>-34032</v>
      </c>
      <c r="U9" s="228">
        <f>IF(H9+V9&lt;0,0,H9+V9)</f>
        <v>0</v>
      </c>
      <c r="V9" s="31">
        <f>IF(L9+K9+J9+I9&lt;0,L9+K9+J9+I9,0)</f>
        <v>-34032</v>
      </c>
      <c r="W9" s="228">
        <f t="shared" ref="W9:W72" si="7">IF(I9+X9&lt;0,0,I9+X9)</f>
        <v>0</v>
      </c>
      <c r="X9" s="31">
        <f t="shared" ref="X9:X72" si="8">IF(L9+K9+J9&lt;0,L9+K9+J9,0)</f>
        <v>-34032</v>
      </c>
      <c r="Y9" s="228">
        <f t="shared" ref="Y9:Y72" si="9">IF(J9+Z9&lt;0,0,J9+Z9)</f>
        <v>0</v>
      </c>
      <c r="Z9" s="31">
        <f t="shared" ref="Z9:Z72" si="10">IF(L9+K9&lt;0,L9+K9,0)</f>
        <v>-34032</v>
      </c>
      <c r="AA9" s="228">
        <f>IF(K9+L9&lt;0,0,K9+L9)</f>
        <v>0</v>
      </c>
      <c r="AB9" s="228">
        <f>IF(SUM(G9:L9)&lt;0,M9,0)</f>
        <v>-34032</v>
      </c>
      <c r="AC9" s="247">
        <f>SUM(AB9,AA9,Y9,W9,U9,S9)</f>
        <v>-34032</v>
      </c>
      <c r="AD9" s="248">
        <f>SUM(S9,U9,W9,Y9,AA9)</f>
        <v>0</v>
      </c>
    </row>
    <row r="10" spans="1:31" x14ac:dyDescent="0.2">
      <c r="A10" s="47" t="s">
        <v>41</v>
      </c>
      <c r="D10" s="9">
        <v>-198121</v>
      </c>
      <c r="E10" s="9"/>
      <c r="F10" s="9"/>
      <c r="G10" s="254">
        <f t="array" ref="G10">SUM(('Отчет по покупателям УТ'!$H$6:$H$5000='Adjusted Ageing by Customer'!G$8)*('Отчет по покупателям УТ'!$M$6:$M$5000='Adjusted Ageing by Customer'!$A10)*('Отчет по покупателям УТ'!$K$6:$K$5000))</f>
        <v>0</v>
      </c>
      <c r="H10" s="254">
        <f t="array" ref="H10">SUM(('Отчет по покупателям УТ'!$H$6:$H$5000='Adjusted Ageing by Customer'!H$8)*('Отчет по покупателям УТ'!$M$6:$M$5000='Adjusted Ageing by Customer'!$A10)*('Отчет по покупателям УТ'!$K$6:$K$5000))</f>
        <v>0</v>
      </c>
      <c r="I10" s="254">
        <f t="array" ref="I10">SUM(('Отчет по покупателям УТ'!$H$6:$H$5000='Adjusted Ageing by Customer'!I$8)*('Отчет по покупателям УТ'!$M$6:$M$5000='Adjusted Ageing by Customer'!$A10)*('Отчет по покупателям УТ'!$K$6:$K$5000))</f>
        <v>0</v>
      </c>
      <c r="J10" s="254">
        <f t="array" ref="J10">SUM(('Отчет по покупателям УТ'!$H$6:$H$5000='Adjusted Ageing by Customer'!J$8)*('Отчет по покупателям УТ'!$M$6:$M$5000='Adjusted Ageing by Customer'!$A10)*('Отчет по покупателям УТ'!$K$6:$K$5000))</f>
        <v>0</v>
      </c>
      <c r="K10" s="254">
        <f t="array" ref="K10">SUM(('Отчет по покупателям УТ'!$H$6:$H$5000='Adjusted Ageing by Customer'!K$8)*('Отчет по покупателям УТ'!$M$6:$M$5000='Adjusted Ageing by Customer'!$A10)*('Отчет по покупателям УТ'!$K$6:$K$5000))</f>
        <v>0</v>
      </c>
      <c r="L10" s="254">
        <f t="array" ref="L10">SUM(('Отчет по покупателям УТ'!$H$6:$H$5000='Adjusted Ageing by Customer'!L$8)*('Отчет по покупателям УТ'!$M$6:$M$5000='Adjusted Ageing by Customer'!$A10)*('Отчет по покупателям УТ'!$K$6:$K$5000))</f>
        <v>-198121</v>
      </c>
      <c r="M10" s="247">
        <f t="shared" si="6"/>
        <v>-198121</v>
      </c>
      <c r="R10" s="9" t="b">
        <f t="shared" ref="R10:R73" si="11">M10=SUM(S10,U10,W10,Y10,AA10,AB10)</f>
        <v>1</v>
      </c>
      <c r="S10" s="228">
        <f t="shared" ref="S10:S72" si="12">IF(G10+T10&lt;0,0,G10+T10)</f>
        <v>0</v>
      </c>
      <c r="T10" s="31">
        <f t="shared" ref="T10:T72" si="13">IF(L10+K10+J10+I10+H10&lt;0,L10+K10+J10+I10+H10,0)</f>
        <v>-198121</v>
      </c>
      <c r="U10" s="228">
        <f t="shared" ref="U10:U72" si="14">IF(H10+V10&lt;0,0,H10+V10)</f>
        <v>0</v>
      </c>
      <c r="V10" s="31">
        <f t="shared" ref="V10:V72" si="15">IF(L10+K10+J10+I10&lt;0,L10+K10+J10+I10,0)</f>
        <v>-198121</v>
      </c>
      <c r="W10" s="228">
        <f t="shared" si="7"/>
        <v>0</v>
      </c>
      <c r="X10" s="31">
        <f t="shared" si="8"/>
        <v>-198121</v>
      </c>
      <c r="Y10" s="228">
        <f t="shared" si="9"/>
        <v>0</v>
      </c>
      <c r="Z10" s="31">
        <f t="shared" si="10"/>
        <v>-198121</v>
      </c>
      <c r="AA10" s="228">
        <f t="shared" ref="AA10:AA72" si="16">IF(K10+L10&lt;0,0,K10+L10)</f>
        <v>0</v>
      </c>
      <c r="AB10" s="228">
        <f t="shared" ref="AB10:AB72" si="17">IF(SUM(G10:L10)&lt;0,M10,0)</f>
        <v>-198121</v>
      </c>
      <c r="AC10" s="247">
        <f t="shared" ref="AC10:AC73" si="18">SUM(AB10,AA10,Y10,W10,U10,S10)</f>
        <v>-198121</v>
      </c>
      <c r="AD10" s="248">
        <f t="shared" ref="AD10:AD73" si="19">SUM(S10,U10,W10,Y10,AA10)</f>
        <v>0</v>
      </c>
    </row>
    <row r="11" spans="1:31" x14ac:dyDescent="0.2">
      <c r="A11" s="47" t="s">
        <v>44</v>
      </c>
      <c r="D11" s="9">
        <v>-700</v>
      </c>
      <c r="E11" s="9"/>
      <c r="F11" s="9"/>
      <c r="G11" s="254">
        <f t="array" ref="G11">SUM(('Отчет по покупателям УТ'!$H$6:$H$5000='Adjusted Ageing by Customer'!G$8)*('Отчет по покупателям УТ'!$M$6:$M$5000='Adjusted Ageing by Customer'!$A11)*('Отчет по покупателям УТ'!$K$6:$K$5000))</f>
        <v>0</v>
      </c>
      <c r="H11" s="254">
        <f t="array" ref="H11">SUM(('Отчет по покупателям УТ'!$H$6:$H$5000='Adjusted Ageing by Customer'!H$8)*('Отчет по покупателям УТ'!$M$6:$M$5000='Adjusted Ageing by Customer'!$A11)*('Отчет по покупателям УТ'!$K$6:$K$5000))</f>
        <v>0</v>
      </c>
      <c r="I11" s="254">
        <f t="array" ref="I11">SUM(('Отчет по покупателям УТ'!$H$6:$H$5000='Adjusted Ageing by Customer'!I$8)*('Отчет по покупателям УТ'!$M$6:$M$5000='Adjusted Ageing by Customer'!$A11)*('Отчет по покупателям УТ'!$K$6:$K$5000))</f>
        <v>0</v>
      </c>
      <c r="J11" s="254">
        <f t="array" ref="J11">SUM(('Отчет по покупателям УТ'!$H$6:$H$5000='Adjusted Ageing by Customer'!J$8)*('Отчет по покупателям УТ'!$M$6:$M$5000='Adjusted Ageing by Customer'!$A11)*('Отчет по покупателям УТ'!$K$6:$K$5000))</f>
        <v>0</v>
      </c>
      <c r="K11" s="254">
        <f t="array" ref="K11">SUM(('Отчет по покупателям УТ'!$H$6:$H$5000='Adjusted Ageing by Customer'!K$8)*('Отчет по покупателям УТ'!$M$6:$M$5000='Adjusted Ageing by Customer'!$A11)*('Отчет по покупателям УТ'!$K$6:$K$5000))</f>
        <v>0</v>
      </c>
      <c r="L11" s="254">
        <f t="array" ref="L11">SUM(('Отчет по покупателям УТ'!$H$6:$H$5000='Adjusted Ageing by Customer'!L$8)*('Отчет по покупателям УТ'!$M$6:$M$5000='Adjusted Ageing by Customer'!$A11)*('Отчет по покупателям УТ'!$K$6:$K$5000))</f>
        <v>-700</v>
      </c>
      <c r="M11" s="247">
        <f t="shared" si="6"/>
        <v>-700</v>
      </c>
      <c r="R11" s="9" t="b">
        <f t="shared" si="11"/>
        <v>1</v>
      </c>
      <c r="S11" s="228">
        <f t="shared" si="12"/>
        <v>0</v>
      </c>
      <c r="T11" s="31">
        <f t="shared" si="13"/>
        <v>-700</v>
      </c>
      <c r="U11" s="228">
        <f t="shared" si="14"/>
        <v>0</v>
      </c>
      <c r="V11" s="31">
        <f t="shared" si="15"/>
        <v>-700</v>
      </c>
      <c r="W11" s="228">
        <f t="shared" si="7"/>
        <v>0</v>
      </c>
      <c r="X11" s="31">
        <f t="shared" si="8"/>
        <v>-700</v>
      </c>
      <c r="Y11" s="228">
        <f t="shared" si="9"/>
        <v>0</v>
      </c>
      <c r="Z11" s="31">
        <f t="shared" si="10"/>
        <v>-700</v>
      </c>
      <c r="AA11" s="228">
        <f t="shared" si="16"/>
        <v>0</v>
      </c>
      <c r="AB11" s="228">
        <f t="shared" si="17"/>
        <v>-700</v>
      </c>
      <c r="AC11" s="247">
        <f t="shared" si="18"/>
        <v>-700</v>
      </c>
      <c r="AD11" s="248">
        <f t="shared" si="19"/>
        <v>0</v>
      </c>
    </row>
    <row r="12" spans="1:31" x14ac:dyDescent="0.2">
      <c r="A12" s="47" t="s">
        <v>48</v>
      </c>
      <c r="D12" s="31">
        <v>811658.50999999989</v>
      </c>
      <c r="E12" s="9"/>
      <c r="F12" s="9"/>
      <c r="G12" s="254">
        <f t="array" ref="G12">SUM(('Отчет по покупателям УТ'!$H$6:$H$5000='Adjusted Ageing by Customer'!G$8)*('Отчет по покупателям УТ'!$M$6:$M$5000='Adjusted Ageing by Customer'!$A12)*('Отчет по покупателям УТ'!$K$6:$K$5000))</f>
        <v>981116.66999999993</v>
      </c>
      <c r="H12" s="254">
        <f t="array" ref="H12">SUM(('Отчет по покупателям УТ'!$H$6:$H$5000='Adjusted Ageing by Customer'!H$8)*('Отчет по покупателям УТ'!$M$6:$M$5000='Adjusted Ageing by Customer'!$A12)*('Отчет по покупателям УТ'!$K$6:$K$5000))</f>
        <v>0</v>
      </c>
      <c r="I12" s="254">
        <f t="array" ref="I12">SUM(('Отчет по покупателям УТ'!$H$6:$H$5000='Adjusted Ageing by Customer'!I$8)*('Отчет по покупателям УТ'!$M$6:$M$5000='Adjusted Ageing by Customer'!$A12)*('Отчет по покупателям УТ'!$K$6:$K$5000))</f>
        <v>0</v>
      </c>
      <c r="J12" s="254">
        <f t="array" ref="J12">SUM(('Отчет по покупателям УТ'!$H$6:$H$5000='Adjusted Ageing by Customer'!J$8)*('Отчет по покупателям УТ'!$M$6:$M$5000='Adjusted Ageing by Customer'!$A12)*('Отчет по покупателям УТ'!$K$6:$K$5000))</f>
        <v>0</v>
      </c>
      <c r="K12" s="254">
        <f t="array" ref="K12">SUM(('Отчет по покупателям УТ'!$H$6:$H$5000='Adjusted Ageing by Customer'!K$8)*('Отчет по покупателям УТ'!$M$6:$M$5000='Adjusted Ageing by Customer'!$A12)*('Отчет по покупателям УТ'!$K$6:$K$5000))</f>
        <v>0</v>
      </c>
      <c r="L12" s="254">
        <f t="array" ref="L12">SUM(('Отчет по покупателям УТ'!$H$6:$H$5000='Adjusted Ageing by Customer'!L$8)*('Отчет по покупателям УТ'!$M$6:$M$5000='Adjusted Ageing by Customer'!$A12)*('Отчет по покупателям УТ'!$K$6:$K$5000))</f>
        <v>-169458.16</v>
      </c>
      <c r="M12" s="247">
        <f t="shared" si="6"/>
        <v>811658.50999999989</v>
      </c>
      <c r="R12" s="9" t="b">
        <f t="shared" si="11"/>
        <v>1</v>
      </c>
      <c r="S12" s="228">
        <f>IF(G12+T12&lt;0,0,G12+T12)</f>
        <v>811658.50999999989</v>
      </c>
      <c r="T12" s="31">
        <f t="shared" si="13"/>
        <v>-169458.16</v>
      </c>
      <c r="U12" s="228">
        <f t="shared" si="14"/>
        <v>0</v>
      </c>
      <c r="V12" s="31">
        <f t="shared" si="15"/>
        <v>-169458.16</v>
      </c>
      <c r="W12" s="228">
        <f t="shared" si="7"/>
        <v>0</v>
      </c>
      <c r="X12" s="31">
        <f t="shared" si="8"/>
        <v>-169458.16</v>
      </c>
      <c r="Y12" s="228">
        <f t="shared" si="9"/>
        <v>0</v>
      </c>
      <c r="Z12" s="31">
        <f t="shared" si="10"/>
        <v>-169458.16</v>
      </c>
      <c r="AA12" s="228">
        <f t="shared" si="16"/>
        <v>0</v>
      </c>
      <c r="AB12" s="228">
        <f t="shared" si="17"/>
        <v>0</v>
      </c>
      <c r="AC12" s="247">
        <f t="shared" si="18"/>
        <v>811658.50999999989</v>
      </c>
      <c r="AD12" s="248">
        <f t="shared" si="19"/>
        <v>811658.50999999989</v>
      </c>
    </row>
    <row r="13" spans="1:31" x14ac:dyDescent="0.2">
      <c r="A13" s="47" t="s">
        <v>54</v>
      </c>
      <c r="D13" s="9">
        <v>-30012.37</v>
      </c>
      <c r="E13" s="9"/>
      <c r="F13" s="9"/>
      <c r="G13" s="254">
        <f t="array" ref="G13">SUM(('Отчет по покупателям УТ'!$H$6:$H$5000='Adjusted Ageing by Customer'!G$8)*('Отчет по покупателям УТ'!$M$6:$M$5000='Adjusted Ageing by Customer'!$A13)*('Отчет по покупателям УТ'!$K$6:$K$5000))</f>
        <v>0</v>
      </c>
      <c r="H13" s="254">
        <f t="array" ref="H13">SUM(('Отчет по покупателям УТ'!$H$6:$H$5000='Adjusted Ageing by Customer'!H$8)*('Отчет по покупателям УТ'!$M$6:$M$5000='Adjusted Ageing by Customer'!$A13)*('Отчет по покупателям УТ'!$K$6:$K$5000))</f>
        <v>0</v>
      </c>
      <c r="I13" s="254">
        <f t="array" ref="I13">SUM(('Отчет по покупателям УТ'!$H$6:$H$5000='Adjusted Ageing by Customer'!I$8)*('Отчет по покупателям УТ'!$M$6:$M$5000='Adjusted Ageing by Customer'!$A13)*('Отчет по покупателям УТ'!$K$6:$K$5000))</f>
        <v>0</v>
      </c>
      <c r="J13" s="254">
        <f t="array" ref="J13">SUM(('Отчет по покупателям УТ'!$H$6:$H$5000='Adjusted Ageing by Customer'!J$8)*('Отчет по покупателям УТ'!$M$6:$M$5000='Adjusted Ageing by Customer'!$A13)*('Отчет по покупателям УТ'!$K$6:$K$5000))</f>
        <v>0</v>
      </c>
      <c r="K13" s="254">
        <f t="array" ref="K13">SUM(('Отчет по покупателям УТ'!$H$6:$H$5000='Adjusted Ageing by Customer'!K$8)*('Отчет по покупателям УТ'!$M$6:$M$5000='Adjusted Ageing by Customer'!$A13)*('Отчет по покупателям УТ'!$K$6:$K$5000))</f>
        <v>0</v>
      </c>
      <c r="L13" s="254">
        <f t="array" ref="L13">SUM(('Отчет по покупателям УТ'!$H$6:$H$5000='Adjusted Ageing by Customer'!L$8)*('Отчет по покупателям УТ'!$M$6:$M$5000='Adjusted Ageing by Customer'!$A13)*('Отчет по покупателям УТ'!$K$6:$K$5000))</f>
        <v>-30012.37</v>
      </c>
      <c r="M13" s="247">
        <f t="shared" si="6"/>
        <v>-30012.37</v>
      </c>
      <c r="R13" s="9" t="b">
        <f t="shared" si="11"/>
        <v>1</v>
      </c>
      <c r="S13" s="228">
        <f t="shared" si="12"/>
        <v>0</v>
      </c>
      <c r="T13" s="31">
        <f t="shared" si="13"/>
        <v>-30012.37</v>
      </c>
      <c r="U13" s="228">
        <f t="shared" si="14"/>
        <v>0</v>
      </c>
      <c r="V13" s="31">
        <f t="shared" si="15"/>
        <v>-30012.37</v>
      </c>
      <c r="W13" s="228">
        <f t="shared" si="7"/>
        <v>0</v>
      </c>
      <c r="X13" s="31">
        <f t="shared" si="8"/>
        <v>-30012.37</v>
      </c>
      <c r="Y13" s="228">
        <f t="shared" si="9"/>
        <v>0</v>
      </c>
      <c r="Z13" s="31">
        <f t="shared" si="10"/>
        <v>-30012.37</v>
      </c>
      <c r="AA13" s="228">
        <f t="shared" si="16"/>
        <v>0</v>
      </c>
      <c r="AB13" s="228">
        <f t="shared" si="17"/>
        <v>-30012.37</v>
      </c>
      <c r="AC13" s="247">
        <f t="shared" si="18"/>
        <v>-30012.37</v>
      </c>
      <c r="AD13" s="248">
        <f t="shared" si="19"/>
        <v>0</v>
      </c>
    </row>
    <row r="14" spans="1:31" x14ac:dyDescent="0.2">
      <c r="A14" s="47" t="s">
        <v>60</v>
      </c>
      <c r="D14" s="9">
        <v>-3201565.86</v>
      </c>
      <c r="E14" s="9"/>
      <c r="F14" s="9"/>
      <c r="G14" s="254">
        <f t="array" ref="G14">SUM(('Отчет по покупателям УТ'!$H$6:$H$5000='Adjusted Ageing by Customer'!G$8)*('Отчет по покупателям УТ'!$M$6:$M$5000='Adjusted Ageing by Customer'!$A14)*('Отчет по покупателям УТ'!$K$6:$K$5000))</f>
        <v>0</v>
      </c>
      <c r="H14" s="254">
        <f t="array" ref="H14">SUM(('Отчет по покупателям УТ'!$H$6:$H$5000='Adjusted Ageing by Customer'!H$8)*('Отчет по покупателям УТ'!$M$6:$M$5000='Adjusted Ageing by Customer'!$A14)*('Отчет по покупателям УТ'!$K$6:$K$5000))</f>
        <v>0</v>
      </c>
      <c r="I14" s="254">
        <f t="array" ref="I14">SUM(('Отчет по покупателям УТ'!$H$6:$H$5000='Adjusted Ageing by Customer'!I$8)*('Отчет по покупателям УТ'!$M$6:$M$5000='Adjusted Ageing by Customer'!$A14)*('Отчет по покупателям УТ'!$K$6:$K$5000))</f>
        <v>0</v>
      </c>
      <c r="J14" s="254">
        <f t="array" ref="J14">SUM(('Отчет по покупателям УТ'!$H$6:$H$5000='Adjusted Ageing by Customer'!J$8)*('Отчет по покупателям УТ'!$M$6:$M$5000='Adjusted Ageing by Customer'!$A14)*('Отчет по покупателям УТ'!$K$6:$K$5000))</f>
        <v>0</v>
      </c>
      <c r="K14" s="254">
        <f t="array" ref="K14">SUM(('Отчет по покупателям УТ'!$H$6:$H$5000='Adjusted Ageing by Customer'!K$8)*('Отчет по покупателям УТ'!$M$6:$M$5000='Adjusted Ageing by Customer'!$A14)*('Отчет по покупателям УТ'!$K$6:$K$5000))</f>
        <v>0</v>
      </c>
      <c r="L14" s="254">
        <f t="array" ref="L14">SUM(('Отчет по покупателям УТ'!$H$6:$H$5000='Adjusted Ageing by Customer'!L$8)*('Отчет по покупателям УТ'!$M$6:$M$5000='Adjusted Ageing by Customer'!$A14)*('Отчет по покупателям УТ'!$K$6:$K$5000))</f>
        <v>-3201565.86</v>
      </c>
      <c r="M14" s="247">
        <f t="shared" si="6"/>
        <v>-3201565.86</v>
      </c>
      <c r="R14" s="9" t="b">
        <f t="shared" si="11"/>
        <v>1</v>
      </c>
      <c r="S14" s="228">
        <f t="shared" si="12"/>
        <v>0</v>
      </c>
      <c r="T14" s="31">
        <f t="shared" si="13"/>
        <v>-3201565.86</v>
      </c>
      <c r="U14" s="228">
        <f t="shared" si="14"/>
        <v>0</v>
      </c>
      <c r="V14" s="31">
        <f t="shared" si="15"/>
        <v>-3201565.86</v>
      </c>
      <c r="W14" s="228">
        <f t="shared" si="7"/>
        <v>0</v>
      </c>
      <c r="X14" s="31">
        <f t="shared" si="8"/>
        <v>-3201565.86</v>
      </c>
      <c r="Y14" s="228">
        <f t="shared" si="9"/>
        <v>0</v>
      </c>
      <c r="Z14" s="31">
        <f t="shared" si="10"/>
        <v>-3201565.86</v>
      </c>
      <c r="AA14" s="228">
        <f t="shared" si="16"/>
        <v>0</v>
      </c>
      <c r="AB14" s="228">
        <f t="shared" si="17"/>
        <v>-3201565.86</v>
      </c>
      <c r="AC14" s="247">
        <f t="shared" si="18"/>
        <v>-3201565.86</v>
      </c>
      <c r="AD14" s="248">
        <f t="shared" si="19"/>
        <v>0</v>
      </c>
    </row>
    <row r="15" spans="1:31" x14ac:dyDescent="0.2">
      <c r="A15" s="47" t="s">
        <v>69</v>
      </c>
      <c r="D15" s="9">
        <v>13990165.92</v>
      </c>
      <c r="E15" s="9"/>
      <c r="F15" s="9"/>
      <c r="G15" s="254">
        <f t="array" ref="G15">SUM(('Отчет по покупателям УТ'!$H$6:$H$5000='Adjusted Ageing by Customer'!G$8)*('Отчет по покупателям УТ'!$M$6:$M$5000='Adjusted Ageing by Customer'!$A15)*('Отчет по покупателям УТ'!$K$6:$K$5000))</f>
        <v>9751613.5999999996</v>
      </c>
      <c r="H15" s="254">
        <f t="array" ref="H15">SUM(('Отчет по покупателям УТ'!$H$6:$H$5000='Adjusted Ageing by Customer'!H$8)*('Отчет по покупателям УТ'!$M$6:$M$5000='Adjusted Ageing by Customer'!$A15)*('Отчет по покупателям УТ'!$K$6:$K$5000))</f>
        <v>4247391.32</v>
      </c>
      <c r="I15" s="254">
        <f t="array" ref="I15">SUM(('Отчет по покупателям УТ'!$H$6:$H$5000='Adjusted Ageing by Customer'!I$8)*('Отчет по покупателям УТ'!$M$6:$M$5000='Adjusted Ageing by Customer'!$A15)*('Отчет по покупателям УТ'!$K$6:$K$5000))</f>
        <v>0</v>
      </c>
      <c r="J15" s="254">
        <f t="array" ref="J15">SUM(('Отчет по покупателям УТ'!$H$6:$H$5000='Adjusted Ageing by Customer'!J$8)*('Отчет по покупателям УТ'!$M$6:$M$5000='Adjusted Ageing by Customer'!$A15)*('Отчет по покупателям УТ'!$K$6:$K$5000))</f>
        <v>0</v>
      </c>
      <c r="K15" s="254">
        <f t="array" ref="K15">SUM(('Отчет по покупателям УТ'!$H$6:$H$5000='Adjusted Ageing by Customer'!K$8)*('Отчет по покупателям УТ'!$M$6:$M$5000='Adjusted Ageing by Customer'!$A15)*('Отчет по покупателям УТ'!$K$6:$K$5000))</f>
        <v>0</v>
      </c>
      <c r="L15" s="254">
        <f t="array" ref="L15">SUM(('Отчет по покупателям УТ'!$H$6:$H$5000='Adjusted Ageing by Customer'!L$8)*('Отчет по покупателям УТ'!$M$6:$M$5000='Adjusted Ageing by Customer'!$A15)*('Отчет по покупателям УТ'!$K$6:$K$5000))</f>
        <v>-8839</v>
      </c>
      <c r="M15" s="247">
        <f t="shared" si="6"/>
        <v>13990165.92</v>
      </c>
      <c r="R15" s="9" t="b">
        <f t="shared" si="11"/>
        <v>1</v>
      </c>
      <c r="S15" s="228">
        <f t="shared" si="12"/>
        <v>9751613.5999999996</v>
      </c>
      <c r="T15" s="31">
        <f>IF(L15+K15+J15+I15+H15&lt;0,L15+K15+J15+I15+H15,0)</f>
        <v>0</v>
      </c>
      <c r="U15" s="228">
        <f t="shared" si="14"/>
        <v>4238552.32</v>
      </c>
      <c r="V15" s="31">
        <f>IF(L15+K15+J15+I15&lt;0,L15+K15+J15+I15,0)</f>
        <v>-8839</v>
      </c>
      <c r="W15" s="228">
        <f t="shared" si="7"/>
        <v>0</v>
      </c>
      <c r="X15" s="31">
        <f>IF(L15+K15+J15&lt;0,L15+K15+J15,0)</f>
        <v>-8839</v>
      </c>
      <c r="Y15" s="228">
        <f t="shared" si="9"/>
        <v>0</v>
      </c>
      <c r="Z15" s="31">
        <f>IF(L15+K15&lt;0,L15+K15,0)</f>
        <v>-8839</v>
      </c>
      <c r="AA15" s="228">
        <f t="shared" si="16"/>
        <v>0</v>
      </c>
      <c r="AB15" s="228">
        <f t="shared" si="17"/>
        <v>0</v>
      </c>
      <c r="AC15" s="247">
        <f t="shared" si="18"/>
        <v>13990165.92</v>
      </c>
      <c r="AD15" s="248">
        <f t="shared" si="19"/>
        <v>13990165.92</v>
      </c>
    </row>
    <row r="16" spans="1:31" x14ac:dyDescent="0.2">
      <c r="A16" s="47" t="s">
        <v>94</v>
      </c>
      <c r="D16" s="9">
        <v>-7495</v>
      </c>
      <c r="E16" s="9"/>
      <c r="F16" s="9"/>
      <c r="G16" s="254">
        <f t="array" ref="G16">SUM(('Отчет по покупателям УТ'!$H$6:$H$5000='Adjusted Ageing by Customer'!G$8)*('Отчет по покупателям УТ'!$M$6:$M$5000='Adjusted Ageing by Customer'!$A16)*('Отчет по покупателям УТ'!$K$6:$K$5000))</f>
        <v>0</v>
      </c>
      <c r="H16" s="254">
        <f t="array" ref="H16">SUM(('Отчет по покупателям УТ'!$H$6:$H$5000='Adjusted Ageing by Customer'!H$8)*('Отчет по покупателям УТ'!$M$6:$M$5000='Adjusted Ageing by Customer'!$A16)*('Отчет по покупателям УТ'!$K$6:$K$5000))</f>
        <v>0</v>
      </c>
      <c r="I16" s="254">
        <f t="array" ref="I16">SUM(('Отчет по покупателям УТ'!$H$6:$H$5000='Adjusted Ageing by Customer'!I$8)*('Отчет по покупателям УТ'!$M$6:$M$5000='Adjusted Ageing by Customer'!$A16)*('Отчет по покупателям УТ'!$K$6:$K$5000))</f>
        <v>0</v>
      </c>
      <c r="J16" s="254">
        <f t="array" ref="J16">SUM(('Отчет по покупателям УТ'!$H$6:$H$5000='Adjusted Ageing by Customer'!J$8)*('Отчет по покупателям УТ'!$M$6:$M$5000='Adjusted Ageing by Customer'!$A16)*('Отчет по покупателям УТ'!$K$6:$K$5000))</f>
        <v>0</v>
      </c>
      <c r="K16" s="254">
        <f t="array" ref="K16">SUM(('Отчет по покупателям УТ'!$H$6:$H$5000='Adjusted Ageing by Customer'!K$8)*('Отчет по покупателям УТ'!$M$6:$M$5000='Adjusted Ageing by Customer'!$A16)*('Отчет по покупателям УТ'!$K$6:$K$5000))</f>
        <v>0</v>
      </c>
      <c r="L16" s="254">
        <f t="array" ref="L16">SUM(('Отчет по покупателям УТ'!$H$6:$H$5000='Adjusted Ageing by Customer'!L$8)*('Отчет по покупателям УТ'!$M$6:$M$5000='Adjusted Ageing by Customer'!$A16)*('Отчет по покупателям УТ'!$K$6:$K$5000))</f>
        <v>-7495</v>
      </c>
      <c r="M16" s="247">
        <f t="shared" si="6"/>
        <v>-7495</v>
      </c>
      <c r="R16" s="9" t="b">
        <f t="shared" si="11"/>
        <v>1</v>
      </c>
      <c r="S16" s="228">
        <f t="shared" si="12"/>
        <v>0</v>
      </c>
      <c r="T16" s="31">
        <f t="shared" si="13"/>
        <v>-7495</v>
      </c>
      <c r="U16" s="228">
        <f t="shared" si="14"/>
        <v>0</v>
      </c>
      <c r="V16" s="31">
        <f t="shared" si="15"/>
        <v>-7495</v>
      </c>
      <c r="W16" s="228">
        <f t="shared" si="7"/>
        <v>0</v>
      </c>
      <c r="X16" s="31">
        <f t="shared" si="8"/>
        <v>-7495</v>
      </c>
      <c r="Y16" s="228">
        <f t="shared" si="9"/>
        <v>0</v>
      </c>
      <c r="Z16" s="31">
        <f t="shared" si="10"/>
        <v>-7495</v>
      </c>
      <c r="AA16" s="228">
        <f t="shared" si="16"/>
        <v>0</v>
      </c>
      <c r="AB16" s="228">
        <f t="shared" si="17"/>
        <v>-7495</v>
      </c>
      <c r="AC16" s="247">
        <f t="shared" si="18"/>
        <v>-7495</v>
      </c>
      <c r="AD16" s="248">
        <f t="shared" si="19"/>
        <v>0</v>
      </c>
    </row>
    <row r="17" spans="1:30" x14ac:dyDescent="0.2">
      <c r="A17" s="47" t="s">
        <v>98</v>
      </c>
      <c r="D17" s="9">
        <v>-19615479.080000002</v>
      </c>
      <c r="E17" s="9"/>
      <c r="F17" s="9"/>
      <c r="G17" s="254">
        <f t="array" ref="G17">SUM(('Отчет по покупателям УТ'!$H$6:$H$5000='Adjusted Ageing by Customer'!G$8)*('Отчет по покупателям УТ'!$M$6:$M$5000='Adjusted Ageing by Customer'!$A17)*('Отчет по покупателям УТ'!$K$6:$K$5000))</f>
        <v>0</v>
      </c>
      <c r="H17" s="254">
        <f t="array" ref="H17">SUM(('Отчет по покупателям УТ'!$H$6:$H$5000='Adjusted Ageing by Customer'!H$8)*('Отчет по покупателям УТ'!$M$6:$M$5000='Adjusted Ageing by Customer'!$A17)*('Отчет по покупателям УТ'!$K$6:$K$5000))</f>
        <v>0</v>
      </c>
      <c r="I17" s="254">
        <f t="array" ref="I17">SUM(('Отчет по покупателям УТ'!$H$6:$H$5000='Adjusted Ageing by Customer'!I$8)*('Отчет по покупателям УТ'!$M$6:$M$5000='Adjusted Ageing by Customer'!$A17)*('Отчет по покупателям УТ'!$K$6:$K$5000))</f>
        <v>0</v>
      </c>
      <c r="J17" s="254">
        <f t="array" ref="J17">SUM(('Отчет по покупателям УТ'!$H$6:$H$5000='Adjusted Ageing by Customer'!J$8)*('Отчет по покупателям УТ'!$M$6:$M$5000='Adjusted Ageing by Customer'!$A17)*('Отчет по покупателям УТ'!$K$6:$K$5000))</f>
        <v>0</v>
      </c>
      <c r="K17" s="254">
        <f t="array" ref="K17">SUM(('Отчет по покупателям УТ'!$H$6:$H$5000='Adjusted Ageing by Customer'!K$8)*('Отчет по покупателям УТ'!$M$6:$M$5000='Adjusted Ageing by Customer'!$A17)*('Отчет по покупателям УТ'!$K$6:$K$5000))</f>
        <v>0</v>
      </c>
      <c r="L17" s="254">
        <f t="array" ref="L17">SUM(('Отчет по покупателям УТ'!$H$6:$H$5000='Adjusted Ageing by Customer'!L$8)*('Отчет по покупателям УТ'!$M$6:$M$5000='Adjusted Ageing by Customer'!$A17)*('Отчет по покупателям УТ'!$K$6:$K$5000))</f>
        <v>-19615479.080000002</v>
      </c>
      <c r="M17" s="247">
        <f t="shared" si="6"/>
        <v>-19615479.080000002</v>
      </c>
      <c r="R17" s="9" t="b">
        <f t="shared" si="11"/>
        <v>1</v>
      </c>
      <c r="S17" s="228">
        <f t="shared" si="12"/>
        <v>0</v>
      </c>
      <c r="T17" s="31">
        <f t="shared" si="13"/>
        <v>-19615479.080000002</v>
      </c>
      <c r="U17" s="228">
        <f t="shared" si="14"/>
        <v>0</v>
      </c>
      <c r="V17" s="31">
        <f t="shared" si="15"/>
        <v>-19615479.080000002</v>
      </c>
      <c r="W17" s="228">
        <f t="shared" si="7"/>
        <v>0</v>
      </c>
      <c r="X17" s="31">
        <f t="shared" si="8"/>
        <v>-19615479.080000002</v>
      </c>
      <c r="Y17" s="228">
        <f t="shared" si="9"/>
        <v>0</v>
      </c>
      <c r="Z17" s="31">
        <f t="shared" si="10"/>
        <v>-19615479.080000002</v>
      </c>
      <c r="AA17" s="228">
        <f t="shared" si="16"/>
        <v>0</v>
      </c>
      <c r="AB17" s="228">
        <f t="shared" si="17"/>
        <v>-19615479.080000002</v>
      </c>
      <c r="AC17" s="247">
        <f t="shared" si="18"/>
        <v>-19615479.080000002</v>
      </c>
      <c r="AD17" s="248">
        <f t="shared" si="19"/>
        <v>0</v>
      </c>
    </row>
    <row r="18" spans="1:30" x14ac:dyDescent="0.2">
      <c r="A18" s="47" t="s">
        <v>99</v>
      </c>
      <c r="D18" s="9">
        <v>-4183273.7599999993</v>
      </c>
      <c r="E18" s="9"/>
      <c r="F18" s="9"/>
      <c r="G18" s="254">
        <f t="array" ref="G18">SUM(('Отчет по покупателям УТ'!$H$6:$H$5000='Adjusted Ageing by Customer'!G$8)*('Отчет по покупателям УТ'!$M$6:$M$5000='Adjusted Ageing by Customer'!$A18)*('Отчет по покупателям УТ'!$K$6:$K$5000))</f>
        <v>7367617.5999999996</v>
      </c>
      <c r="H18" s="254">
        <f t="array" ref="H18">SUM(('Отчет по покупателям УТ'!$H$6:$H$5000='Adjusted Ageing by Customer'!H$8)*('Отчет по покупателям УТ'!$M$6:$M$5000='Adjusted Ageing by Customer'!$A18)*('Отчет по покупателям УТ'!$K$6:$K$5000))</f>
        <v>170200</v>
      </c>
      <c r="I18" s="254">
        <f t="array" ref="I18">SUM(('Отчет по покупателям УТ'!$H$6:$H$5000='Adjusted Ageing by Customer'!I$8)*('Отчет по покупателям УТ'!$M$6:$M$5000='Adjusted Ageing by Customer'!$A18)*('Отчет по покупателям УТ'!$K$6:$K$5000))</f>
        <v>0</v>
      </c>
      <c r="J18" s="254">
        <f t="array" ref="J18">SUM(('Отчет по покупателям УТ'!$H$6:$H$5000='Adjusted Ageing by Customer'!J$8)*('Отчет по покупателям УТ'!$M$6:$M$5000='Adjusted Ageing by Customer'!$A18)*('Отчет по покупателям УТ'!$K$6:$K$5000))</f>
        <v>0</v>
      </c>
      <c r="K18" s="254">
        <f t="array" ref="K18">SUM(('Отчет по покупателям УТ'!$H$6:$H$5000='Adjusted Ageing by Customer'!K$8)*('Отчет по покупателям УТ'!$M$6:$M$5000='Adjusted Ageing by Customer'!$A18)*('Отчет по покупателям УТ'!$K$6:$K$5000))</f>
        <v>0</v>
      </c>
      <c r="L18" s="254">
        <f t="array" ref="L18">SUM(('Отчет по покупателям УТ'!$H$6:$H$5000='Adjusted Ageing by Customer'!L$8)*('Отчет по покупателям УТ'!$M$6:$M$5000='Adjusted Ageing by Customer'!$A18)*('Отчет по покупателям УТ'!$K$6:$K$5000))</f>
        <v>-11721091.359999999</v>
      </c>
      <c r="M18" s="247">
        <f t="shared" si="6"/>
        <v>-4183273.76</v>
      </c>
      <c r="R18" s="9" t="b">
        <f t="shared" si="11"/>
        <v>1</v>
      </c>
      <c r="S18" s="228">
        <f t="shared" si="12"/>
        <v>0</v>
      </c>
      <c r="T18" s="31">
        <f t="shared" si="13"/>
        <v>-11550891.359999999</v>
      </c>
      <c r="U18" s="228">
        <f t="shared" si="14"/>
        <v>0</v>
      </c>
      <c r="V18" s="31">
        <f t="shared" si="15"/>
        <v>-11721091.359999999</v>
      </c>
      <c r="W18" s="228">
        <f t="shared" si="7"/>
        <v>0</v>
      </c>
      <c r="X18" s="31">
        <f t="shared" si="8"/>
        <v>-11721091.359999999</v>
      </c>
      <c r="Y18" s="228">
        <f t="shared" si="9"/>
        <v>0</v>
      </c>
      <c r="Z18" s="31">
        <f t="shared" si="10"/>
        <v>-11721091.359999999</v>
      </c>
      <c r="AA18" s="228">
        <f t="shared" si="16"/>
        <v>0</v>
      </c>
      <c r="AB18" s="228">
        <f t="shared" si="17"/>
        <v>-4183273.76</v>
      </c>
      <c r="AC18" s="247">
        <f t="shared" si="18"/>
        <v>-4183273.76</v>
      </c>
      <c r="AD18" s="248">
        <f t="shared" si="19"/>
        <v>0</v>
      </c>
    </row>
    <row r="19" spans="1:30" x14ac:dyDescent="0.2">
      <c r="A19" s="47" t="s">
        <v>103</v>
      </c>
      <c r="D19" s="9">
        <v>-860926.44</v>
      </c>
      <c r="E19" s="9"/>
      <c r="F19" s="9"/>
      <c r="G19" s="254">
        <f t="array" ref="G19">SUM(('Отчет по покупателям УТ'!$H$6:$H$5000='Adjusted Ageing by Customer'!G$8)*('Отчет по покупателям УТ'!$M$6:$M$5000='Adjusted Ageing by Customer'!$A19)*('Отчет по покупателям УТ'!$K$6:$K$5000))</f>
        <v>0</v>
      </c>
      <c r="H19" s="254">
        <f t="array" ref="H19">SUM(('Отчет по покупателям УТ'!$H$6:$H$5000='Adjusted Ageing by Customer'!H$8)*('Отчет по покупателям УТ'!$M$6:$M$5000='Adjusted Ageing by Customer'!$A19)*('Отчет по покупателям УТ'!$K$6:$K$5000))</f>
        <v>0</v>
      </c>
      <c r="I19" s="254">
        <f t="array" ref="I19">SUM(('Отчет по покупателям УТ'!$H$6:$H$5000='Adjusted Ageing by Customer'!I$8)*('Отчет по покупателям УТ'!$M$6:$M$5000='Adjusted Ageing by Customer'!$A19)*('Отчет по покупателям УТ'!$K$6:$K$5000))</f>
        <v>0</v>
      </c>
      <c r="J19" s="254">
        <f t="array" ref="J19">SUM(('Отчет по покупателям УТ'!$H$6:$H$5000='Adjusted Ageing by Customer'!J$8)*('Отчет по покупателям УТ'!$M$6:$M$5000='Adjusted Ageing by Customer'!$A19)*('Отчет по покупателям УТ'!$K$6:$K$5000))</f>
        <v>0</v>
      </c>
      <c r="K19" s="254">
        <f t="array" ref="K19">SUM(('Отчет по покупателям УТ'!$H$6:$H$5000='Adjusted Ageing by Customer'!K$8)*('Отчет по покупателям УТ'!$M$6:$M$5000='Adjusted Ageing by Customer'!$A19)*('Отчет по покупателям УТ'!$K$6:$K$5000))</f>
        <v>0</v>
      </c>
      <c r="L19" s="254">
        <f t="array" ref="L19">SUM(('Отчет по покупателям УТ'!$H$6:$H$5000='Adjusted Ageing by Customer'!L$8)*('Отчет по покупателям УТ'!$M$6:$M$5000='Adjusted Ageing by Customer'!$A19)*('Отчет по покупателям УТ'!$K$6:$K$5000))</f>
        <v>-860926.44</v>
      </c>
      <c r="M19" s="247">
        <f t="shared" si="6"/>
        <v>-860926.44</v>
      </c>
      <c r="R19" s="9" t="b">
        <f t="shared" si="11"/>
        <v>1</v>
      </c>
      <c r="S19" s="228">
        <f t="shared" si="12"/>
        <v>0</v>
      </c>
      <c r="T19" s="31">
        <f t="shared" si="13"/>
        <v>-860926.44</v>
      </c>
      <c r="U19" s="228">
        <f t="shared" si="14"/>
        <v>0</v>
      </c>
      <c r="V19" s="31">
        <f t="shared" si="15"/>
        <v>-860926.44</v>
      </c>
      <c r="W19" s="228">
        <f t="shared" si="7"/>
        <v>0</v>
      </c>
      <c r="X19" s="31">
        <f t="shared" si="8"/>
        <v>-860926.44</v>
      </c>
      <c r="Y19" s="228">
        <f t="shared" si="9"/>
        <v>0</v>
      </c>
      <c r="Z19" s="31">
        <f t="shared" si="10"/>
        <v>-860926.44</v>
      </c>
      <c r="AA19" s="228">
        <f t="shared" si="16"/>
        <v>0</v>
      </c>
      <c r="AB19" s="228">
        <f t="shared" si="17"/>
        <v>-860926.44</v>
      </c>
      <c r="AC19" s="247">
        <f t="shared" si="18"/>
        <v>-860926.44</v>
      </c>
      <c r="AD19" s="248">
        <f t="shared" si="19"/>
        <v>0</v>
      </c>
    </row>
    <row r="20" spans="1:30" x14ac:dyDescent="0.2">
      <c r="A20" s="47" t="s">
        <v>105</v>
      </c>
      <c r="D20" s="9">
        <v>-86513</v>
      </c>
      <c r="E20" s="9"/>
      <c r="F20" s="9"/>
      <c r="G20" s="254">
        <f t="array" ref="G20">SUM(('Отчет по покупателям УТ'!$H$6:$H$5000='Adjusted Ageing by Customer'!G$8)*('Отчет по покупателям УТ'!$M$6:$M$5000='Adjusted Ageing by Customer'!$A20)*('Отчет по покупателям УТ'!$K$6:$K$5000))</f>
        <v>0</v>
      </c>
      <c r="H20" s="254">
        <f t="array" ref="H20">SUM(('Отчет по покупателям УТ'!$H$6:$H$5000='Adjusted Ageing by Customer'!H$8)*('Отчет по покупателям УТ'!$M$6:$M$5000='Adjusted Ageing by Customer'!$A20)*('Отчет по покупателям УТ'!$K$6:$K$5000))</f>
        <v>0</v>
      </c>
      <c r="I20" s="254">
        <f t="array" ref="I20">SUM(('Отчет по покупателям УТ'!$H$6:$H$5000='Adjusted Ageing by Customer'!I$8)*('Отчет по покупателям УТ'!$M$6:$M$5000='Adjusted Ageing by Customer'!$A20)*('Отчет по покупателям УТ'!$K$6:$K$5000))</f>
        <v>0</v>
      </c>
      <c r="J20" s="254">
        <f t="array" ref="J20">SUM(('Отчет по покупателям УТ'!$H$6:$H$5000='Adjusted Ageing by Customer'!J$8)*('Отчет по покупателям УТ'!$M$6:$M$5000='Adjusted Ageing by Customer'!$A20)*('Отчет по покупателям УТ'!$K$6:$K$5000))</f>
        <v>0</v>
      </c>
      <c r="K20" s="254">
        <f t="array" ref="K20">SUM(('Отчет по покупателям УТ'!$H$6:$H$5000='Adjusted Ageing by Customer'!K$8)*('Отчет по покупателям УТ'!$M$6:$M$5000='Adjusted Ageing by Customer'!$A20)*('Отчет по покупателям УТ'!$K$6:$K$5000))</f>
        <v>0</v>
      </c>
      <c r="L20" s="254">
        <f t="array" ref="L20">SUM(('Отчет по покупателям УТ'!$H$6:$H$5000='Adjusted Ageing by Customer'!L$8)*('Отчет по покупателям УТ'!$M$6:$M$5000='Adjusted Ageing by Customer'!$A20)*('Отчет по покупателям УТ'!$K$6:$K$5000))</f>
        <v>-86513</v>
      </c>
      <c r="M20" s="247">
        <f t="shared" si="6"/>
        <v>-86513</v>
      </c>
      <c r="R20" s="9" t="b">
        <f t="shared" si="11"/>
        <v>1</v>
      </c>
      <c r="S20" s="228">
        <f t="shared" si="12"/>
        <v>0</v>
      </c>
      <c r="T20" s="31">
        <f t="shared" si="13"/>
        <v>-86513</v>
      </c>
      <c r="U20" s="228">
        <f t="shared" si="14"/>
        <v>0</v>
      </c>
      <c r="V20" s="31">
        <f t="shared" si="15"/>
        <v>-86513</v>
      </c>
      <c r="W20" s="228">
        <f t="shared" si="7"/>
        <v>0</v>
      </c>
      <c r="X20" s="31">
        <f t="shared" si="8"/>
        <v>-86513</v>
      </c>
      <c r="Y20" s="228">
        <f t="shared" si="9"/>
        <v>0</v>
      </c>
      <c r="Z20" s="31">
        <f t="shared" si="10"/>
        <v>-86513</v>
      </c>
      <c r="AA20" s="228">
        <f t="shared" si="16"/>
        <v>0</v>
      </c>
      <c r="AB20" s="228">
        <f t="shared" si="17"/>
        <v>-86513</v>
      </c>
      <c r="AC20" s="247">
        <f t="shared" si="18"/>
        <v>-86513</v>
      </c>
      <c r="AD20" s="248">
        <f t="shared" si="19"/>
        <v>0</v>
      </c>
    </row>
    <row r="21" spans="1:30" x14ac:dyDescent="0.2">
      <c r="A21" s="47" t="s">
        <v>106</v>
      </c>
      <c r="D21" s="9">
        <v>-819186</v>
      </c>
      <c r="E21" s="9"/>
      <c r="F21" s="9"/>
      <c r="G21" s="254">
        <f t="array" ref="G21">SUM(('Отчет по покупателям УТ'!$H$6:$H$5000='Adjusted Ageing by Customer'!G$8)*('Отчет по покупателям УТ'!$M$6:$M$5000='Adjusted Ageing by Customer'!$A21)*('Отчет по покупателям УТ'!$K$6:$K$5000))</f>
        <v>0</v>
      </c>
      <c r="H21" s="254">
        <f t="array" ref="H21">SUM(('Отчет по покупателям УТ'!$H$6:$H$5000='Adjusted Ageing by Customer'!H$8)*('Отчет по покупателям УТ'!$M$6:$M$5000='Adjusted Ageing by Customer'!$A21)*('Отчет по покупателям УТ'!$K$6:$K$5000))</f>
        <v>0</v>
      </c>
      <c r="I21" s="254">
        <f t="array" ref="I21">SUM(('Отчет по покупателям УТ'!$H$6:$H$5000='Adjusted Ageing by Customer'!I$8)*('Отчет по покупателям УТ'!$M$6:$M$5000='Adjusted Ageing by Customer'!$A21)*('Отчет по покупателям УТ'!$K$6:$K$5000))</f>
        <v>0</v>
      </c>
      <c r="J21" s="254">
        <f t="array" ref="J21">SUM(('Отчет по покупателям УТ'!$H$6:$H$5000='Adjusted Ageing by Customer'!J$8)*('Отчет по покупателям УТ'!$M$6:$M$5000='Adjusted Ageing by Customer'!$A21)*('Отчет по покупателям УТ'!$K$6:$K$5000))</f>
        <v>0</v>
      </c>
      <c r="K21" s="254">
        <f t="array" ref="K21">SUM(('Отчет по покупателям УТ'!$H$6:$H$5000='Adjusted Ageing by Customer'!K$8)*('Отчет по покупателям УТ'!$M$6:$M$5000='Adjusted Ageing by Customer'!$A21)*('Отчет по покупателям УТ'!$K$6:$K$5000))</f>
        <v>0</v>
      </c>
      <c r="L21" s="254">
        <f t="array" ref="L21">SUM(('Отчет по покупателям УТ'!$H$6:$H$5000='Adjusted Ageing by Customer'!L$8)*('Отчет по покупателям УТ'!$M$6:$M$5000='Adjusted Ageing by Customer'!$A21)*('Отчет по покупателям УТ'!$K$6:$K$5000))</f>
        <v>-819186</v>
      </c>
      <c r="M21" s="247">
        <f t="shared" si="6"/>
        <v>-819186</v>
      </c>
      <c r="R21" s="9" t="b">
        <f t="shared" si="11"/>
        <v>1</v>
      </c>
      <c r="S21" s="228">
        <f t="shared" si="12"/>
        <v>0</v>
      </c>
      <c r="T21" s="31">
        <f t="shared" si="13"/>
        <v>-819186</v>
      </c>
      <c r="U21" s="228">
        <f t="shared" si="14"/>
        <v>0</v>
      </c>
      <c r="V21" s="31">
        <f t="shared" si="15"/>
        <v>-819186</v>
      </c>
      <c r="W21" s="228">
        <f t="shared" si="7"/>
        <v>0</v>
      </c>
      <c r="X21" s="31">
        <f t="shared" si="8"/>
        <v>-819186</v>
      </c>
      <c r="Y21" s="228">
        <f t="shared" si="9"/>
        <v>0</v>
      </c>
      <c r="Z21" s="31">
        <f t="shared" si="10"/>
        <v>-819186</v>
      </c>
      <c r="AA21" s="228">
        <f t="shared" si="16"/>
        <v>0</v>
      </c>
      <c r="AB21" s="228">
        <f t="shared" si="17"/>
        <v>-819186</v>
      </c>
      <c r="AC21" s="247">
        <f t="shared" si="18"/>
        <v>-819186</v>
      </c>
      <c r="AD21" s="248">
        <f t="shared" si="19"/>
        <v>0</v>
      </c>
    </row>
    <row r="22" spans="1:30" x14ac:dyDescent="0.2">
      <c r="A22" s="47" t="s">
        <v>109</v>
      </c>
      <c r="D22" s="9">
        <v>-11533.5</v>
      </c>
      <c r="E22" s="9"/>
      <c r="F22" s="9"/>
      <c r="G22" s="254">
        <f t="array" ref="G22">SUM(('Отчет по покупателям УТ'!$H$6:$H$5000='Adjusted Ageing by Customer'!G$8)*('Отчет по покупателям УТ'!$M$6:$M$5000='Adjusted Ageing by Customer'!$A22)*('Отчет по покупателям УТ'!$K$6:$K$5000))</f>
        <v>0</v>
      </c>
      <c r="H22" s="254">
        <f t="array" ref="H22">SUM(('Отчет по покупателям УТ'!$H$6:$H$5000='Adjusted Ageing by Customer'!H$8)*('Отчет по покупателям УТ'!$M$6:$M$5000='Adjusted Ageing by Customer'!$A22)*('Отчет по покупателям УТ'!$K$6:$K$5000))</f>
        <v>0</v>
      </c>
      <c r="I22" s="254">
        <f t="array" ref="I22">SUM(('Отчет по покупателям УТ'!$H$6:$H$5000='Adjusted Ageing by Customer'!I$8)*('Отчет по покупателям УТ'!$M$6:$M$5000='Adjusted Ageing by Customer'!$A22)*('Отчет по покупателям УТ'!$K$6:$K$5000))</f>
        <v>0</v>
      </c>
      <c r="J22" s="254">
        <f t="array" ref="J22">SUM(('Отчет по покупателям УТ'!$H$6:$H$5000='Adjusted Ageing by Customer'!J$8)*('Отчет по покупателям УТ'!$M$6:$M$5000='Adjusted Ageing by Customer'!$A22)*('Отчет по покупателям УТ'!$K$6:$K$5000))</f>
        <v>0</v>
      </c>
      <c r="K22" s="254">
        <f t="array" ref="K22">SUM(('Отчет по покупателям УТ'!$H$6:$H$5000='Adjusted Ageing by Customer'!K$8)*('Отчет по покупателям УТ'!$M$6:$M$5000='Adjusted Ageing by Customer'!$A22)*('Отчет по покупателям УТ'!$K$6:$K$5000))</f>
        <v>0</v>
      </c>
      <c r="L22" s="254">
        <f t="array" ref="L22">SUM(('Отчет по покупателям УТ'!$H$6:$H$5000='Adjusted Ageing by Customer'!L$8)*('Отчет по покупателям УТ'!$M$6:$M$5000='Adjusted Ageing by Customer'!$A22)*('Отчет по покупателям УТ'!$K$6:$K$5000))</f>
        <v>-11533.5</v>
      </c>
      <c r="M22" s="247">
        <f t="shared" si="6"/>
        <v>-11533.5</v>
      </c>
      <c r="R22" s="9" t="b">
        <f t="shared" si="11"/>
        <v>1</v>
      </c>
      <c r="S22" s="228">
        <f t="shared" si="12"/>
        <v>0</v>
      </c>
      <c r="T22" s="31">
        <f t="shared" si="13"/>
        <v>-11533.5</v>
      </c>
      <c r="U22" s="228">
        <f t="shared" si="14"/>
        <v>0</v>
      </c>
      <c r="V22" s="31">
        <f t="shared" si="15"/>
        <v>-11533.5</v>
      </c>
      <c r="W22" s="228">
        <f t="shared" si="7"/>
        <v>0</v>
      </c>
      <c r="X22" s="31">
        <f t="shared" si="8"/>
        <v>-11533.5</v>
      </c>
      <c r="Y22" s="228">
        <f t="shared" si="9"/>
        <v>0</v>
      </c>
      <c r="Z22" s="31">
        <f t="shared" si="10"/>
        <v>-11533.5</v>
      </c>
      <c r="AA22" s="228">
        <f t="shared" si="16"/>
        <v>0</v>
      </c>
      <c r="AB22" s="228">
        <f t="shared" si="17"/>
        <v>-11533.5</v>
      </c>
      <c r="AC22" s="247">
        <f t="shared" si="18"/>
        <v>-11533.5</v>
      </c>
      <c r="AD22" s="248">
        <f t="shared" si="19"/>
        <v>0</v>
      </c>
    </row>
    <row r="23" spans="1:30" x14ac:dyDescent="0.2">
      <c r="A23" s="47" t="s">
        <v>111</v>
      </c>
      <c r="D23" s="9">
        <v>-166755.06</v>
      </c>
      <c r="E23" s="9"/>
      <c r="F23" s="9"/>
      <c r="G23" s="254">
        <f t="array" ref="G23">SUM(('Отчет по покупателям УТ'!$H$6:$H$5000='Adjusted Ageing by Customer'!G$8)*('Отчет по покупателям УТ'!$M$6:$M$5000='Adjusted Ageing by Customer'!$A23)*('Отчет по покупателям УТ'!$K$6:$K$5000))</f>
        <v>0</v>
      </c>
      <c r="H23" s="254">
        <f t="array" ref="H23">SUM(('Отчет по покупателям УТ'!$H$6:$H$5000='Adjusted Ageing by Customer'!H$8)*('Отчет по покупателям УТ'!$M$6:$M$5000='Adjusted Ageing by Customer'!$A23)*('Отчет по покупателям УТ'!$K$6:$K$5000))</f>
        <v>0</v>
      </c>
      <c r="I23" s="254">
        <f t="array" ref="I23">SUM(('Отчет по покупателям УТ'!$H$6:$H$5000='Adjusted Ageing by Customer'!I$8)*('Отчет по покупателям УТ'!$M$6:$M$5000='Adjusted Ageing by Customer'!$A23)*('Отчет по покупателям УТ'!$K$6:$K$5000))</f>
        <v>0</v>
      </c>
      <c r="J23" s="254">
        <f t="array" ref="J23">SUM(('Отчет по покупателям УТ'!$H$6:$H$5000='Adjusted Ageing by Customer'!J$8)*('Отчет по покупателям УТ'!$M$6:$M$5000='Adjusted Ageing by Customer'!$A23)*('Отчет по покупателям УТ'!$K$6:$K$5000))</f>
        <v>0</v>
      </c>
      <c r="K23" s="254">
        <f t="array" ref="K23">SUM(('Отчет по покупателям УТ'!$H$6:$H$5000='Adjusted Ageing by Customer'!K$8)*('Отчет по покупателям УТ'!$M$6:$M$5000='Adjusted Ageing by Customer'!$A23)*('Отчет по покупателям УТ'!$K$6:$K$5000))</f>
        <v>0</v>
      </c>
      <c r="L23" s="254">
        <f t="array" ref="L23">SUM(('Отчет по покупателям УТ'!$H$6:$H$5000='Adjusted Ageing by Customer'!L$8)*('Отчет по покупателям УТ'!$M$6:$M$5000='Adjusted Ageing by Customer'!$A23)*('Отчет по покупателям УТ'!$K$6:$K$5000))</f>
        <v>-166755.06</v>
      </c>
      <c r="M23" s="247">
        <f t="shared" si="6"/>
        <v>-166755.06</v>
      </c>
      <c r="R23" s="9" t="b">
        <f t="shared" si="11"/>
        <v>1</v>
      </c>
      <c r="S23" s="228">
        <f t="shared" si="12"/>
        <v>0</v>
      </c>
      <c r="T23" s="31">
        <f t="shared" si="13"/>
        <v>-166755.06</v>
      </c>
      <c r="U23" s="228">
        <f t="shared" si="14"/>
        <v>0</v>
      </c>
      <c r="V23" s="31">
        <f t="shared" si="15"/>
        <v>-166755.06</v>
      </c>
      <c r="W23" s="228">
        <f t="shared" si="7"/>
        <v>0</v>
      </c>
      <c r="X23" s="31">
        <f t="shared" si="8"/>
        <v>-166755.06</v>
      </c>
      <c r="Y23" s="228">
        <f t="shared" si="9"/>
        <v>0</v>
      </c>
      <c r="Z23" s="31">
        <f t="shared" si="10"/>
        <v>-166755.06</v>
      </c>
      <c r="AA23" s="228">
        <f t="shared" si="16"/>
        <v>0</v>
      </c>
      <c r="AB23" s="228">
        <f t="shared" si="17"/>
        <v>-166755.06</v>
      </c>
      <c r="AC23" s="247">
        <f t="shared" si="18"/>
        <v>-166755.06</v>
      </c>
      <c r="AD23" s="248">
        <f t="shared" si="19"/>
        <v>0</v>
      </c>
    </row>
    <row r="24" spans="1:30" x14ac:dyDescent="0.2">
      <c r="A24" s="47" t="s">
        <v>114</v>
      </c>
      <c r="D24" s="9">
        <v>-36635.9</v>
      </c>
      <c r="E24" s="9"/>
      <c r="F24" s="9"/>
      <c r="G24" s="254">
        <f t="array" ref="G24">SUM(('Отчет по покупателям УТ'!$H$6:$H$5000='Adjusted Ageing by Customer'!G$8)*('Отчет по покупателям УТ'!$M$6:$M$5000='Adjusted Ageing by Customer'!$A24)*('Отчет по покупателям УТ'!$K$6:$K$5000))</f>
        <v>0</v>
      </c>
      <c r="H24" s="254">
        <f t="array" ref="H24">SUM(('Отчет по покупателям УТ'!$H$6:$H$5000='Adjusted Ageing by Customer'!H$8)*('Отчет по покупателям УТ'!$M$6:$M$5000='Adjusted Ageing by Customer'!$A24)*('Отчет по покупателям УТ'!$K$6:$K$5000))</f>
        <v>0</v>
      </c>
      <c r="I24" s="254">
        <f t="array" ref="I24">SUM(('Отчет по покупателям УТ'!$H$6:$H$5000='Adjusted Ageing by Customer'!I$8)*('Отчет по покупателям УТ'!$M$6:$M$5000='Adjusted Ageing by Customer'!$A24)*('Отчет по покупателям УТ'!$K$6:$K$5000))</f>
        <v>0</v>
      </c>
      <c r="J24" s="254">
        <f t="array" ref="J24">SUM(('Отчет по покупателям УТ'!$H$6:$H$5000='Adjusted Ageing by Customer'!J$8)*('Отчет по покупателям УТ'!$M$6:$M$5000='Adjusted Ageing by Customer'!$A24)*('Отчет по покупателям УТ'!$K$6:$K$5000))</f>
        <v>0</v>
      </c>
      <c r="K24" s="254">
        <f t="array" ref="K24">SUM(('Отчет по покупателям УТ'!$H$6:$H$5000='Adjusted Ageing by Customer'!K$8)*('Отчет по покупателям УТ'!$M$6:$M$5000='Adjusted Ageing by Customer'!$A24)*('Отчет по покупателям УТ'!$K$6:$K$5000))</f>
        <v>0</v>
      </c>
      <c r="L24" s="254">
        <f t="array" ref="L24">SUM(('Отчет по покупателям УТ'!$H$6:$H$5000='Adjusted Ageing by Customer'!L$8)*('Отчет по покупателям УТ'!$M$6:$M$5000='Adjusted Ageing by Customer'!$A24)*('Отчет по покупателям УТ'!$K$6:$K$5000))</f>
        <v>-36635.9</v>
      </c>
      <c r="M24" s="247">
        <f t="shared" si="6"/>
        <v>-36635.9</v>
      </c>
      <c r="R24" s="9" t="b">
        <f t="shared" si="11"/>
        <v>1</v>
      </c>
      <c r="S24" s="228">
        <f t="shared" si="12"/>
        <v>0</v>
      </c>
      <c r="T24" s="31">
        <f t="shared" si="13"/>
        <v>-36635.9</v>
      </c>
      <c r="U24" s="228">
        <f t="shared" si="14"/>
        <v>0</v>
      </c>
      <c r="V24" s="31">
        <f t="shared" si="15"/>
        <v>-36635.9</v>
      </c>
      <c r="W24" s="228">
        <f t="shared" si="7"/>
        <v>0</v>
      </c>
      <c r="X24" s="31">
        <f t="shared" si="8"/>
        <v>-36635.9</v>
      </c>
      <c r="Y24" s="228">
        <f t="shared" si="9"/>
        <v>0</v>
      </c>
      <c r="Z24" s="31">
        <f t="shared" si="10"/>
        <v>-36635.9</v>
      </c>
      <c r="AA24" s="228">
        <f t="shared" si="16"/>
        <v>0</v>
      </c>
      <c r="AB24" s="228">
        <f t="shared" si="17"/>
        <v>-36635.9</v>
      </c>
      <c r="AC24" s="247">
        <f t="shared" si="18"/>
        <v>-36635.9</v>
      </c>
      <c r="AD24" s="248">
        <f t="shared" si="19"/>
        <v>0</v>
      </c>
    </row>
    <row r="25" spans="1:30" x14ac:dyDescent="0.2">
      <c r="A25" s="47" t="s">
        <v>116</v>
      </c>
      <c r="D25" s="9">
        <v>-229099.86</v>
      </c>
      <c r="E25" s="9"/>
      <c r="F25" s="9"/>
      <c r="G25" s="254">
        <f t="array" ref="G25">SUM(('Отчет по покупателям УТ'!$H$6:$H$5000='Adjusted Ageing by Customer'!G$8)*('Отчет по покупателям УТ'!$M$6:$M$5000='Adjusted Ageing by Customer'!$A25)*('Отчет по покупателям УТ'!$K$6:$K$5000))</f>
        <v>0</v>
      </c>
      <c r="H25" s="254">
        <f t="array" ref="H25">SUM(('Отчет по покупателям УТ'!$H$6:$H$5000='Adjusted Ageing by Customer'!H$8)*('Отчет по покупателям УТ'!$M$6:$M$5000='Adjusted Ageing by Customer'!$A25)*('Отчет по покупателям УТ'!$K$6:$K$5000))</f>
        <v>0</v>
      </c>
      <c r="I25" s="254">
        <f t="array" ref="I25">SUM(('Отчет по покупателям УТ'!$H$6:$H$5000='Adjusted Ageing by Customer'!I$8)*('Отчет по покупателям УТ'!$M$6:$M$5000='Adjusted Ageing by Customer'!$A25)*('Отчет по покупателям УТ'!$K$6:$K$5000))</f>
        <v>0</v>
      </c>
      <c r="J25" s="254">
        <f t="array" ref="J25">SUM(('Отчет по покупателям УТ'!$H$6:$H$5000='Adjusted Ageing by Customer'!J$8)*('Отчет по покупателям УТ'!$M$6:$M$5000='Adjusted Ageing by Customer'!$A25)*('Отчет по покупателям УТ'!$K$6:$K$5000))</f>
        <v>0</v>
      </c>
      <c r="K25" s="254">
        <f t="array" ref="K25">SUM(('Отчет по покупателям УТ'!$H$6:$H$5000='Adjusted Ageing by Customer'!K$8)*('Отчет по покупателям УТ'!$M$6:$M$5000='Adjusted Ageing by Customer'!$A25)*('Отчет по покупателям УТ'!$K$6:$K$5000))</f>
        <v>0</v>
      </c>
      <c r="L25" s="254">
        <f t="array" ref="L25">SUM(('Отчет по покупателям УТ'!$H$6:$H$5000='Adjusted Ageing by Customer'!L$8)*('Отчет по покупателям УТ'!$M$6:$M$5000='Adjusted Ageing by Customer'!$A25)*('Отчет по покупателям УТ'!$K$6:$K$5000))</f>
        <v>-229099.86</v>
      </c>
      <c r="M25" s="247">
        <f t="shared" si="6"/>
        <v>-229099.86</v>
      </c>
      <c r="R25" s="9" t="b">
        <f t="shared" si="11"/>
        <v>1</v>
      </c>
      <c r="S25" s="228">
        <f t="shared" si="12"/>
        <v>0</v>
      </c>
      <c r="T25" s="31">
        <f t="shared" si="13"/>
        <v>-229099.86</v>
      </c>
      <c r="U25" s="228">
        <f t="shared" si="14"/>
        <v>0</v>
      </c>
      <c r="V25" s="31">
        <f t="shared" si="15"/>
        <v>-229099.86</v>
      </c>
      <c r="W25" s="228">
        <f t="shared" si="7"/>
        <v>0</v>
      </c>
      <c r="X25" s="31">
        <f t="shared" si="8"/>
        <v>-229099.86</v>
      </c>
      <c r="Y25" s="228">
        <f t="shared" si="9"/>
        <v>0</v>
      </c>
      <c r="Z25" s="31">
        <f t="shared" si="10"/>
        <v>-229099.86</v>
      </c>
      <c r="AA25" s="228">
        <f t="shared" si="16"/>
        <v>0</v>
      </c>
      <c r="AB25" s="228">
        <f t="shared" si="17"/>
        <v>-229099.86</v>
      </c>
      <c r="AC25" s="247">
        <f t="shared" si="18"/>
        <v>-229099.86</v>
      </c>
      <c r="AD25" s="248">
        <f t="shared" si="19"/>
        <v>0</v>
      </c>
    </row>
    <row r="26" spans="1:30" x14ac:dyDescent="0.2">
      <c r="A26" s="47" t="s">
        <v>117</v>
      </c>
      <c r="D26" s="9">
        <v>-1759.12</v>
      </c>
      <c r="E26" s="9"/>
      <c r="F26" s="9"/>
      <c r="G26" s="254">
        <f t="array" ref="G26">SUM(('Отчет по покупателям УТ'!$H$6:$H$5000='Adjusted Ageing by Customer'!G$8)*('Отчет по покупателям УТ'!$M$6:$M$5000='Adjusted Ageing by Customer'!$A26)*('Отчет по покупателям УТ'!$K$6:$K$5000))</f>
        <v>0</v>
      </c>
      <c r="H26" s="254">
        <f t="array" ref="H26">SUM(('Отчет по покупателям УТ'!$H$6:$H$5000='Adjusted Ageing by Customer'!H$8)*('Отчет по покупателям УТ'!$M$6:$M$5000='Adjusted Ageing by Customer'!$A26)*('Отчет по покупателям УТ'!$K$6:$K$5000))</f>
        <v>0</v>
      </c>
      <c r="I26" s="254">
        <f t="array" ref="I26">SUM(('Отчет по покупателям УТ'!$H$6:$H$5000='Adjusted Ageing by Customer'!I$8)*('Отчет по покупателям УТ'!$M$6:$M$5000='Adjusted Ageing by Customer'!$A26)*('Отчет по покупателям УТ'!$K$6:$K$5000))</f>
        <v>0</v>
      </c>
      <c r="J26" s="254">
        <f t="array" ref="J26">SUM(('Отчет по покупателям УТ'!$H$6:$H$5000='Adjusted Ageing by Customer'!J$8)*('Отчет по покупателям УТ'!$M$6:$M$5000='Adjusted Ageing by Customer'!$A26)*('Отчет по покупателям УТ'!$K$6:$K$5000))</f>
        <v>0</v>
      </c>
      <c r="K26" s="254">
        <f t="array" ref="K26">SUM(('Отчет по покупателям УТ'!$H$6:$H$5000='Adjusted Ageing by Customer'!K$8)*('Отчет по покупателям УТ'!$M$6:$M$5000='Adjusted Ageing by Customer'!$A26)*('Отчет по покупателям УТ'!$K$6:$K$5000))</f>
        <v>0</v>
      </c>
      <c r="L26" s="254">
        <f t="array" ref="L26">SUM(('Отчет по покупателям УТ'!$H$6:$H$5000='Adjusted Ageing by Customer'!L$8)*('Отчет по покупателям УТ'!$M$6:$M$5000='Adjusted Ageing by Customer'!$A26)*('Отчет по покупателям УТ'!$K$6:$K$5000))</f>
        <v>-1759.12</v>
      </c>
      <c r="M26" s="247">
        <f t="shared" si="6"/>
        <v>-1759.12</v>
      </c>
      <c r="R26" s="9" t="b">
        <f t="shared" si="11"/>
        <v>1</v>
      </c>
      <c r="S26" s="228">
        <f t="shared" si="12"/>
        <v>0</v>
      </c>
      <c r="T26" s="31">
        <f t="shared" si="13"/>
        <v>-1759.12</v>
      </c>
      <c r="U26" s="228">
        <f t="shared" si="14"/>
        <v>0</v>
      </c>
      <c r="V26" s="31">
        <f t="shared" si="15"/>
        <v>-1759.12</v>
      </c>
      <c r="W26" s="228">
        <f t="shared" si="7"/>
        <v>0</v>
      </c>
      <c r="X26" s="31">
        <f t="shared" si="8"/>
        <v>-1759.12</v>
      </c>
      <c r="Y26" s="228">
        <f t="shared" si="9"/>
        <v>0</v>
      </c>
      <c r="Z26" s="31">
        <f t="shared" si="10"/>
        <v>-1759.12</v>
      </c>
      <c r="AA26" s="228">
        <f t="shared" si="16"/>
        <v>0</v>
      </c>
      <c r="AB26" s="228">
        <f t="shared" si="17"/>
        <v>-1759.12</v>
      </c>
      <c r="AC26" s="247">
        <f t="shared" si="18"/>
        <v>-1759.12</v>
      </c>
      <c r="AD26" s="248">
        <f t="shared" si="19"/>
        <v>0</v>
      </c>
    </row>
    <row r="27" spans="1:30" x14ac:dyDescent="0.2">
      <c r="A27" s="47" t="s">
        <v>119</v>
      </c>
      <c r="D27" s="9">
        <v>-50473</v>
      </c>
      <c r="E27" s="9"/>
      <c r="F27" s="9"/>
      <c r="G27" s="254">
        <f t="array" ref="G27">SUM(('Отчет по покупателям УТ'!$H$6:$H$5000='Adjusted Ageing by Customer'!G$8)*('Отчет по покупателям УТ'!$M$6:$M$5000='Adjusted Ageing by Customer'!$A27)*('Отчет по покупателям УТ'!$K$6:$K$5000))</f>
        <v>0</v>
      </c>
      <c r="H27" s="254">
        <f t="array" ref="H27">SUM(('Отчет по покупателям УТ'!$H$6:$H$5000='Adjusted Ageing by Customer'!H$8)*('Отчет по покупателям УТ'!$M$6:$M$5000='Adjusted Ageing by Customer'!$A27)*('Отчет по покупателям УТ'!$K$6:$K$5000))</f>
        <v>0</v>
      </c>
      <c r="I27" s="254">
        <f t="array" ref="I27">SUM(('Отчет по покупателям УТ'!$H$6:$H$5000='Adjusted Ageing by Customer'!I$8)*('Отчет по покупателям УТ'!$M$6:$M$5000='Adjusted Ageing by Customer'!$A27)*('Отчет по покупателям УТ'!$K$6:$K$5000))</f>
        <v>0</v>
      </c>
      <c r="J27" s="254">
        <f t="array" ref="J27">SUM(('Отчет по покупателям УТ'!$H$6:$H$5000='Adjusted Ageing by Customer'!J$8)*('Отчет по покупателям УТ'!$M$6:$M$5000='Adjusted Ageing by Customer'!$A27)*('Отчет по покупателям УТ'!$K$6:$K$5000))</f>
        <v>0</v>
      </c>
      <c r="K27" s="254">
        <f t="array" ref="K27">SUM(('Отчет по покупателям УТ'!$H$6:$H$5000='Adjusted Ageing by Customer'!K$8)*('Отчет по покупателям УТ'!$M$6:$M$5000='Adjusted Ageing by Customer'!$A27)*('Отчет по покупателям УТ'!$K$6:$K$5000))</f>
        <v>0</v>
      </c>
      <c r="L27" s="254">
        <f t="array" ref="L27">SUM(('Отчет по покупателям УТ'!$H$6:$H$5000='Adjusted Ageing by Customer'!L$8)*('Отчет по покупателям УТ'!$M$6:$M$5000='Adjusted Ageing by Customer'!$A27)*('Отчет по покупателям УТ'!$K$6:$K$5000))</f>
        <v>-50473</v>
      </c>
      <c r="M27" s="247">
        <f t="shared" si="6"/>
        <v>-50473</v>
      </c>
      <c r="R27" s="9" t="b">
        <f t="shared" si="11"/>
        <v>1</v>
      </c>
      <c r="S27" s="228">
        <f t="shared" si="12"/>
        <v>0</v>
      </c>
      <c r="T27" s="31">
        <f t="shared" si="13"/>
        <v>-50473</v>
      </c>
      <c r="U27" s="228">
        <f t="shared" si="14"/>
        <v>0</v>
      </c>
      <c r="V27" s="31">
        <f t="shared" si="15"/>
        <v>-50473</v>
      </c>
      <c r="W27" s="228">
        <f t="shared" si="7"/>
        <v>0</v>
      </c>
      <c r="X27" s="31">
        <f t="shared" si="8"/>
        <v>-50473</v>
      </c>
      <c r="Y27" s="228">
        <f t="shared" si="9"/>
        <v>0</v>
      </c>
      <c r="Z27" s="31">
        <f t="shared" si="10"/>
        <v>-50473</v>
      </c>
      <c r="AA27" s="228">
        <f t="shared" si="16"/>
        <v>0</v>
      </c>
      <c r="AB27" s="228">
        <f t="shared" si="17"/>
        <v>-50473</v>
      </c>
      <c r="AC27" s="247">
        <f t="shared" si="18"/>
        <v>-50473</v>
      </c>
      <c r="AD27" s="248">
        <f t="shared" si="19"/>
        <v>0</v>
      </c>
    </row>
    <row r="28" spans="1:30" x14ac:dyDescent="0.2">
      <c r="A28" s="47" t="s">
        <v>120</v>
      </c>
      <c r="D28" s="9">
        <v>-82254</v>
      </c>
      <c r="E28" s="9"/>
      <c r="F28" s="9"/>
      <c r="G28" s="254">
        <f t="array" ref="G28">SUM(('Отчет по покупателям УТ'!$H$6:$H$5000='Adjusted Ageing by Customer'!G$8)*('Отчет по покупателям УТ'!$M$6:$M$5000='Adjusted Ageing by Customer'!$A28)*('Отчет по покупателям УТ'!$K$6:$K$5000))</f>
        <v>0</v>
      </c>
      <c r="H28" s="254">
        <f t="array" ref="H28">SUM(('Отчет по покупателям УТ'!$H$6:$H$5000='Adjusted Ageing by Customer'!H$8)*('Отчет по покупателям УТ'!$M$6:$M$5000='Adjusted Ageing by Customer'!$A28)*('Отчет по покупателям УТ'!$K$6:$K$5000))</f>
        <v>0</v>
      </c>
      <c r="I28" s="254">
        <f t="array" ref="I28">SUM(('Отчет по покупателям УТ'!$H$6:$H$5000='Adjusted Ageing by Customer'!I$8)*('Отчет по покупателям УТ'!$M$6:$M$5000='Adjusted Ageing by Customer'!$A28)*('Отчет по покупателям УТ'!$K$6:$K$5000))</f>
        <v>0</v>
      </c>
      <c r="J28" s="254">
        <f t="array" ref="J28">SUM(('Отчет по покупателям УТ'!$H$6:$H$5000='Adjusted Ageing by Customer'!J$8)*('Отчет по покупателям УТ'!$M$6:$M$5000='Adjusted Ageing by Customer'!$A28)*('Отчет по покупателям УТ'!$K$6:$K$5000))</f>
        <v>0</v>
      </c>
      <c r="K28" s="254">
        <f t="array" ref="K28">SUM(('Отчет по покупателям УТ'!$H$6:$H$5000='Adjusted Ageing by Customer'!K$8)*('Отчет по покупателям УТ'!$M$6:$M$5000='Adjusted Ageing by Customer'!$A28)*('Отчет по покупателям УТ'!$K$6:$K$5000))</f>
        <v>0</v>
      </c>
      <c r="L28" s="254">
        <f t="array" ref="L28">SUM(('Отчет по покупателям УТ'!$H$6:$H$5000='Adjusted Ageing by Customer'!L$8)*('Отчет по покупателям УТ'!$M$6:$M$5000='Adjusted Ageing by Customer'!$A28)*('Отчет по покупателям УТ'!$K$6:$K$5000))</f>
        <v>-82254</v>
      </c>
      <c r="M28" s="247">
        <f t="shared" si="6"/>
        <v>-82254</v>
      </c>
      <c r="R28" s="9" t="b">
        <f t="shared" si="11"/>
        <v>1</v>
      </c>
      <c r="S28" s="228">
        <f t="shared" si="12"/>
        <v>0</v>
      </c>
      <c r="T28" s="31">
        <f t="shared" si="13"/>
        <v>-82254</v>
      </c>
      <c r="U28" s="228">
        <f t="shared" si="14"/>
        <v>0</v>
      </c>
      <c r="V28" s="31">
        <f t="shared" si="15"/>
        <v>-82254</v>
      </c>
      <c r="W28" s="228">
        <f t="shared" si="7"/>
        <v>0</v>
      </c>
      <c r="X28" s="31">
        <f t="shared" si="8"/>
        <v>-82254</v>
      </c>
      <c r="Y28" s="228">
        <f t="shared" si="9"/>
        <v>0</v>
      </c>
      <c r="Z28" s="31">
        <f t="shared" si="10"/>
        <v>-82254</v>
      </c>
      <c r="AA28" s="228">
        <f t="shared" si="16"/>
        <v>0</v>
      </c>
      <c r="AB28" s="228">
        <f t="shared" si="17"/>
        <v>-82254</v>
      </c>
      <c r="AC28" s="247">
        <f t="shared" si="18"/>
        <v>-82254</v>
      </c>
      <c r="AD28" s="248">
        <f t="shared" si="19"/>
        <v>0</v>
      </c>
    </row>
    <row r="29" spans="1:30" x14ac:dyDescent="0.2">
      <c r="A29" s="47" t="s">
        <v>121</v>
      </c>
      <c r="D29" s="9">
        <v>-57290.6</v>
      </c>
      <c r="E29" s="9"/>
      <c r="F29" s="9"/>
      <c r="G29" s="254">
        <f t="array" ref="G29">SUM(('Отчет по покупателям УТ'!$H$6:$H$5000='Adjusted Ageing by Customer'!G$8)*('Отчет по покупателям УТ'!$M$6:$M$5000='Adjusted Ageing by Customer'!$A29)*('Отчет по покупателям УТ'!$K$6:$K$5000))</f>
        <v>0</v>
      </c>
      <c r="H29" s="254">
        <f t="array" ref="H29">SUM(('Отчет по покупателям УТ'!$H$6:$H$5000='Adjusted Ageing by Customer'!H$8)*('Отчет по покупателям УТ'!$M$6:$M$5000='Adjusted Ageing by Customer'!$A29)*('Отчет по покупателям УТ'!$K$6:$K$5000))</f>
        <v>0</v>
      </c>
      <c r="I29" s="254">
        <f t="array" ref="I29">SUM(('Отчет по покупателям УТ'!$H$6:$H$5000='Adjusted Ageing by Customer'!I$8)*('Отчет по покупателям УТ'!$M$6:$M$5000='Adjusted Ageing by Customer'!$A29)*('Отчет по покупателям УТ'!$K$6:$K$5000))</f>
        <v>0</v>
      </c>
      <c r="J29" s="254">
        <f t="array" ref="J29">SUM(('Отчет по покупателям УТ'!$H$6:$H$5000='Adjusted Ageing by Customer'!J$8)*('Отчет по покупателям УТ'!$M$6:$M$5000='Adjusted Ageing by Customer'!$A29)*('Отчет по покупателям УТ'!$K$6:$K$5000))</f>
        <v>0</v>
      </c>
      <c r="K29" s="254">
        <f t="array" ref="K29">SUM(('Отчет по покупателям УТ'!$H$6:$H$5000='Adjusted Ageing by Customer'!K$8)*('Отчет по покупателям УТ'!$M$6:$M$5000='Adjusted Ageing by Customer'!$A29)*('Отчет по покупателям УТ'!$K$6:$K$5000))</f>
        <v>0</v>
      </c>
      <c r="L29" s="254">
        <f t="array" ref="L29">SUM(('Отчет по покупателям УТ'!$H$6:$H$5000='Adjusted Ageing by Customer'!L$8)*('Отчет по покупателям УТ'!$M$6:$M$5000='Adjusted Ageing by Customer'!$A29)*('Отчет по покупателям УТ'!$K$6:$K$5000))</f>
        <v>-57290.6</v>
      </c>
      <c r="M29" s="247">
        <f t="shared" si="6"/>
        <v>-57290.6</v>
      </c>
      <c r="R29" s="9" t="b">
        <f t="shared" si="11"/>
        <v>1</v>
      </c>
      <c r="S29" s="228">
        <f t="shared" si="12"/>
        <v>0</v>
      </c>
      <c r="T29" s="31">
        <f t="shared" si="13"/>
        <v>-57290.6</v>
      </c>
      <c r="U29" s="228">
        <f t="shared" si="14"/>
        <v>0</v>
      </c>
      <c r="V29" s="31">
        <f t="shared" si="15"/>
        <v>-57290.6</v>
      </c>
      <c r="W29" s="228">
        <f t="shared" si="7"/>
        <v>0</v>
      </c>
      <c r="X29" s="31">
        <f t="shared" si="8"/>
        <v>-57290.6</v>
      </c>
      <c r="Y29" s="228">
        <f t="shared" si="9"/>
        <v>0</v>
      </c>
      <c r="Z29" s="31">
        <f t="shared" si="10"/>
        <v>-57290.6</v>
      </c>
      <c r="AA29" s="228">
        <f t="shared" si="16"/>
        <v>0</v>
      </c>
      <c r="AB29" s="228">
        <f t="shared" si="17"/>
        <v>-57290.6</v>
      </c>
      <c r="AC29" s="247">
        <f t="shared" si="18"/>
        <v>-57290.6</v>
      </c>
      <c r="AD29" s="248">
        <f t="shared" si="19"/>
        <v>0</v>
      </c>
    </row>
    <row r="30" spans="1:30" x14ac:dyDescent="0.2">
      <c r="A30" s="47" t="s">
        <v>125</v>
      </c>
      <c r="D30" s="9">
        <v>-1618908.33</v>
      </c>
      <c r="E30" s="9"/>
      <c r="F30" s="9"/>
      <c r="G30" s="254">
        <f t="array" ref="G30">SUM(('Отчет по покупателям УТ'!$H$6:$H$5000='Adjusted Ageing by Customer'!G$8)*('Отчет по покупателям УТ'!$M$6:$M$5000='Adjusted Ageing by Customer'!$A30)*('Отчет по покупателям УТ'!$K$6:$K$5000))</f>
        <v>0</v>
      </c>
      <c r="H30" s="254">
        <f t="array" ref="H30">SUM(('Отчет по покупателям УТ'!$H$6:$H$5000='Adjusted Ageing by Customer'!H$8)*('Отчет по покупателям УТ'!$M$6:$M$5000='Adjusted Ageing by Customer'!$A30)*('Отчет по покупателям УТ'!$K$6:$K$5000))</f>
        <v>0</v>
      </c>
      <c r="I30" s="254">
        <f t="array" ref="I30">SUM(('Отчет по покупателям УТ'!$H$6:$H$5000='Adjusted Ageing by Customer'!I$8)*('Отчет по покупателям УТ'!$M$6:$M$5000='Adjusted Ageing by Customer'!$A30)*('Отчет по покупателям УТ'!$K$6:$K$5000))</f>
        <v>0</v>
      </c>
      <c r="J30" s="254">
        <f t="array" ref="J30">SUM(('Отчет по покупателям УТ'!$H$6:$H$5000='Adjusted Ageing by Customer'!J$8)*('Отчет по покупателям УТ'!$M$6:$M$5000='Adjusted Ageing by Customer'!$A30)*('Отчет по покупателям УТ'!$K$6:$K$5000))</f>
        <v>0</v>
      </c>
      <c r="K30" s="254">
        <f t="array" ref="K30">SUM(('Отчет по покупателям УТ'!$H$6:$H$5000='Adjusted Ageing by Customer'!K$8)*('Отчет по покупателям УТ'!$M$6:$M$5000='Adjusted Ageing by Customer'!$A30)*('Отчет по покупателям УТ'!$K$6:$K$5000))</f>
        <v>0</v>
      </c>
      <c r="L30" s="254">
        <f t="array" ref="L30">SUM(('Отчет по покупателям УТ'!$H$6:$H$5000='Adjusted Ageing by Customer'!L$8)*('Отчет по покупателям УТ'!$M$6:$M$5000='Adjusted Ageing by Customer'!$A30)*('Отчет по покупателям УТ'!$K$6:$K$5000))</f>
        <v>-1618908.33</v>
      </c>
      <c r="M30" s="247">
        <f t="shared" si="6"/>
        <v>-1618908.33</v>
      </c>
      <c r="R30" s="9" t="b">
        <f t="shared" si="11"/>
        <v>1</v>
      </c>
      <c r="S30" s="228">
        <f t="shared" si="12"/>
        <v>0</v>
      </c>
      <c r="T30" s="31">
        <f t="shared" si="13"/>
        <v>-1618908.33</v>
      </c>
      <c r="U30" s="228">
        <f t="shared" si="14"/>
        <v>0</v>
      </c>
      <c r="V30" s="31">
        <f t="shared" si="15"/>
        <v>-1618908.33</v>
      </c>
      <c r="W30" s="228">
        <f t="shared" si="7"/>
        <v>0</v>
      </c>
      <c r="X30" s="31">
        <f t="shared" si="8"/>
        <v>-1618908.33</v>
      </c>
      <c r="Y30" s="228">
        <f t="shared" si="9"/>
        <v>0</v>
      </c>
      <c r="Z30" s="31">
        <f t="shared" si="10"/>
        <v>-1618908.33</v>
      </c>
      <c r="AA30" s="228">
        <f t="shared" si="16"/>
        <v>0</v>
      </c>
      <c r="AB30" s="228">
        <f t="shared" si="17"/>
        <v>-1618908.33</v>
      </c>
      <c r="AC30" s="247">
        <f t="shared" si="18"/>
        <v>-1618908.33</v>
      </c>
      <c r="AD30" s="248">
        <f t="shared" si="19"/>
        <v>0</v>
      </c>
    </row>
    <row r="31" spans="1:30" x14ac:dyDescent="0.2">
      <c r="A31" s="47" t="s">
        <v>127</v>
      </c>
      <c r="D31" s="9">
        <v>-7199.46</v>
      </c>
      <c r="E31" s="9"/>
      <c r="F31" s="9"/>
      <c r="G31" s="254">
        <f t="array" ref="G31">SUM(('Отчет по покупателям УТ'!$H$6:$H$5000='Adjusted Ageing by Customer'!G$8)*('Отчет по покупателям УТ'!$M$6:$M$5000='Adjusted Ageing by Customer'!$A31)*('Отчет по покупателям УТ'!$K$6:$K$5000))</f>
        <v>0</v>
      </c>
      <c r="H31" s="254">
        <f t="array" ref="H31">SUM(('Отчет по покупателям УТ'!$H$6:$H$5000='Adjusted Ageing by Customer'!H$8)*('Отчет по покупателям УТ'!$M$6:$M$5000='Adjusted Ageing by Customer'!$A31)*('Отчет по покупателям УТ'!$K$6:$K$5000))</f>
        <v>0</v>
      </c>
      <c r="I31" s="254">
        <f t="array" ref="I31">SUM(('Отчет по покупателям УТ'!$H$6:$H$5000='Adjusted Ageing by Customer'!I$8)*('Отчет по покупателям УТ'!$M$6:$M$5000='Adjusted Ageing by Customer'!$A31)*('Отчет по покупателям УТ'!$K$6:$K$5000))</f>
        <v>0</v>
      </c>
      <c r="J31" s="254">
        <f t="array" ref="J31">SUM(('Отчет по покупателям УТ'!$H$6:$H$5000='Adjusted Ageing by Customer'!J$8)*('Отчет по покупателям УТ'!$M$6:$M$5000='Adjusted Ageing by Customer'!$A31)*('Отчет по покупателям УТ'!$K$6:$K$5000))</f>
        <v>0</v>
      </c>
      <c r="K31" s="254">
        <f t="array" ref="K31">SUM(('Отчет по покупателям УТ'!$H$6:$H$5000='Adjusted Ageing by Customer'!K$8)*('Отчет по покупателям УТ'!$M$6:$M$5000='Adjusted Ageing by Customer'!$A31)*('Отчет по покупателям УТ'!$K$6:$K$5000))</f>
        <v>0</v>
      </c>
      <c r="L31" s="254">
        <f t="array" ref="L31">SUM(('Отчет по покупателям УТ'!$H$6:$H$5000='Adjusted Ageing by Customer'!L$8)*('Отчет по покупателям УТ'!$M$6:$M$5000='Adjusted Ageing by Customer'!$A31)*('Отчет по покупателям УТ'!$K$6:$K$5000))</f>
        <v>-7199.46</v>
      </c>
      <c r="M31" s="247">
        <f t="shared" si="6"/>
        <v>-7199.46</v>
      </c>
      <c r="R31" s="9" t="b">
        <f t="shared" si="11"/>
        <v>1</v>
      </c>
      <c r="S31" s="228">
        <f t="shared" si="12"/>
        <v>0</v>
      </c>
      <c r="T31" s="31">
        <f t="shared" si="13"/>
        <v>-7199.46</v>
      </c>
      <c r="U31" s="228">
        <f t="shared" si="14"/>
        <v>0</v>
      </c>
      <c r="V31" s="31">
        <f t="shared" si="15"/>
        <v>-7199.46</v>
      </c>
      <c r="W31" s="228">
        <f t="shared" si="7"/>
        <v>0</v>
      </c>
      <c r="X31" s="31">
        <f t="shared" si="8"/>
        <v>-7199.46</v>
      </c>
      <c r="Y31" s="228">
        <f t="shared" si="9"/>
        <v>0</v>
      </c>
      <c r="Z31" s="31">
        <f t="shared" si="10"/>
        <v>-7199.46</v>
      </c>
      <c r="AA31" s="228">
        <f t="shared" si="16"/>
        <v>0</v>
      </c>
      <c r="AB31" s="228">
        <f t="shared" si="17"/>
        <v>-7199.46</v>
      </c>
      <c r="AC31" s="247">
        <f t="shared" si="18"/>
        <v>-7199.46</v>
      </c>
      <c r="AD31" s="248">
        <f t="shared" si="19"/>
        <v>0</v>
      </c>
    </row>
    <row r="32" spans="1:30" x14ac:dyDescent="0.2">
      <c r="A32" s="47" t="s">
        <v>130</v>
      </c>
      <c r="D32" s="9">
        <v>-9548</v>
      </c>
      <c r="E32" s="9"/>
      <c r="F32" s="9"/>
      <c r="G32" s="254">
        <f t="array" ref="G32">SUM(('Отчет по покупателям УТ'!$H$6:$H$5000='Adjusted Ageing by Customer'!G$8)*('Отчет по покупателям УТ'!$M$6:$M$5000='Adjusted Ageing by Customer'!$A32)*('Отчет по покупателям УТ'!$K$6:$K$5000))</f>
        <v>0</v>
      </c>
      <c r="H32" s="254">
        <f t="array" ref="H32">SUM(('Отчет по покупателям УТ'!$H$6:$H$5000='Adjusted Ageing by Customer'!H$8)*('Отчет по покупателям УТ'!$M$6:$M$5000='Adjusted Ageing by Customer'!$A32)*('Отчет по покупателям УТ'!$K$6:$K$5000))</f>
        <v>0</v>
      </c>
      <c r="I32" s="254">
        <f t="array" ref="I32">SUM(('Отчет по покупателям УТ'!$H$6:$H$5000='Adjusted Ageing by Customer'!I$8)*('Отчет по покупателям УТ'!$M$6:$M$5000='Adjusted Ageing by Customer'!$A32)*('Отчет по покупателям УТ'!$K$6:$K$5000))</f>
        <v>0</v>
      </c>
      <c r="J32" s="254">
        <f t="array" ref="J32">SUM(('Отчет по покупателям УТ'!$H$6:$H$5000='Adjusted Ageing by Customer'!J$8)*('Отчет по покупателям УТ'!$M$6:$M$5000='Adjusted Ageing by Customer'!$A32)*('Отчет по покупателям УТ'!$K$6:$K$5000))</f>
        <v>0</v>
      </c>
      <c r="K32" s="254">
        <f t="array" ref="K32">SUM(('Отчет по покупателям УТ'!$H$6:$H$5000='Adjusted Ageing by Customer'!K$8)*('Отчет по покупателям УТ'!$M$6:$M$5000='Adjusted Ageing by Customer'!$A32)*('Отчет по покупателям УТ'!$K$6:$K$5000))</f>
        <v>0</v>
      </c>
      <c r="L32" s="254">
        <f t="array" ref="L32">SUM(('Отчет по покупателям УТ'!$H$6:$H$5000='Adjusted Ageing by Customer'!L$8)*('Отчет по покупателям УТ'!$M$6:$M$5000='Adjusted Ageing by Customer'!$A32)*('Отчет по покупателям УТ'!$K$6:$K$5000))</f>
        <v>-9548</v>
      </c>
      <c r="M32" s="247">
        <f t="shared" si="6"/>
        <v>-9548</v>
      </c>
      <c r="R32" s="9" t="b">
        <f t="shared" si="11"/>
        <v>1</v>
      </c>
      <c r="S32" s="228">
        <f t="shared" si="12"/>
        <v>0</v>
      </c>
      <c r="T32" s="31">
        <f t="shared" si="13"/>
        <v>-9548</v>
      </c>
      <c r="U32" s="228">
        <f t="shared" si="14"/>
        <v>0</v>
      </c>
      <c r="V32" s="31">
        <f t="shared" si="15"/>
        <v>-9548</v>
      </c>
      <c r="W32" s="228">
        <f t="shared" si="7"/>
        <v>0</v>
      </c>
      <c r="X32" s="31">
        <f t="shared" si="8"/>
        <v>-9548</v>
      </c>
      <c r="Y32" s="228">
        <f t="shared" si="9"/>
        <v>0</v>
      </c>
      <c r="Z32" s="31">
        <f t="shared" si="10"/>
        <v>-9548</v>
      </c>
      <c r="AA32" s="228">
        <f t="shared" si="16"/>
        <v>0</v>
      </c>
      <c r="AB32" s="228">
        <f t="shared" si="17"/>
        <v>-9548</v>
      </c>
      <c r="AC32" s="247">
        <f t="shared" si="18"/>
        <v>-9548</v>
      </c>
      <c r="AD32" s="248">
        <f t="shared" si="19"/>
        <v>0</v>
      </c>
    </row>
    <row r="33" spans="1:30" x14ac:dyDescent="0.2">
      <c r="A33" s="47" t="s">
        <v>133</v>
      </c>
      <c r="D33" s="9">
        <v>-255220.18</v>
      </c>
      <c r="E33" s="9"/>
      <c r="F33" s="9"/>
      <c r="G33" s="254">
        <f t="array" ref="G33">SUM(('Отчет по покупателям УТ'!$H$6:$H$5000='Adjusted Ageing by Customer'!G$8)*('Отчет по покупателям УТ'!$M$6:$M$5000='Adjusted Ageing by Customer'!$A33)*('Отчет по покупателям УТ'!$K$6:$K$5000))</f>
        <v>0</v>
      </c>
      <c r="H33" s="254">
        <f t="array" ref="H33">SUM(('Отчет по покупателям УТ'!$H$6:$H$5000='Adjusted Ageing by Customer'!H$8)*('Отчет по покупателям УТ'!$M$6:$M$5000='Adjusted Ageing by Customer'!$A33)*('Отчет по покупателям УТ'!$K$6:$K$5000))</f>
        <v>0</v>
      </c>
      <c r="I33" s="254">
        <f t="array" ref="I33">SUM(('Отчет по покупателям УТ'!$H$6:$H$5000='Adjusted Ageing by Customer'!I$8)*('Отчет по покупателям УТ'!$M$6:$M$5000='Adjusted Ageing by Customer'!$A33)*('Отчет по покупателям УТ'!$K$6:$K$5000))</f>
        <v>0</v>
      </c>
      <c r="J33" s="254">
        <f t="array" ref="J33">SUM(('Отчет по покупателям УТ'!$H$6:$H$5000='Adjusted Ageing by Customer'!J$8)*('Отчет по покупателям УТ'!$M$6:$M$5000='Adjusted Ageing by Customer'!$A33)*('Отчет по покупателям УТ'!$K$6:$K$5000))</f>
        <v>0</v>
      </c>
      <c r="K33" s="254">
        <f t="array" ref="K33">SUM(('Отчет по покупателям УТ'!$H$6:$H$5000='Adjusted Ageing by Customer'!K$8)*('Отчет по покупателям УТ'!$M$6:$M$5000='Adjusted Ageing by Customer'!$A33)*('Отчет по покупателям УТ'!$K$6:$K$5000))</f>
        <v>0</v>
      </c>
      <c r="L33" s="254">
        <f t="array" ref="L33">SUM(('Отчет по покупателям УТ'!$H$6:$H$5000='Adjusted Ageing by Customer'!L$8)*('Отчет по покупателям УТ'!$M$6:$M$5000='Adjusted Ageing by Customer'!$A33)*('Отчет по покупателям УТ'!$K$6:$K$5000))</f>
        <v>-255220.18</v>
      </c>
      <c r="M33" s="247">
        <f t="shared" si="6"/>
        <v>-255220.18</v>
      </c>
      <c r="R33" s="9" t="b">
        <f t="shared" si="11"/>
        <v>1</v>
      </c>
      <c r="S33" s="228">
        <f t="shared" si="12"/>
        <v>0</v>
      </c>
      <c r="T33" s="31">
        <f t="shared" si="13"/>
        <v>-255220.18</v>
      </c>
      <c r="U33" s="228">
        <f t="shared" si="14"/>
        <v>0</v>
      </c>
      <c r="V33" s="31">
        <f t="shared" si="15"/>
        <v>-255220.18</v>
      </c>
      <c r="W33" s="228">
        <f t="shared" si="7"/>
        <v>0</v>
      </c>
      <c r="X33" s="31">
        <f t="shared" si="8"/>
        <v>-255220.18</v>
      </c>
      <c r="Y33" s="228">
        <f t="shared" si="9"/>
        <v>0</v>
      </c>
      <c r="Z33" s="31">
        <f t="shared" si="10"/>
        <v>-255220.18</v>
      </c>
      <c r="AA33" s="228">
        <f t="shared" si="16"/>
        <v>0</v>
      </c>
      <c r="AB33" s="228">
        <f t="shared" si="17"/>
        <v>-255220.18</v>
      </c>
      <c r="AC33" s="247">
        <f t="shared" si="18"/>
        <v>-255220.18</v>
      </c>
      <c r="AD33" s="248">
        <f t="shared" si="19"/>
        <v>0</v>
      </c>
    </row>
    <row r="34" spans="1:30" x14ac:dyDescent="0.2">
      <c r="A34" s="47" t="s">
        <v>134</v>
      </c>
      <c r="D34" s="9">
        <v>-10198</v>
      </c>
      <c r="E34" s="9"/>
      <c r="F34" s="9"/>
      <c r="G34" s="254">
        <f t="array" ref="G34">SUM(('Отчет по покупателям УТ'!$H$6:$H$5000='Adjusted Ageing by Customer'!G$8)*('Отчет по покупателям УТ'!$M$6:$M$5000='Adjusted Ageing by Customer'!$A34)*('Отчет по покупателям УТ'!$K$6:$K$5000))</f>
        <v>0</v>
      </c>
      <c r="H34" s="254">
        <f t="array" ref="H34">SUM(('Отчет по покупателям УТ'!$H$6:$H$5000='Adjusted Ageing by Customer'!H$8)*('Отчет по покупателям УТ'!$M$6:$M$5000='Adjusted Ageing by Customer'!$A34)*('Отчет по покупателям УТ'!$K$6:$K$5000))</f>
        <v>0</v>
      </c>
      <c r="I34" s="254">
        <f t="array" ref="I34">SUM(('Отчет по покупателям УТ'!$H$6:$H$5000='Adjusted Ageing by Customer'!I$8)*('Отчет по покупателям УТ'!$M$6:$M$5000='Adjusted Ageing by Customer'!$A34)*('Отчет по покупателям УТ'!$K$6:$K$5000))</f>
        <v>0</v>
      </c>
      <c r="J34" s="254">
        <f t="array" ref="J34">SUM(('Отчет по покупателям УТ'!$H$6:$H$5000='Adjusted Ageing by Customer'!J$8)*('Отчет по покупателям УТ'!$M$6:$M$5000='Adjusted Ageing by Customer'!$A34)*('Отчет по покупателям УТ'!$K$6:$K$5000))</f>
        <v>0</v>
      </c>
      <c r="K34" s="254">
        <f t="array" ref="K34">SUM(('Отчет по покупателям УТ'!$H$6:$H$5000='Adjusted Ageing by Customer'!K$8)*('Отчет по покупателям УТ'!$M$6:$M$5000='Adjusted Ageing by Customer'!$A34)*('Отчет по покупателям УТ'!$K$6:$K$5000))</f>
        <v>0</v>
      </c>
      <c r="L34" s="254">
        <f t="array" ref="L34">SUM(('Отчет по покупателям УТ'!$H$6:$H$5000='Adjusted Ageing by Customer'!L$8)*('Отчет по покупателям УТ'!$M$6:$M$5000='Adjusted Ageing by Customer'!$A34)*('Отчет по покупателям УТ'!$K$6:$K$5000))</f>
        <v>-10198</v>
      </c>
      <c r="M34" s="247">
        <f t="shared" si="6"/>
        <v>-10198</v>
      </c>
      <c r="R34" s="9" t="b">
        <f t="shared" si="11"/>
        <v>1</v>
      </c>
      <c r="S34" s="228">
        <f t="shared" si="12"/>
        <v>0</v>
      </c>
      <c r="T34" s="31">
        <f t="shared" si="13"/>
        <v>-10198</v>
      </c>
      <c r="U34" s="228">
        <f t="shared" si="14"/>
        <v>0</v>
      </c>
      <c r="V34" s="31">
        <f t="shared" si="15"/>
        <v>-10198</v>
      </c>
      <c r="W34" s="228">
        <f t="shared" si="7"/>
        <v>0</v>
      </c>
      <c r="X34" s="31">
        <f t="shared" si="8"/>
        <v>-10198</v>
      </c>
      <c r="Y34" s="228">
        <f t="shared" si="9"/>
        <v>0</v>
      </c>
      <c r="Z34" s="31">
        <f t="shared" si="10"/>
        <v>-10198</v>
      </c>
      <c r="AA34" s="228">
        <f t="shared" si="16"/>
        <v>0</v>
      </c>
      <c r="AB34" s="228">
        <f t="shared" si="17"/>
        <v>-10198</v>
      </c>
      <c r="AC34" s="247">
        <f t="shared" si="18"/>
        <v>-10198</v>
      </c>
      <c r="AD34" s="248">
        <f t="shared" si="19"/>
        <v>0</v>
      </c>
    </row>
    <row r="35" spans="1:30" x14ac:dyDescent="0.2">
      <c r="A35" t="s">
        <v>135</v>
      </c>
      <c r="D35" s="9">
        <v>-73000</v>
      </c>
      <c r="E35" s="9"/>
      <c r="F35" s="9"/>
      <c r="G35" s="254">
        <f t="array" ref="G35">SUM(('Отчет по покупателям УТ'!$H$6:$H$5000='Adjusted Ageing by Customer'!G$8)*('Отчет по покупателям УТ'!$M$6:$M$5000='Adjusted Ageing by Customer'!$A35)*('Отчет по покупателям УТ'!$K$6:$K$5000))</f>
        <v>0</v>
      </c>
      <c r="H35" s="254">
        <f t="array" ref="H35">SUM(('Отчет по покупателям УТ'!$H$6:$H$5000='Adjusted Ageing by Customer'!H$8)*('Отчет по покупателям УТ'!$M$6:$M$5000='Adjusted Ageing by Customer'!$A35)*('Отчет по покупателям УТ'!$K$6:$K$5000))</f>
        <v>0</v>
      </c>
      <c r="I35" s="254">
        <f t="array" ref="I35">SUM(('Отчет по покупателям УТ'!$H$6:$H$5000='Adjusted Ageing by Customer'!I$8)*('Отчет по покупателям УТ'!$M$6:$M$5000='Adjusted Ageing by Customer'!$A35)*('Отчет по покупателям УТ'!$K$6:$K$5000))</f>
        <v>0</v>
      </c>
      <c r="J35" s="254">
        <f t="array" ref="J35">SUM(('Отчет по покупателям УТ'!$H$6:$H$5000='Adjusted Ageing by Customer'!J$8)*('Отчет по покупателям УТ'!$M$6:$M$5000='Adjusted Ageing by Customer'!$A35)*('Отчет по покупателям УТ'!$K$6:$K$5000))</f>
        <v>0</v>
      </c>
      <c r="K35" s="254">
        <f t="array" ref="K35">SUM(('Отчет по покупателям УТ'!$H$6:$H$5000='Adjusted Ageing by Customer'!K$8)*('Отчет по покупателям УТ'!$M$6:$M$5000='Adjusted Ageing by Customer'!$A35)*('Отчет по покупателям УТ'!$K$6:$K$5000))</f>
        <v>0</v>
      </c>
      <c r="L35" s="254">
        <f t="array" ref="L35">SUM(('Отчет по покупателям УТ'!$H$6:$H$5000='Adjusted Ageing by Customer'!L$8)*('Отчет по покупателям УТ'!$M$6:$M$5000='Adjusted Ageing by Customer'!$A35)*('Отчет по покупателям УТ'!$K$6:$K$5000))</f>
        <v>-73000</v>
      </c>
      <c r="M35" s="247">
        <f t="shared" si="6"/>
        <v>-73000</v>
      </c>
      <c r="R35" s="9" t="b">
        <f t="shared" si="11"/>
        <v>1</v>
      </c>
      <c r="S35" s="228">
        <f t="shared" si="12"/>
        <v>0</v>
      </c>
      <c r="T35" s="31">
        <f t="shared" si="13"/>
        <v>-73000</v>
      </c>
      <c r="U35" s="228">
        <f t="shared" si="14"/>
        <v>0</v>
      </c>
      <c r="V35" s="31">
        <f t="shared" si="15"/>
        <v>-73000</v>
      </c>
      <c r="W35" s="228">
        <f t="shared" si="7"/>
        <v>0</v>
      </c>
      <c r="X35" s="31">
        <f t="shared" si="8"/>
        <v>-73000</v>
      </c>
      <c r="Y35" s="228">
        <f t="shared" si="9"/>
        <v>0</v>
      </c>
      <c r="Z35" s="31">
        <f t="shared" si="10"/>
        <v>-73000</v>
      </c>
      <c r="AA35" s="228">
        <f t="shared" si="16"/>
        <v>0</v>
      </c>
      <c r="AB35" s="228">
        <f t="shared" si="17"/>
        <v>-73000</v>
      </c>
      <c r="AC35" s="247">
        <f t="shared" si="18"/>
        <v>-73000</v>
      </c>
      <c r="AD35" s="248">
        <f t="shared" si="19"/>
        <v>0</v>
      </c>
    </row>
    <row r="36" spans="1:30" x14ac:dyDescent="0.2">
      <c r="A36" s="47" t="s">
        <v>137</v>
      </c>
      <c r="D36" s="9">
        <v>-134160.04999999999</v>
      </c>
      <c r="E36" s="9"/>
      <c r="F36" s="9"/>
      <c r="G36" s="254">
        <f t="array" ref="G36">SUM(('Отчет по покупателям УТ'!$H$6:$H$5000='Adjusted Ageing by Customer'!G$8)*('Отчет по покупателям УТ'!$M$6:$M$5000='Adjusted Ageing by Customer'!$A36)*('Отчет по покупателям УТ'!$K$6:$K$5000))</f>
        <v>0</v>
      </c>
      <c r="H36" s="254">
        <f t="array" ref="H36">SUM(('Отчет по покупателям УТ'!$H$6:$H$5000='Adjusted Ageing by Customer'!H$8)*('Отчет по покупателям УТ'!$M$6:$M$5000='Adjusted Ageing by Customer'!$A36)*('Отчет по покупателям УТ'!$K$6:$K$5000))</f>
        <v>0</v>
      </c>
      <c r="I36" s="254">
        <f t="array" ref="I36">SUM(('Отчет по покупателям УТ'!$H$6:$H$5000='Adjusted Ageing by Customer'!I$8)*('Отчет по покупателям УТ'!$M$6:$M$5000='Adjusted Ageing by Customer'!$A36)*('Отчет по покупателям УТ'!$K$6:$K$5000))</f>
        <v>0</v>
      </c>
      <c r="J36" s="254">
        <f t="array" ref="J36">SUM(('Отчет по покупателям УТ'!$H$6:$H$5000='Adjusted Ageing by Customer'!J$8)*('Отчет по покупателям УТ'!$M$6:$M$5000='Adjusted Ageing by Customer'!$A36)*('Отчет по покупателям УТ'!$K$6:$K$5000))</f>
        <v>0</v>
      </c>
      <c r="K36" s="254">
        <f t="array" ref="K36">SUM(('Отчет по покупателям УТ'!$H$6:$H$5000='Adjusted Ageing by Customer'!K$8)*('Отчет по покупателям УТ'!$M$6:$M$5000='Adjusted Ageing by Customer'!$A36)*('Отчет по покупателям УТ'!$K$6:$K$5000))</f>
        <v>0</v>
      </c>
      <c r="L36" s="254">
        <f t="array" ref="L36">SUM(('Отчет по покупателям УТ'!$H$6:$H$5000='Adjusted Ageing by Customer'!L$8)*('Отчет по покупателям УТ'!$M$6:$M$5000='Adjusted Ageing by Customer'!$A36)*('Отчет по покупателям УТ'!$K$6:$K$5000))</f>
        <v>-134160.04999999999</v>
      </c>
      <c r="M36" s="247">
        <f t="shared" si="6"/>
        <v>-134160.04999999999</v>
      </c>
      <c r="R36" s="9" t="b">
        <f t="shared" si="11"/>
        <v>1</v>
      </c>
      <c r="S36" s="228">
        <f t="shared" si="12"/>
        <v>0</v>
      </c>
      <c r="T36" s="31">
        <f t="shared" si="13"/>
        <v>-134160.04999999999</v>
      </c>
      <c r="U36" s="228">
        <f t="shared" si="14"/>
        <v>0</v>
      </c>
      <c r="V36" s="31">
        <f t="shared" si="15"/>
        <v>-134160.04999999999</v>
      </c>
      <c r="W36" s="228">
        <f t="shared" si="7"/>
        <v>0</v>
      </c>
      <c r="X36" s="31">
        <f t="shared" si="8"/>
        <v>-134160.04999999999</v>
      </c>
      <c r="Y36" s="228">
        <f t="shared" si="9"/>
        <v>0</v>
      </c>
      <c r="Z36" s="31">
        <f t="shared" si="10"/>
        <v>-134160.04999999999</v>
      </c>
      <c r="AA36" s="228">
        <f t="shared" si="16"/>
        <v>0</v>
      </c>
      <c r="AB36" s="228">
        <f t="shared" si="17"/>
        <v>-134160.04999999999</v>
      </c>
      <c r="AC36" s="247">
        <f t="shared" si="18"/>
        <v>-134160.04999999999</v>
      </c>
      <c r="AD36" s="248">
        <f t="shared" si="19"/>
        <v>0</v>
      </c>
    </row>
    <row r="37" spans="1:30" x14ac:dyDescent="0.2">
      <c r="A37" s="47" t="s">
        <v>140</v>
      </c>
      <c r="D37" s="9">
        <v>-625.94000000000005</v>
      </c>
      <c r="E37" s="9"/>
      <c r="F37" s="9"/>
      <c r="G37" s="254">
        <f t="array" ref="G37">SUM(('Отчет по покупателям УТ'!$H$6:$H$5000='Adjusted Ageing by Customer'!G$8)*('Отчет по покупателям УТ'!$M$6:$M$5000='Adjusted Ageing by Customer'!$A37)*('Отчет по покупателям УТ'!$K$6:$K$5000))</f>
        <v>0</v>
      </c>
      <c r="H37" s="254">
        <f t="array" ref="H37">SUM(('Отчет по покупателям УТ'!$H$6:$H$5000='Adjusted Ageing by Customer'!H$8)*('Отчет по покупателям УТ'!$M$6:$M$5000='Adjusted Ageing by Customer'!$A37)*('Отчет по покупателям УТ'!$K$6:$K$5000))</f>
        <v>0</v>
      </c>
      <c r="I37" s="254">
        <f t="array" ref="I37">SUM(('Отчет по покупателям УТ'!$H$6:$H$5000='Adjusted Ageing by Customer'!I$8)*('Отчет по покупателям УТ'!$M$6:$M$5000='Adjusted Ageing by Customer'!$A37)*('Отчет по покупателям УТ'!$K$6:$K$5000))</f>
        <v>0</v>
      </c>
      <c r="J37" s="254">
        <f t="array" ref="J37">SUM(('Отчет по покупателям УТ'!$H$6:$H$5000='Adjusted Ageing by Customer'!J$8)*('Отчет по покупателям УТ'!$M$6:$M$5000='Adjusted Ageing by Customer'!$A37)*('Отчет по покупателям УТ'!$K$6:$K$5000))</f>
        <v>0</v>
      </c>
      <c r="K37" s="254">
        <f t="array" ref="K37">SUM(('Отчет по покупателям УТ'!$H$6:$H$5000='Adjusted Ageing by Customer'!K$8)*('Отчет по покупателям УТ'!$M$6:$M$5000='Adjusted Ageing by Customer'!$A37)*('Отчет по покупателям УТ'!$K$6:$K$5000))</f>
        <v>0</v>
      </c>
      <c r="L37" s="254">
        <f t="array" ref="L37">SUM(('Отчет по покупателям УТ'!$H$6:$H$5000='Adjusted Ageing by Customer'!L$8)*('Отчет по покупателям УТ'!$M$6:$M$5000='Adjusted Ageing by Customer'!$A37)*('Отчет по покупателям УТ'!$K$6:$K$5000))</f>
        <v>-625.94000000000005</v>
      </c>
      <c r="M37" s="247">
        <f t="shared" si="6"/>
        <v>-625.94000000000005</v>
      </c>
      <c r="R37" s="9" t="b">
        <f t="shared" si="11"/>
        <v>1</v>
      </c>
      <c r="S37" s="228">
        <f t="shared" si="12"/>
        <v>0</v>
      </c>
      <c r="T37" s="31">
        <f t="shared" si="13"/>
        <v>-625.94000000000005</v>
      </c>
      <c r="U37" s="228">
        <f t="shared" si="14"/>
        <v>0</v>
      </c>
      <c r="V37" s="31">
        <f t="shared" si="15"/>
        <v>-625.94000000000005</v>
      </c>
      <c r="W37" s="228">
        <f t="shared" si="7"/>
        <v>0</v>
      </c>
      <c r="X37" s="31">
        <f t="shared" si="8"/>
        <v>-625.94000000000005</v>
      </c>
      <c r="Y37" s="228">
        <f t="shared" si="9"/>
        <v>0</v>
      </c>
      <c r="Z37" s="31">
        <f t="shared" si="10"/>
        <v>-625.94000000000005</v>
      </c>
      <c r="AA37" s="228">
        <f t="shared" si="16"/>
        <v>0</v>
      </c>
      <c r="AB37" s="228">
        <f t="shared" si="17"/>
        <v>-625.94000000000005</v>
      </c>
      <c r="AC37" s="247">
        <f t="shared" si="18"/>
        <v>-625.94000000000005</v>
      </c>
      <c r="AD37" s="248">
        <f t="shared" si="19"/>
        <v>0</v>
      </c>
    </row>
    <row r="38" spans="1:30" x14ac:dyDescent="0.2">
      <c r="A38" s="47" t="s">
        <v>142</v>
      </c>
      <c r="D38" s="9">
        <v>-205125.58</v>
      </c>
      <c r="E38" s="9"/>
      <c r="F38" s="9"/>
      <c r="G38" s="254">
        <f t="array" ref="G38">SUM(('Отчет по покупателям УТ'!$H$6:$H$5000='Adjusted Ageing by Customer'!G$8)*('Отчет по покупателям УТ'!$M$6:$M$5000='Adjusted Ageing by Customer'!$A38)*('Отчет по покупателям УТ'!$K$6:$K$5000))</f>
        <v>0</v>
      </c>
      <c r="H38" s="254">
        <f t="array" ref="H38">SUM(('Отчет по покупателям УТ'!$H$6:$H$5000='Adjusted Ageing by Customer'!H$8)*('Отчет по покупателям УТ'!$M$6:$M$5000='Adjusted Ageing by Customer'!$A38)*('Отчет по покупателям УТ'!$K$6:$K$5000))</f>
        <v>0</v>
      </c>
      <c r="I38" s="254">
        <f t="array" ref="I38">SUM(('Отчет по покупателям УТ'!$H$6:$H$5000='Adjusted Ageing by Customer'!I$8)*('Отчет по покупателям УТ'!$M$6:$M$5000='Adjusted Ageing by Customer'!$A38)*('Отчет по покупателям УТ'!$K$6:$K$5000))</f>
        <v>0</v>
      </c>
      <c r="J38" s="254">
        <f t="array" ref="J38">SUM(('Отчет по покупателям УТ'!$H$6:$H$5000='Adjusted Ageing by Customer'!J$8)*('Отчет по покупателям УТ'!$M$6:$M$5000='Adjusted Ageing by Customer'!$A38)*('Отчет по покупателям УТ'!$K$6:$K$5000))</f>
        <v>0</v>
      </c>
      <c r="K38" s="254">
        <f t="array" ref="K38">SUM(('Отчет по покупателям УТ'!$H$6:$H$5000='Adjusted Ageing by Customer'!K$8)*('Отчет по покупателям УТ'!$M$6:$M$5000='Adjusted Ageing by Customer'!$A38)*('Отчет по покупателям УТ'!$K$6:$K$5000))</f>
        <v>0</v>
      </c>
      <c r="L38" s="254">
        <f t="array" ref="L38">SUM(('Отчет по покупателям УТ'!$H$6:$H$5000='Adjusted Ageing by Customer'!L$8)*('Отчет по покупателям УТ'!$M$6:$M$5000='Adjusted Ageing by Customer'!$A38)*('Отчет по покупателям УТ'!$K$6:$K$5000))</f>
        <v>-205125.58</v>
      </c>
      <c r="M38" s="247">
        <f t="shared" si="6"/>
        <v>-205125.58</v>
      </c>
      <c r="R38" s="9" t="b">
        <f t="shared" si="11"/>
        <v>1</v>
      </c>
      <c r="S38" s="228">
        <f t="shared" si="12"/>
        <v>0</v>
      </c>
      <c r="T38" s="31">
        <f t="shared" si="13"/>
        <v>-205125.58</v>
      </c>
      <c r="U38" s="228">
        <f t="shared" si="14"/>
        <v>0</v>
      </c>
      <c r="V38" s="31">
        <f t="shared" si="15"/>
        <v>-205125.58</v>
      </c>
      <c r="W38" s="228">
        <f t="shared" si="7"/>
        <v>0</v>
      </c>
      <c r="X38" s="31">
        <f t="shared" si="8"/>
        <v>-205125.58</v>
      </c>
      <c r="Y38" s="228">
        <f t="shared" si="9"/>
        <v>0</v>
      </c>
      <c r="Z38" s="31">
        <f t="shared" si="10"/>
        <v>-205125.58</v>
      </c>
      <c r="AA38" s="228">
        <f t="shared" si="16"/>
        <v>0</v>
      </c>
      <c r="AB38" s="228">
        <f t="shared" si="17"/>
        <v>-205125.58</v>
      </c>
      <c r="AC38" s="247">
        <f t="shared" si="18"/>
        <v>-205125.58</v>
      </c>
      <c r="AD38" s="248">
        <f t="shared" si="19"/>
        <v>0</v>
      </c>
    </row>
    <row r="39" spans="1:30" x14ac:dyDescent="0.2">
      <c r="A39" s="47" t="s">
        <v>145</v>
      </c>
      <c r="D39" s="9">
        <v>-53</v>
      </c>
      <c r="E39" s="9"/>
      <c r="F39" s="9"/>
      <c r="G39" s="254">
        <f t="array" ref="G39">SUM(('Отчет по покупателям УТ'!$H$6:$H$5000='Adjusted Ageing by Customer'!G$8)*('Отчет по покупателям УТ'!$M$6:$M$5000='Adjusted Ageing by Customer'!$A39)*('Отчет по покупателям УТ'!$K$6:$K$5000))</f>
        <v>0</v>
      </c>
      <c r="H39" s="254">
        <f t="array" ref="H39">SUM(('Отчет по покупателям УТ'!$H$6:$H$5000='Adjusted Ageing by Customer'!H$8)*('Отчет по покупателям УТ'!$M$6:$M$5000='Adjusted Ageing by Customer'!$A39)*('Отчет по покупателям УТ'!$K$6:$K$5000))</f>
        <v>0</v>
      </c>
      <c r="I39" s="254">
        <f t="array" ref="I39">SUM(('Отчет по покупателям УТ'!$H$6:$H$5000='Adjusted Ageing by Customer'!I$8)*('Отчет по покупателям УТ'!$M$6:$M$5000='Adjusted Ageing by Customer'!$A39)*('Отчет по покупателям УТ'!$K$6:$K$5000))</f>
        <v>0</v>
      </c>
      <c r="J39" s="254">
        <f t="array" ref="J39">SUM(('Отчет по покупателям УТ'!$H$6:$H$5000='Adjusted Ageing by Customer'!J$8)*('Отчет по покупателям УТ'!$M$6:$M$5000='Adjusted Ageing by Customer'!$A39)*('Отчет по покупателям УТ'!$K$6:$K$5000))</f>
        <v>0</v>
      </c>
      <c r="K39" s="254">
        <f t="array" ref="K39">SUM(('Отчет по покупателям УТ'!$H$6:$H$5000='Adjusted Ageing by Customer'!K$8)*('Отчет по покупателям УТ'!$M$6:$M$5000='Adjusted Ageing by Customer'!$A39)*('Отчет по покупателям УТ'!$K$6:$K$5000))</f>
        <v>0</v>
      </c>
      <c r="L39" s="254">
        <f t="array" ref="L39">SUM(('Отчет по покупателям УТ'!$H$6:$H$5000='Adjusted Ageing by Customer'!L$8)*('Отчет по покупателям УТ'!$M$6:$M$5000='Adjusted Ageing by Customer'!$A39)*('Отчет по покупателям УТ'!$K$6:$K$5000))</f>
        <v>-53</v>
      </c>
      <c r="M39" s="247">
        <f t="shared" si="6"/>
        <v>-53</v>
      </c>
      <c r="R39" s="9" t="b">
        <f t="shared" si="11"/>
        <v>1</v>
      </c>
      <c r="S39" s="228">
        <f t="shared" si="12"/>
        <v>0</v>
      </c>
      <c r="T39" s="31">
        <f t="shared" si="13"/>
        <v>-53</v>
      </c>
      <c r="U39" s="228">
        <f t="shared" si="14"/>
        <v>0</v>
      </c>
      <c r="V39" s="31">
        <f t="shared" si="15"/>
        <v>-53</v>
      </c>
      <c r="W39" s="228">
        <f t="shared" si="7"/>
        <v>0</v>
      </c>
      <c r="X39" s="31">
        <f t="shared" si="8"/>
        <v>-53</v>
      </c>
      <c r="Y39" s="228">
        <f t="shared" si="9"/>
        <v>0</v>
      </c>
      <c r="Z39" s="31">
        <f t="shared" si="10"/>
        <v>-53</v>
      </c>
      <c r="AA39" s="228">
        <f t="shared" si="16"/>
        <v>0</v>
      </c>
      <c r="AB39" s="228">
        <f t="shared" si="17"/>
        <v>-53</v>
      </c>
      <c r="AC39" s="247">
        <f t="shared" si="18"/>
        <v>-53</v>
      </c>
      <c r="AD39" s="248">
        <f t="shared" si="19"/>
        <v>0</v>
      </c>
    </row>
    <row r="40" spans="1:30" x14ac:dyDescent="0.2">
      <c r="A40" s="47" t="s">
        <v>148</v>
      </c>
      <c r="D40" s="9">
        <v>598252.14999999991</v>
      </c>
      <c r="E40" s="9"/>
      <c r="F40" s="9"/>
      <c r="G40" s="254">
        <f t="array" ref="G40">SUM(('Отчет по покупателям УТ'!$H$6:$H$5000='Adjusted Ageing by Customer'!G$8)*('Отчет по покупателям УТ'!$M$6:$M$5000='Adjusted Ageing by Customer'!$A40)*('Отчет по покупателям УТ'!$K$6:$K$5000))</f>
        <v>940525</v>
      </c>
      <c r="H40" s="254">
        <f t="array" ref="H40">SUM(('Отчет по покупателям УТ'!$H$6:$H$5000='Adjusted Ageing by Customer'!H$8)*('Отчет по покупателям УТ'!$M$6:$M$5000='Adjusted Ageing by Customer'!$A40)*('Отчет по покупателям УТ'!$K$6:$K$5000))</f>
        <v>0</v>
      </c>
      <c r="I40" s="254">
        <f t="array" ref="I40">SUM(('Отчет по покупателям УТ'!$H$6:$H$5000='Adjusted Ageing by Customer'!I$8)*('Отчет по покупателям УТ'!$M$6:$M$5000='Adjusted Ageing by Customer'!$A40)*('Отчет по покупателям УТ'!$K$6:$K$5000))</f>
        <v>0</v>
      </c>
      <c r="J40" s="254">
        <f t="array" ref="J40">SUM(('Отчет по покупателям УТ'!$H$6:$H$5000='Adjusted Ageing by Customer'!J$8)*('Отчет по покупателям УТ'!$M$6:$M$5000='Adjusted Ageing by Customer'!$A40)*('Отчет по покупателям УТ'!$K$6:$K$5000))</f>
        <v>0</v>
      </c>
      <c r="K40" s="254">
        <f t="array" ref="K40">SUM(('Отчет по покупателям УТ'!$H$6:$H$5000='Adjusted Ageing by Customer'!K$8)*('Отчет по покупателям УТ'!$M$6:$M$5000='Adjusted Ageing by Customer'!$A40)*('Отчет по покупателям УТ'!$K$6:$K$5000))</f>
        <v>0</v>
      </c>
      <c r="L40" s="254">
        <f t="array" ref="L40">SUM(('Отчет по покупателям УТ'!$H$6:$H$5000='Adjusted Ageing by Customer'!L$8)*('Отчет по покупателям УТ'!$M$6:$M$5000='Adjusted Ageing by Customer'!$A40)*('Отчет по покупателям УТ'!$K$6:$K$5000))</f>
        <v>-342272.85</v>
      </c>
      <c r="M40" s="247">
        <f t="shared" si="6"/>
        <v>598252.15</v>
      </c>
      <c r="R40" s="9" t="b">
        <f t="shared" si="11"/>
        <v>1</v>
      </c>
      <c r="S40" s="228">
        <f t="shared" si="12"/>
        <v>598252.15</v>
      </c>
      <c r="T40" s="31">
        <f t="shared" si="13"/>
        <v>-342272.85</v>
      </c>
      <c r="U40" s="228">
        <f t="shared" si="14"/>
        <v>0</v>
      </c>
      <c r="V40" s="31">
        <f t="shared" si="15"/>
        <v>-342272.85</v>
      </c>
      <c r="W40" s="228">
        <f t="shared" si="7"/>
        <v>0</v>
      </c>
      <c r="X40" s="31">
        <f t="shared" si="8"/>
        <v>-342272.85</v>
      </c>
      <c r="Y40" s="228">
        <f t="shared" si="9"/>
        <v>0</v>
      </c>
      <c r="Z40" s="31">
        <f t="shared" si="10"/>
        <v>-342272.85</v>
      </c>
      <c r="AA40" s="228">
        <f t="shared" si="16"/>
        <v>0</v>
      </c>
      <c r="AB40" s="228">
        <f t="shared" si="17"/>
        <v>0</v>
      </c>
      <c r="AC40" s="247">
        <f t="shared" si="18"/>
        <v>598252.15</v>
      </c>
      <c r="AD40" s="248">
        <f t="shared" si="19"/>
        <v>598252.15</v>
      </c>
    </row>
    <row r="41" spans="1:30" x14ac:dyDescent="0.2">
      <c r="A41" s="47" t="s">
        <v>149</v>
      </c>
      <c r="D41" s="9">
        <v>-580403.11</v>
      </c>
      <c r="E41" s="9"/>
      <c r="F41" s="9"/>
      <c r="G41" s="254">
        <f t="array" ref="G41">SUM(('Отчет по покупателям УТ'!$H$6:$H$5000='Adjusted Ageing by Customer'!G$8)*('Отчет по покупателям УТ'!$M$6:$M$5000='Adjusted Ageing by Customer'!$A41)*('Отчет по покупателям УТ'!$K$6:$K$5000))</f>
        <v>0</v>
      </c>
      <c r="H41" s="254">
        <f t="array" ref="H41">SUM(('Отчет по покупателям УТ'!$H$6:$H$5000='Adjusted Ageing by Customer'!H$8)*('Отчет по покупателям УТ'!$M$6:$M$5000='Adjusted Ageing by Customer'!$A41)*('Отчет по покупателям УТ'!$K$6:$K$5000))</f>
        <v>0</v>
      </c>
      <c r="I41" s="254">
        <f t="array" ref="I41">SUM(('Отчет по покупателям УТ'!$H$6:$H$5000='Adjusted Ageing by Customer'!I$8)*('Отчет по покупателям УТ'!$M$6:$M$5000='Adjusted Ageing by Customer'!$A41)*('Отчет по покупателям УТ'!$K$6:$K$5000))</f>
        <v>0</v>
      </c>
      <c r="J41" s="254">
        <f t="array" ref="J41">SUM(('Отчет по покупателям УТ'!$H$6:$H$5000='Adjusted Ageing by Customer'!J$8)*('Отчет по покупателям УТ'!$M$6:$M$5000='Adjusted Ageing by Customer'!$A41)*('Отчет по покупателям УТ'!$K$6:$K$5000))</f>
        <v>0</v>
      </c>
      <c r="K41" s="254">
        <f t="array" ref="K41">SUM(('Отчет по покупателям УТ'!$H$6:$H$5000='Adjusted Ageing by Customer'!K$8)*('Отчет по покупателям УТ'!$M$6:$M$5000='Adjusted Ageing by Customer'!$A41)*('Отчет по покупателям УТ'!$K$6:$K$5000))</f>
        <v>0</v>
      </c>
      <c r="L41" s="254">
        <f t="array" ref="L41">SUM(('Отчет по покупателям УТ'!$H$6:$H$5000='Adjusted Ageing by Customer'!L$8)*('Отчет по покупателям УТ'!$M$6:$M$5000='Adjusted Ageing by Customer'!$A41)*('Отчет по покупателям УТ'!$K$6:$K$5000))</f>
        <v>-580403.11</v>
      </c>
      <c r="M41" s="247">
        <f t="shared" si="6"/>
        <v>-580403.11</v>
      </c>
      <c r="R41" s="9" t="b">
        <f t="shared" si="11"/>
        <v>1</v>
      </c>
      <c r="S41" s="228">
        <f t="shared" si="12"/>
        <v>0</v>
      </c>
      <c r="T41" s="31">
        <f t="shared" si="13"/>
        <v>-580403.11</v>
      </c>
      <c r="U41" s="228">
        <f t="shared" si="14"/>
        <v>0</v>
      </c>
      <c r="V41" s="31">
        <f t="shared" si="15"/>
        <v>-580403.11</v>
      </c>
      <c r="W41" s="228">
        <f t="shared" si="7"/>
        <v>0</v>
      </c>
      <c r="X41" s="31">
        <f t="shared" si="8"/>
        <v>-580403.11</v>
      </c>
      <c r="Y41" s="228">
        <f t="shared" si="9"/>
        <v>0</v>
      </c>
      <c r="Z41" s="31">
        <f t="shared" si="10"/>
        <v>-580403.11</v>
      </c>
      <c r="AA41" s="228">
        <f t="shared" si="16"/>
        <v>0</v>
      </c>
      <c r="AB41" s="228">
        <f t="shared" si="17"/>
        <v>-580403.11</v>
      </c>
      <c r="AC41" s="247">
        <f t="shared" si="18"/>
        <v>-580403.11</v>
      </c>
      <c r="AD41" s="248">
        <f t="shared" si="19"/>
        <v>0</v>
      </c>
    </row>
    <row r="42" spans="1:30" x14ac:dyDescent="0.2">
      <c r="A42" s="47" t="s">
        <v>150</v>
      </c>
      <c r="D42" s="9">
        <v>-413.01</v>
      </c>
      <c r="E42" s="9"/>
      <c r="F42" s="9"/>
      <c r="G42" s="254">
        <f t="array" ref="G42">SUM(('Отчет по покупателям УТ'!$H$6:$H$5000='Adjusted Ageing by Customer'!G$8)*('Отчет по покупателям УТ'!$M$6:$M$5000='Adjusted Ageing by Customer'!$A42)*('Отчет по покупателям УТ'!$K$6:$K$5000))</f>
        <v>0</v>
      </c>
      <c r="H42" s="254">
        <f t="array" ref="H42">SUM(('Отчет по покупателям УТ'!$H$6:$H$5000='Adjusted Ageing by Customer'!H$8)*('Отчет по покупателям УТ'!$M$6:$M$5000='Adjusted Ageing by Customer'!$A42)*('Отчет по покупателям УТ'!$K$6:$K$5000))</f>
        <v>0</v>
      </c>
      <c r="I42" s="254">
        <f t="array" ref="I42">SUM(('Отчет по покупателям УТ'!$H$6:$H$5000='Adjusted Ageing by Customer'!I$8)*('Отчет по покупателям УТ'!$M$6:$M$5000='Adjusted Ageing by Customer'!$A42)*('Отчет по покупателям УТ'!$K$6:$K$5000))</f>
        <v>0</v>
      </c>
      <c r="J42" s="254">
        <f t="array" ref="J42">SUM(('Отчет по покупателям УТ'!$H$6:$H$5000='Adjusted Ageing by Customer'!J$8)*('Отчет по покупателям УТ'!$M$6:$M$5000='Adjusted Ageing by Customer'!$A42)*('Отчет по покупателям УТ'!$K$6:$K$5000))</f>
        <v>0</v>
      </c>
      <c r="K42" s="254">
        <f t="array" ref="K42">SUM(('Отчет по покупателям УТ'!$H$6:$H$5000='Adjusted Ageing by Customer'!K$8)*('Отчет по покупателям УТ'!$M$6:$M$5000='Adjusted Ageing by Customer'!$A42)*('Отчет по покупателям УТ'!$K$6:$K$5000))</f>
        <v>0</v>
      </c>
      <c r="L42" s="254">
        <f t="array" ref="L42">SUM(('Отчет по покупателям УТ'!$H$6:$H$5000='Adjusted Ageing by Customer'!L$8)*('Отчет по покупателям УТ'!$M$6:$M$5000='Adjusted Ageing by Customer'!$A42)*('Отчет по покупателям УТ'!$K$6:$K$5000))</f>
        <v>-413.01</v>
      </c>
      <c r="M42" s="247">
        <f t="shared" si="6"/>
        <v>-413.01</v>
      </c>
      <c r="R42" s="9" t="b">
        <f t="shared" si="11"/>
        <v>1</v>
      </c>
      <c r="S42" s="228">
        <f t="shared" si="12"/>
        <v>0</v>
      </c>
      <c r="T42" s="31">
        <f t="shared" si="13"/>
        <v>-413.01</v>
      </c>
      <c r="U42" s="228">
        <f t="shared" si="14"/>
        <v>0</v>
      </c>
      <c r="V42" s="31">
        <f t="shared" si="15"/>
        <v>-413.01</v>
      </c>
      <c r="W42" s="228">
        <f t="shared" si="7"/>
        <v>0</v>
      </c>
      <c r="X42" s="31">
        <f t="shared" si="8"/>
        <v>-413.01</v>
      </c>
      <c r="Y42" s="228">
        <f t="shared" si="9"/>
        <v>0</v>
      </c>
      <c r="Z42" s="31">
        <f t="shared" si="10"/>
        <v>-413.01</v>
      </c>
      <c r="AA42" s="228">
        <f t="shared" si="16"/>
        <v>0</v>
      </c>
      <c r="AB42" s="228">
        <f t="shared" si="17"/>
        <v>-413.01</v>
      </c>
      <c r="AC42" s="247">
        <f t="shared" si="18"/>
        <v>-413.01</v>
      </c>
      <c r="AD42" s="248">
        <f t="shared" si="19"/>
        <v>0</v>
      </c>
    </row>
    <row r="43" spans="1:30" x14ac:dyDescent="0.2">
      <c r="A43" s="47" t="s">
        <v>152</v>
      </c>
      <c r="D43" s="9">
        <v>-241562</v>
      </c>
      <c r="E43" s="9"/>
      <c r="F43" s="9"/>
      <c r="G43" s="254">
        <f t="array" ref="G43">SUM(('Отчет по покупателям УТ'!$H$6:$H$5000='Adjusted Ageing by Customer'!G$8)*('Отчет по покупателям УТ'!$M$6:$M$5000='Adjusted Ageing by Customer'!$A43)*('Отчет по покупателям УТ'!$K$6:$K$5000))</f>
        <v>0</v>
      </c>
      <c r="H43" s="254">
        <f t="array" ref="H43">SUM(('Отчет по покупателям УТ'!$H$6:$H$5000='Adjusted Ageing by Customer'!H$8)*('Отчет по покупателям УТ'!$M$6:$M$5000='Adjusted Ageing by Customer'!$A43)*('Отчет по покупателям УТ'!$K$6:$K$5000))</f>
        <v>0</v>
      </c>
      <c r="I43" s="254">
        <f t="array" ref="I43">SUM(('Отчет по покупателям УТ'!$H$6:$H$5000='Adjusted Ageing by Customer'!I$8)*('Отчет по покупателям УТ'!$M$6:$M$5000='Adjusted Ageing by Customer'!$A43)*('Отчет по покупателям УТ'!$K$6:$K$5000))</f>
        <v>0</v>
      </c>
      <c r="J43" s="254">
        <f t="array" ref="J43">SUM(('Отчет по покупателям УТ'!$H$6:$H$5000='Adjusted Ageing by Customer'!J$8)*('Отчет по покупателям УТ'!$M$6:$M$5000='Adjusted Ageing by Customer'!$A43)*('Отчет по покупателям УТ'!$K$6:$K$5000))</f>
        <v>0</v>
      </c>
      <c r="K43" s="254">
        <f t="array" ref="K43">SUM(('Отчет по покупателям УТ'!$H$6:$H$5000='Adjusted Ageing by Customer'!K$8)*('Отчет по покупателям УТ'!$M$6:$M$5000='Adjusted Ageing by Customer'!$A43)*('Отчет по покупателям УТ'!$K$6:$K$5000))</f>
        <v>0</v>
      </c>
      <c r="L43" s="254">
        <f t="array" ref="L43">SUM(('Отчет по покупателям УТ'!$H$6:$H$5000='Adjusted Ageing by Customer'!L$8)*('Отчет по покупателям УТ'!$M$6:$M$5000='Adjusted Ageing by Customer'!$A43)*('Отчет по покупателям УТ'!$K$6:$K$5000))</f>
        <v>-241562</v>
      </c>
      <c r="M43" s="247">
        <f t="shared" si="6"/>
        <v>-241562</v>
      </c>
      <c r="R43" s="9" t="b">
        <f t="shared" si="11"/>
        <v>1</v>
      </c>
      <c r="S43" s="228">
        <f t="shared" si="12"/>
        <v>0</v>
      </c>
      <c r="T43" s="31">
        <f t="shared" si="13"/>
        <v>-241562</v>
      </c>
      <c r="U43" s="228">
        <f t="shared" si="14"/>
        <v>0</v>
      </c>
      <c r="V43" s="31">
        <f t="shared" si="15"/>
        <v>-241562</v>
      </c>
      <c r="W43" s="228">
        <f t="shared" si="7"/>
        <v>0</v>
      </c>
      <c r="X43" s="31">
        <f t="shared" si="8"/>
        <v>-241562</v>
      </c>
      <c r="Y43" s="228">
        <f t="shared" si="9"/>
        <v>0</v>
      </c>
      <c r="Z43" s="31">
        <f t="shared" si="10"/>
        <v>-241562</v>
      </c>
      <c r="AA43" s="228">
        <f t="shared" si="16"/>
        <v>0</v>
      </c>
      <c r="AB43" s="228">
        <f t="shared" si="17"/>
        <v>-241562</v>
      </c>
      <c r="AC43" s="247">
        <f t="shared" si="18"/>
        <v>-241562</v>
      </c>
      <c r="AD43" s="248">
        <f t="shared" si="19"/>
        <v>0</v>
      </c>
    </row>
    <row r="44" spans="1:30" x14ac:dyDescent="0.2">
      <c r="A44" s="47" t="s">
        <v>154</v>
      </c>
      <c r="D44" s="9">
        <v>-178707.59999999998</v>
      </c>
      <c r="E44" s="9"/>
      <c r="F44" s="9"/>
      <c r="G44" s="254">
        <f t="array" ref="G44">SUM(('Отчет по покупателям УТ'!$H$6:$H$5000='Adjusted Ageing by Customer'!G$8)*('Отчет по покупателям УТ'!$M$6:$M$5000='Adjusted Ageing by Customer'!$A44)*('Отчет по покупателям УТ'!$K$6:$K$5000))</f>
        <v>0</v>
      </c>
      <c r="H44" s="254">
        <f t="array" ref="H44">SUM(('Отчет по покупателям УТ'!$H$6:$H$5000='Adjusted Ageing by Customer'!H$8)*('Отчет по покупателям УТ'!$M$6:$M$5000='Adjusted Ageing by Customer'!$A44)*('Отчет по покупателям УТ'!$K$6:$K$5000))</f>
        <v>0</v>
      </c>
      <c r="I44" s="254">
        <f t="array" ref="I44">SUM(('Отчет по покупателям УТ'!$H$6:$H$5000='Adjusted Ageing by Customer'!I$8)*('Отчет по покупателям УТ'!$M$6:$M$5000='Adjusted Ageing by Customer'!$A44)*('Отчет по покупателям УТ'!$K$6:$K$5000))</f>
        <v>0</v>
      </c>
      <c r="J44" s="254">
        <f t="array" ref="J44">SUM(('Отчет по покупателям УТ'!$H$6:$H$5000='Adjusted Ageing by Customer'!J$8)*('Отчет по покупателям УТ'!$M$6:$M$5000='Adjusted Ageing by Customer'!$A44)*('Отчет по покупателям УТ'!$K$6:$K$5000))</f>
        <v>0</v>
      </c>
      <c r="K44" s="254">
        <f t="array" ref="K44">SUM(('Отчет по покупателям УТ'!$H$6:$H$5000='Adjusted Ageing by Customer'!K$8)*('Отчет по покупателям УТ'!$M$6:$M$5000='Adjusted Ageing by Customer'!$A44)*('Отчет по покупателям УТ'!$K$6:$K$5000))</f>
        <v>0</v>
      </c>
      <c r="L44" s="254">
        <f t="array" ref="L44">SUM(('Отчет по покупателям УТ'!$H$6:$H$5000='Adjusted Ageing by Customer'!L$8)*('Отчет по покупателям УТ'!$M$6:$M$5000='Adjusted Ageing by Customer'!$A44)*('Отчет по покупателям УТ'!$K$6:$K$5000))</f>
        <v>-178707.59999999998</v>
      </c>
      <c r="M44" s="247">
        <f t="shared" si="6"/>
        <v>-178707.59999999998</v>
      </c>
      <c r="R44" s="9" t="b">
        <f t="shared" si="11"/>
        <v>1</v>
      </c>
      <c r="S44" s="228">
        <f t="shared" si="12"/>
        <v>0</v>
      </c>
      <c r="T44" s="31">
        <f t="shared" si="13"/>
        <v>-178707.59999999998</v>
      </c>
      <c r="U44" s="228">
        <f t="shared" si="14"/>
        <v>0</v>
      </c>
      <c r="V44" s="31">
        <f t="shared" si="15"/>
        <v>-178707.59999999998</v>
      </c>
      <c r="W44" s="228">
        <f t="shared" si="7"/>
        <v>0</v>
      </c>
      <c r="X44" s="31">
        <f t="shared" si="8"/>
        <v>-178707.59999999998</v>
      </c>
      <c r="Y44" s="228">
        <f t="shared" si="9"/>
        <v>0</v>
      </c>
      <c r="Z44" s="31">
        <f t="shared" si="10"/>
        <v>-178707.59999999998</v>
      </c>
      <c r="AA44" s="228">
        <f t="shared" si="16"/>
        <v>0</v>
      </c>
      <c r="AB44" s="228">
        <f t="shared" si="17"/>
        <v>-178707.59999999998</v>
      </c>
      <c r="AC44" s="247">
        <f t="shared" si="18"/>
        <v>-178707.59999999998</v>
      </c>
      <c r="AD44" s="248">
        <f t="shared" si="19"/>
        <v>0</v>
      </c>
    </row>
    <row r="45" spans="1:30" x14ac:dyDescent="0.2">
      <c r="A45" s="47" t="s">
        <v>156</v>
      </c>
      <c r="D45" s="9">
        <v>-110330.7</v>
      </c>
      <c r="E45" s="9"/>
      <c r="F45" s="9"/>
      <c r="G45" s="254">
        <f t="array" ref="G45">SUM(('Отчет по покупателям УТ'!$H$6:$H$5000='Adjusted Ageing by Customer'!G$8)*('Отчет по покупателям УТ'!$M$6:$M$5000='Adjusted Ageing by Customer'!$A45)*('Отчет по покупателям УТ'!$K$6:$K$5000))</f>
        <v>0</v>
      </c>
      <c r="H45" s="254">
        <f t="array" ref="H45">SUM(('Отчет по покупателям УТ'!$H$6:$H$5000='Adjusted Ageing by Customer'!H$8)*('Отчет по покупателям УТ'!$M$6:$M$5000='Adjusted Ageing by Customer'!$A45)*('Отчет по покупателям УТ'!$K$6:$K$5000))</f>
        <v>0</v>
      </c>
      <c r="I45" s="254">
        <f t="array" ref="I45">SUM(('Отчет по покупателям УТ'!$H$6:$H$5000='Adjusted Ageing by Customer'!I$8)*('Отчет по покупателям УТ'!$M$6:$M$5000='Adjusted Ageing by Customer'!$A45)*('Отчет по покупателям УТ'!$K$6:$K$5000))</f>
        <v>0</v>
      </c>
      <c r="J45" s="254">
        <f t="array" ref="J45">SUM(('Отчет по покупателям УТ'!$H$6:$H$5000='Adjusted Ageing by Customer'!J$8)*('Отчет по покупателям УТ'!$M$6:$M$5000='Adjusted Ageing by Customer'!$A45)*('Отчет по покупателям УТ'!$K$6:$K$5000))</f>
        <v>0</v>
      </c>
      <c r="K45" s="254">
        <f t="array" ref="K45">SUM(('Отчет по покупателям УТ'!$H$6:$H$5000='Adjusted Ageing by Customer'!K$8)*('Отчет по покупателям УТ'!$M$6:$M$5000='Adjusted Ageing by Customer'!$A45)*('Отчет по покупателям УТ'!$K$6:$K$5000))</f>
        <v>0</v>
      </c>
      <c r="L45" s="254">
        <f t="array" ref="L45">SUM(('Отчет по покупателям УТ'!$H$6:$H$5000='Adjusted Ageing by Customer'!L$8)*('Отчет по покупателям УТ'!$M$6:$M$5000='Adjusted Ageing by Customer'!$A45)*('Отчет по покупателям УТ'!$K$6:$K$5000))</f>
        <v>-110330.7</v>
      </c>
      <c r="M45" s="247">
        <f t="shared" si="6"/>
        <v>-110330.7</v>
      </c>
      <c r="R45" s="9" t="b">
        <f t="shared" si="11"/>
        <v>1</v>
      </c>
      <c r="S45" s="228">
        <f t="shared" si="12"/>
        <v>0</v>
      </c>
      <c r="T45" s="31">
        <f t="shared" si="13"/>
        <v>-110330.7</v>
      </c>
      <c r="U45" s="228">
        <f t="shared" si="14"/>
        <v>0</v>
      </c>
      <c r="V45" s="31">
        <f t="shared" si="15"/>
        <v>-110330.7</v>
      </c>
      <c r="W45" s="228">
        <f t="shared" si="7"/>
        <v>0</v>
      </c>
      <c r="X45" s="31">
        <f t="shared" si="8"/>
        <v>-110330.7</v>
      </c>
      <c r="Y45" s="228">
        <f t="shared" si="9"/>
        <v>0</v>
      </c>
      <c r="Z45" s="31">
        <f t="shared" si="10"/>
        <v>-110330.7</v>
      </c>
      <c r="AA45" s="228">
        <f t="shared" si="16"/>
        <v>0</v>
      </c>
      <c r="AB45" s="228">
        <f t="shared" si="17"/>
        <v>-110330.7</v>
      </c>
      <c r="AC45" s="247">
        <f t="shared" si="18"/>
        <v>-110330.7</v>
      </c>
      <c r="AD45" s="248">
        <f t="shared" si="19"/>
        <v>0</v>
      </c>
    </row>
    <row r="46" spans="1:30" x14ac:dyDescent="0.2">
      <c r="A46" s="47" t="s">
        <v>158</v>
      </c>
      <c r="D46" s="9">
        <v>-245.97</v>
      </c>
      <c r="E46" s="9"/>
      <c r="F46" s="9"/>
      <c r="G46" s="254">
        <f t="array" ref="G46">SUM(('Отчет по покупателям УТ'!$H$6:$H$5000='Adjusted Ageing by Customer'!G$8)*('Отчет по покупателям УТ'!$M$6:$M$5000='Adjusted Ageing by Customer'!$A46)*('Отчет по покупателям УТ'!$K$6:$K$5000))</f>
        <v>0</v>
      </c>
      <c r="H46" s="254">
        <f t="array" ref="H46">SUM(('Отчет по покупателям УТ'!$H$6:$H$5000='Adjusted Ageing by Customer'!H$8)*('Отчет по покупателям УТ'!$M$6:$M$5000='Adjusted Ageing by Customer'!$A46)*('Отчет по покупателям УТ'!$K$6:$K$5000))</f>
        <v>0</v>
      </c>
      <c r="I46" s="254">
        <f t="array" ref="I46">SUM(('Отчет по покупателям УТ'!$H$6:$H$5000='Adjusted Ageing by Customer'!I$8)*('Отчет по покупателям УТ'!$M$6:$M$5000='Adjusted Ageing by Customer'!$A46)*('Отчет по покупателям УТ'!$K$6:$K$5000))</f>
        <v>0</v>
      </c>
      <c r="J46" s="254">
        <f t="array" ref="J46">SUM(('Отчет по покупателям УТ'!$H$6:$H$5000='Adjusted Ageing by Customer'!J$8)*('Отчет по покупателям УТ'!$M$6:$M$5000='Adjusted Ageing by Customer'!$A46)*('Отчет по покупателям УТ'!$K$6:$K$5000))</f>
        <v>0</v>
      </c>
      <c r="K46" s="254">
        <f t="array" ref="K46">SUM(('Отчет по покупателям УТ'!$H$6:$H$5000='Adjusted Ageing by Customer'!K$8)*('Отчет по покупателям УТ'!$M$6:$M$5000='Adjusted Ageing by Customer'!$A46)*('Отчет по покупателям УТ'!$K$6:$K$5000))</f>
        <v>0</v>
      </c>
      <c r="L46" s="254">
        <f t="array" ref="L46">SUM(('Отчет по покупателям УТ'!$H$6:$H$5000='Adjusted Ageing by Customer'!L$8)*('Отчет по покупателям УТ'!$M$6:$M$5000='Adjusted Ageing by Customer'!$A46)*('Отчет по покупателям УТ'!$K$6:$K$5000))</f>
        <v>-245.97</v>
      </c>
      <c r="M46" s="247">
        <f t="shared" si="6"/>
        <v>-245.97</v>
      </c>
      <c r="R46" s="9" t="b">
        <f t="shared" si="11"/>
        <v>1</v>
      </c>
      <c r="S46" s="228">
        <f t="shared" si="12"/>
        <v>0</v>
      </c>
      <c r="T46" s="31">
        <f t="shared" si="13"/>
        <v>-245.97</v>
      </c>
      <c r="U46" s="228">
        <f t="shared" si="14"/>
        <v>0</v>
      </c>
      <c r="V46" s="31">
        <f t="shared" si="15"/>
        <v>-245.97</v>
      </c>
      <c r="W46" s="228">
        <f t="shared" si="7"/>
        <v>0</v>
      </c>
      <c r="X46" s="31">
        <f t="shared" si="8"/>
        <v>-245.97</v>
      </c>
      <c r="Y46" s="228">
        <f t="shared" si="9"/>
        <v>0</v>
      </c>
      <c r="Z46" s="31">
        <f t="shared" si="10"/>
        <v>-245.97</v>
      </c>
      <c r="AA46" s="228">
        <f t="shared" si="16"/>
        <v>0</v>
      </c>
      <c r="AB46" s="228">
        <f t="shared" si="17"/>
        <v>-245.97</v>
      </c>
      <c r="AC46" s="247">
        <f t="shared" si="18"/>
        <v>-245.97</v>
      </c>
      <c r="AD46" s="248">
        <f t="shared" si="19"/>
        <v>0</v>
      </c>
    </row>
    <row r="47" spans="1:30" x14ac:dyDescent="0.2">
      <c r="A47" s="47" t="s">
        <v>164</v>
      </c>
      <c r="D47" s="9">
        <v>-79689.259999999995</v>
      </c>
      <c r="E47" s="9"/>
      <c r="F47" s="9"/>
      <c r="G47" s="254">
        <f t="array" ref="G47">SUM(('Отчет по покупателям УТ'!$H$6:$H$5000='Adjusted Ageing by Customer'!G$8)*('Отчет по покупателям УТ'!$M$6:$M$5000='Adjusted Ageing by Customer'!$A47)*('Отчет по покупателям УТ'!$K$6:$K$5000))</f>
        <v>0</v>
      </c>
      <c r="H47" s="254">
        <f t="array" ref="H47">SUM(('Отчет по покупателям УТ'!$H$6:$H$5000='Adjusted Ageing by Customer'!H$8)*('Отчет по покупателям УТ'!$M$6:$M$5000='Adjusted Ageing by Customer'!$A47)*('Отчет по покупателям УТ'!$K$6:$K$5000))</f>
        <v>0</v>
      </c>
      <c r="I47" s="254">
        <f t="array" ref="I47">SUM(('Отчет по покупателям УТ'!$H$6:$H$5000='Adjusted Ageing by Customer'!I$8)*('Отчет по покупателям УТ'!$M$6:$M$5000='Adjusted Ageing by Customer'!$A47)*('Отчет по покупателям УТ'!$K$6:$K$5000))</f>
        <v>0</v>
      </c>
      <c r="J47" s="254">
        <f t="array" ref="J47">SUM(('Отчет по покупателям УТ'!$H$6:$H$5000='Adjusted Ageing by Customer'!J$8)*('Отчет по покупателям УТ'!$M$6:$M$5000='Adjusted Ageing by Customer'!$A47)*('Отчет по покупателям УТ'!$K$6:$K$5000))</f>
        <v>0</v>
      </c>
      <c r="K47" s="254">
        <f t="array" ref="K47">SUM(('Отчет по покупателям УТ'!$H$6:$H$5000='Adjusted Ageing by Customer'!K$8)*('Отчет по покупателям УТ'!$M$6:$M$5000='Adjusted Ageing by Customer'!$A47)*('Отчет по покупателям УТ'!$K$6:$K$5000))</f>
        <v>0</v>
      </c>
      <c r="L47" s="254">
        <f t="array" ref="L47">SUM(('Отчет по покупателям УТ'!$H$6:$H$5000='Adjusted Ageing by Customer'!L$8)*('Отчет по покупателям УТ'!$M$6:$M$5000='Adjusted Ageing by Customer'!$A47)*('Отчет по покупателям УТ'!$K$6:$K$5000))</f>
        <v>-79689.259999999995</v>
      </c>
      <c r="M47" s="247">
        <f t="shared" si="6"/>
        <v>-79689.259999999995</v>
      </c>
      <c r="R47" s="9" t="b">
        <f t="shared" si="11"/>
        <v>1</v>
      </c>
      <c r="S47" s="228">
        <f t="shared" si="12"/>
        <v>0</v>
      </c>
      <c r="T47" s="31">
        <f t="shared" si="13"/>
        <v>-79689.259999999995</v>
      </c>
      <c r="U47" s="228">
        <f t="shared" si="14"/>
        <v>0</v>
      </c>
      <c r="V47" s="31">
        <f t="shared" si="15"/>
        <v>-79689.259999999995</v>
      </c>
      <c r="W47" s="228">
        <f t="shared" si="7"/>
        <v>0</v>
      </c>
      <c r="X47" s="31">
        <f t="shared" si="8"/>
        <v>-79689.259999999995</v>
      </c>
      <c r="Y47" s="228">
        <f t="shared" si="9"/>
        <v>0</v>
      </c>
      <c r="Z47" s="31">
        <f t="shared" si="10"/>
        <v>-79689.259999999995</v>
      </c>
      <c r="AA47" s="228">
        <f t="shared" si="16"/>
        <v>0</v>
      </c>
      <c r="AB47" s="228">
        <f t="shared" si="17"/>
        <v>-79689.259999999995</v>
      </c>
      <c r="AC47" s="247">
        <f t="shared" si="18"/>
        <v>-79689.259999999995</v>
      </c>
      <c r="AD47" s="248">
        <f t="shared" si="19"/>
        <v>0</v>
      </c>
    </row>
    <row r="48" spans="1:30" x14ac:dyDescent="0.2">
      <c r="A48" s="47" t="s">
        <v>168</v>
      </c>
      <c r="D48" s="9">
        <v>-35353.949999999997</v>
      </c>
      <c r="E48" s="9"/>
      <c r="F48" s="9"/>
      <c r="G48" s="254">
        <f t="array" ref="G48">SUM(('Отчет по покупателям УТ'!$H$6:$H$5000='Adjusted Ageing by Customer'!G$8)*('Отчет по покупателям УТ'!$M$6:$M$5000='Adjusted Ageing by Customer'!$A48)*('Отчет по покупателям УТ'!$K$6:$K$5000))</f>
        <v>0</v>
      </c>
      <c r="H48" s="254">
        <f t="array" ref="H48">SUM(('Отчет по покупателям УТ'!$H$6:$H$5000='Adjusted Ageing by Customer'!H$8)*('Отчет по покупателям УТ'!$M$6:$M$5000='Adjusted Ageing by Customer'!$A48)*('Отчет по покупателям УТ'!$K$6:$K$5000))</f>
        <v>0</v>
      </c>
      <c r="I48" s="254">
        <f t="array" ref="I48">SUM(('Отчет по покупателям УТ'!$H$6:$H$5000='Adjusted Ageing by Customer'!I$8)*('Отчет по покупателям УТ'!$M$6:$M$5000='Adjusted Ageing by Customer'!$A48)*('Отчет по покупателям УТ'!$K$6:$K$5000))</f>
        <v>0</v>
      </c>
      <c r="J48" s="254">
        <f t="array" ref="J48">SUM(('Отчет по покупателям УТ'!$H$6:$H$5000='Adjusted Ageing by Customer'!J$8)*('Отчет по покупателям УТ'!$M$6:$M$5000='Adjusted Ageing by Customer'!$A48)*('Отчет по покупателям УТ'!$K$6:$K$5000))</f>
        <v>0</v>
      </c>
      <c r="K48" s="254">
        <f t="array" ref="K48">SUM(('Отчет по покупателям УТ'!$H$6:$H$5000='Adjusted Ageing by Customer'!K$8)*('Отчет по покупателям УТ'!$M$6:$M$5000='Adjusted Ageing by Customer'!$A48)*('Отчет по покупателям УТ'!$K$6:$K$5000))</f>
        <v>0</v>
      </c>
      <c r="L48" s="254">
        <f t="array" ref="L48">SUM(('Отчет по покупателям УТ'!$H$6:$H$5000='Adjusted Ageing by Customer'!L$8)*('Отчет по покупателям УТ'!$M$6:$M$5000='Adjusted Ageing by Customer'!$A48)*('Отчет по покупателям УТ'!$K$6:$K$5000))</f>
        <v>-35353.949999999997</v>
      </c>
      <c r="M48" s="247">
        <f t="shared" si="6"/>
        <v>-35353.949999999997</v>
      </c>
      <c r="R48" s="9" t="b">
        <f t="shared" si="11"/>
        <v>1</v>
      </c>
      <c r="S48" s="228">
        <f t="shared" si="12"/>
        <v>0</v>
      </c>
      <c r="T48" s="31">
        <f t="shared" si="13"/>
        <v>-35353.949999999997</v>
      </c>
      <c r="U48" s="228">
        <f t="shared" si="14"/>
        <v>0</v>
      </c>
      <c r="V48" s="31">
        <f t="shared" si="15"/>
        <v>-35353.949999999997</v>
      </c>
      <c r="W48" s="228">
        <f t="shared" si="7"/>
        <v>0</v>
      </c>
      <c r="X48" s="31">
        <f t="shared" si="8"/>
        <v>-35353.949999999997</v>
      </c>
      <c r="Y48" s="228">
        <f t="shared" si="9"/>
        <v>0</v>
      </c>
      <c r="Z48" s="31">
        <f t="shared" si="10"/>
        <v>-35353.949999999997</v>
      </c>
      <c r="AA48" s="228">
        <f t="shared" si="16"/>
        <v>0</v>
      </c>
      <c r="AB48" s="228">
        <f t="shared" si="17"/>
        <v>-35353.949999999997</v>
      </c>
      <c r="AC48" s="247">
        <f t="shared" si="18"/>
        <v>-35353.949999999997</v>
      </c>
      <c r="AD48" s="248">
        <f t="shared" si="19"/>
        <v>0</v>
      </c>
    </row>
    <row r="49" spans="1:30" x14ac:dyDescent="0.2">
      <c r="A49" s="47" t="s">
        <v>173</v>
      </c>
      <c r="D49" s="9">
        <v>-57267</v>
      </c>
      <c r="E49" s="9"/>
      <c r="F49" s="9"/>
      <c r="G49" s="254">
        <f t="array" ref="G49">SUM(('Отчет по покупателям УТ'!$H$6:$H$5000='Adjusted Ageing by Customer'!G$8)*('Отчет по покупателям УТ'!$M$6:$M$5000='Adjusted Ageing by Customer'!$A49)*('Отчет по покупателям УТ'!$K$6:$K$5000))</f>
        <v>0</v>
      </c>
      <c r="H49" s="254">
        <f t="array" ref="H49">SUM(('Отчет по покупателям УТ'!$H$6:$H$5000='Adjusted Ageing by Customer'!H$8)*('Отчет по покупателям УТ'!$M$6:$M$5000='Adjusted Ageing by Customer'!$A49)*('Отчет по покупателям УТ'!$K$6:$K$5000))</f>
        <v>0</v>
      </c>
      <c r="I49" s="254">
        <f t="array" ref="I49">SUM(('Отчет по покупателям УТ'!$H$6:$H$5000='Adjusted Ageing by Customer'!I$8)*('Отчет по покупателям УТ'!$M$6:$M$5000='Adjusted Ageing by Customer'!$A49)*('Отчет по покупателям УТ'!$K$6:$K$5000))</f>
        <v>0</v>
      </c>
      <c r="J49" s="254">
        <f t="array" ref="J49">SUM(('Отчет по покупателям УТ'!$H$6:$H$5000='Adjusted Ageing by Customer'!J$8)*('Отчет по покупателям УТ'!$M$6:$M$5000='Adjusted Ageing by Customer'!$A49)*('Отчет по покупателям УТ'!$K$6:$K$5000))</f>
        <v>0</v>
      </c>
      <c r="K49" s="254">
        <f t="array" ref="K49">SUM(('Отчет по покупателям УТ'!$H$6:$H$5000='Adjusted Ageing by Customer'!K$8)*('Отчет по покупателям УТ'!$M$6:$M$5000='Adjusted Ageing by Customer'!$A49)*('Отчет по покупателям УТ'!$K$6:$K$5000))</f>
        <v>0</v>
      </c>
      <c r="L49" s="254">
        <f t="array" ref="L49">SUM(('Отчет по покупателям УТ'!$H$6:$H$5000='Adjusted Ageing by Customer'!L$8)*('Отчет по покупателям УТ'!$M$6:$M$5000='Adjusted Ageing by Customer'!$A49)*('Отчет по покупателям УТ'!$K$6:$K$5000))</f>
        <v>-57267</v>
      </c>
      <c r="M49" s="247">
        <f t="shared" si="6"/>
        <v>-57267</v>
      </c>
      <c r="R49" s="9" t="b">
        <f t="shared" si="11"/>
        <v>1</v>
      </c>
      <c r="S49" s="228">
        <f t="shared" si="12"/>
        <v>0</v>
      </c>
      <c r="T49" s="31">
        <f t="shared" si="13"/>
        <v>-57267</v>
      </c>
      <c r="U49" s="228">
        <f t="shared" si="14"/>
        <v>0</v>
      </c>
      <c r="V49" s="31">
        <f t="shared" si="15"/>
        <v>-57267</v>
      </c>
      <c r="W49" s="228">
        <f t="shared" si="7"/>
        <v>0</v>
      </c>
      <c r="X49" s="31">
        <f t="shared" si="8"/>
        <v>-57267</v>
      </c>
      <c r="Y49" s="228">
        <f t="shared" si="9"/>
        <v>0</v>
      </c>
      <c r="Z49" s="31">
        <f t="shared" si="10"/>
        <v>-57267</v>
      </c>
      <c r="AA49" s="228">
        <f t="shared" si="16"/>
        <v>0</v>
      </c>
      <c r="AB49" s="228">
        <f t="shared" si="17"/>
        <v>-57267</v>
      </c>
      <c r="AC49" s="247">
        <f t="shared" si="18"/>
        <v>-57267</v>
      </c>
      <c r="AD49" s="248">
        <f t="shared" si="19"/>
        <v>0</v>
      </c>
    </row>
    <row r="50" spans="1:30" x14ac:dyDescent="0.2">
      <c r="A50" s="47" t="s">
        <v>178</v>
      </c>
      <c r="D50" s="9">
        <v>-1123932.3999999999</v>
      </c>
      <c r="E50" s="9"/>
      <c r="F50" s="9"/>
      <c r="G50" s="254">
        <f t="array" ref="G50">SUM(('Отчет по покупателям УТ'!$H$6:$H$5000='Adjusted Ageing by Customer'!G$8)*('Отчет по покупателям УТ'!$M$6:$M$5000='Adjusted Ageing by Customer'!$A50)*('Отчет по покупателям УТ'!$K$6:$K$5000))</f>
        <v>0</v>
      </c>
      <c r="H50" s="254">
        <f t="array" ref="H50">SUM(('Отчет по покупателям УТ'!$H$6:$H$5000='Adjusted Ageing by Customer'!H$8)*('Отчет по покупателям УТ'!$M$6:$M$5000='Adjusted Ageing by Customer'!$A50)*('Отчет по покупателям УТ'!$K$6:$K$5000))</f>
        <v>0</v>
      </c>
      <c r="I50" s="254">
        <f t="array" ref="I50">SUM(('Отчет по покупателям УТ'!$H$6:$H$5000='Adjusted Ageing by Customer'!I$8)*('Отчет по покупателям УТ'!$M$6:$M$5000='Adjusted Ageing by Customer'!$A50)*('Отчет по покупателям УТ'!$K$6:$K$5000))</f>
        <v>0</v>
      </c>
      <c r="J50" s="254">
        <f t="array" ref="J50">SUM(('Отчет по покупателям УТ'!$H$6:$H$5000='Adjusted Ageing by Customer'!J$8)*('Отчет по покупателям УТ'!$M$6:$M$5000='Adjusted Ageing by Customer'!$A50)*('Отчет по покупателям УТ'!$K$6:$K$5000))</f>
        <v>0</v>
      </c>
      <c r="K50" s="254">
        <f t="array" ref="K50">SUM(('Отчет по покупателям УТ'!$H$6:$H$5000='Adjusted Ageing by Customer'!K$8)*('Отчет по покупателям УТ'!$M$6:$M$5000='Adjusted Ageing by Customer'!$A50)*('Отчет по покупателям УТ'!$K$6:$K$5000))</f>
        <v>0</v>
      </c>
      <c r="L50" s="254">
        <f t="array" ref="L50">SUM(('Отчет по покупателям УТ'!$H$6:$H$5000='Adjusted Ageing by Customer'!L$8)*('Отчет по покупателям УТ'!$M$6:$M$5000='Adjusted Ageing by Customer'!$A50)*('Отчет по покупателям УТ'!$K$6:$K$5000))</f>
        <v>-1123932.3999999999</v>
      </c>
      <c r="M50" s="247">
        <f t="shared" si="6"/>
        <v>-1123932.3999999999</v>
      </c>
      <c r="R50" s="9" t="b">
        <f t="shared" si="11"/>
        <v>1</v>
      </c>
      <c r="S50" s="228">
        <f t="shared" si="12"/>
        <v>0</v>
      </c>
      <c r="T50" s="31">
        <f t="shared" si="13"/>
        <v>-1123932.3999999999</v>
      </c>
      <c r="U50" s="228">
        <f t="shared" si="14"/>
        <v>0</v>
      </c>
      <c r="V50" s="31">
        <f t="shared" si="15"/>
        <v>-1123932.3999999999</v>
      </c>
      <c r="W50" s="228">
        <f t="shared" si="7"/>
        <v>0</v>
      </c>
      <c r="X50" s="31">
        <f t="shared" si="8"/>
        <v>-1123932.3999999999</v>
      </c>
      <c r="Y50" s="228">
        <f t="shared" si="9"/>
        <v>0</v>
      </c>
      <c r="Z50" s="31">
        <f t="shared" si="10"/>
        <v>-1123932.3999999999</v>
      </c>
      <c r="AA50" s="228">
        <f t="shared" si="16"/>
        <v>0</v>
      </c>
      <c r="AB50" s="228">
        <f t="shared" si="17"/>
        <v>-1123932.3999999999</v>
      </c>
      <c r="AC50" s="247">
        <f t="shared" si="18"/>
        <v>-1123932.3999999999</v>
      </c>
      <c r="AD50" s="248">
        <f t="shared" si="19"/>
        <v>0</v>
      </c>
    </row>
    <row r="51" spans="1:30" x14ac:dyDescent="0.2">
      <c r="A51" s="47" t="s">
        <v>180</v>
      </c>
      <c r="D51" s="9">
        <v>85942.5</v>
      </c>
      <c r="E51" s="9"/>
      <c r="F51" s="9"/>
      <c r="G51" s="254">
        <f t="array" ref="G51">SUM(('Отчет по покупателям УТ'!$H$6:$H$5000='Adjusted Ageing by Customer'!G$8)*('Отчет по покупателям УТ'!$M$6:$M$5000='Adjusted Ageing by Customer'!$A51)*('Отчет по покупателям УТ'!$K$6:$K$5000))</f>
        <v>0</v>
      </c>
      <c r="H51" s="254">
        <f t="array" ref="H51">SUM(('Отчет по покупателям УТ'!$H$6:$H$5000='Adjusted Ageing by Customer'!H$8)*('Отчет по покупателям УТ'!$M$6:$M$5000='Adjusted Ageing by Customer'!$A51)*('Отчет по покупателям УТ'!$K$6:$K$5000))</f>
        <v>0</v>
      </c>
      <c r="I51" s="254">
        <f t="array" ref="I51">SUM(('Отчет по покупателям УТ'!$H$6:$H$5000='Adjusted Ageing by Customer'!I$8)*('Отчет по покупателям УТ'!$M$6:$M$5000='Adjusted Ageing by Customer'!$A51)*('Отчет по покупателям УТ'!$K$6:$K$5000))</f>
        <v>0</v>
      </c>
      <c r="J51" s="254">
        <f t="array" ref="J51">SUM(('Отчет по покупателям УТ'!$H$6:$H$5000='Adjusted Ageing by Customer'!J$8)*('Отчет по покупателям УТ'!$M$6:$M$5000='Adjusted Ageing by Customer'!$A51)*('Отчет по покупателям УТ'!$K$6:$K$5000))</f>
        <v>0</v>
      </c>
      <c r="K51" s="254">
        <f t="array" ref="K51">SUM(('Отчет по покупателям УТ'!$H$6:$H$5000='Adjusted Ageing by Customer'!K$8)*('Отчет по покупателям УТ'!$M$6:$M$5000='Adjusted Ageing by Customer'!$A51)*('Отчет по покупателям УТ'!$K$6:$K$5000))</f>
        <v>85942.5</v>
      </c>
      <c r="L51" s="254">
        <f t="array" ref="L51">SUM(('Отчет по покупателям УТ'!$H$6:$H$5000='Adjusted Ageing by Customer'!L$8)*('Отчет по покупателям УТ'!$M$6:$M$5000='Adjusted Ageing by Customer'!$A51)*('Отчет по покупателям УТ'!$K$6:$K$5000))</f>
        <v>0</v>
      </c>
      <c r="M51" s="247">
        <f t="shared" si="6"/>
        <v>85942.5</v>
      </c>
      <c r="R51" s="9" t="b">
        <f t="shared" si="11"/>
        <v>1</v>
      </c>
      <c r="S51" s="228">
        <f t="shared" si="12"/>
        <v>0</v>
      </c>
      <c r="T51" s="31">
        <f t="shared" si="13"/>
        <v>0</v>
      </c>
      <c r="U51" s="228">
        <f t="shared" si="14"/>
        <v>0</v>
      </c>
      <c r="V51" s="31">
        <f t="shared" si="15"/>
        <v>0</v>
      </c>
      <c r="W51" s="228">
        <f t="shared" si="7"/>
        <v>0</v>
      </c>
      <c r="X51" s="31">
        <f t="shared" si="8"/>
        <v>0</v>
      </c>
      <c r="Y51" s="228">
        <f t="shared" si="9"/>
        <v>0</v>
      </c>
      <c r="Z51" s="31">
        <f t="shared" si="10"/>
        <v>0</v>
      </c>
      <c r="AA51" s="228">
        <f t="shared" si="16"/>
        <v>85942.5</v>
      </c>
      <c r="AB51" s="228">
        <f t="shared" si="17"/>
        <v>0</v>
      </c>
      <c r="AC51" s="247">
        <f t="shared" si="18"/>
        <v>85942.5</v>
      </c>
      <c r="AD51" s="248">
        <f t="shared" si="19"/>
        <v>85942.5</v>
      </c>
    </row>
    <row r="52" spans="1:30" x14ac:dyDescent="0.2">
      <c r="A52" s="47" t="s">
        <v>183</v>
      </c>
      <c r="D52" s="9">
        <v>-18087.14</v>
      </c>
      <c r="E52" s="9"/>
      <c r="F52" s="9"/>
      <c r="G52" s="254">
        <f t="array" ref="G52">SUM(('Отчет по покупателям УТ'!$H$6:$H$5000='Adjusted Ageing by Customer'!G$8)*('Отчет по покупателям УТ'!$M$6:$M$5000='Adjusted Ageing by Customer'!$A52)*('Отчет по покупателям УТ'!$K$6:$K$5000))</f>
        <v>0</v>
      </c>
      <c r="H52" s="254">
        <f t="array" ref="H52">SUM(('Отчет по покупателям УТ'!$H$6:$H$5000='Adjusted Ageing by Customer'!H$8)*('Отчет по покупателям УТ'!$M$6:$M$5000='Adjusted Ageing by Customer'!$A52)*('Отчет по покупателям УТ'!$K$6:$K$5000))</f>
        <v>0</v>
      </c>
      <c r="I52" s="254">
        <f t="array" ref="I52">SUM(('Отчет по покупателям УТ'!$H$6:$H$5000='Adjusted Ageing by Customer'!I$8)*('Отчет по покупателям УТ'!$M$6:$M$5000='Adjusted Ageing by Customer'!$A52)*('Отчет по покупателям УТ'!$K$6:$K$5000))</f>
        <v>0</v>
      </c>
      <c r="J52" s="254">
        <f t="array" ref="J52">SUM(('Отчет по покупателям УТ'!$H$6:$H$5000='Adjusted Ageing by Customer'!J$8)*('Отчет по покупателям УТ'!$M$6:$M$5000='Adjusted Ageing by Customer'!$A52)*('Отчет по покупателям УТ'!$K$6:$K$5000))</f>
        <v>0</v>
      </c>
      <c r="K52" s="254">
        <f t="array" ref="K52">SUM(('Отчет по покупателям УТ'!$H$6:$H$5000='Adjusted Ageing by Customer'!K$8)*('Отчет по покупателям УТ'!$M$6:$M$5000='Adjusted Ageing by Customer'!$A52)*('Отчет по покупателям УТ'!$K$6:$K$5000))</f>
        <v>0</v>
      </c>
      <c r="L52" s="254">
        <f t="array" ref="L52">SUM(('Отчет по покупателям УТ'!$H$6:$H$5000='Adjusted Ageing by Customer'!L$8)*('Отчет по покупателям УТ'!$M$6:$M$5000='Adjusted Ageing by Customer'!$A52)*('Отчет по покупателям УТ'!$K$6:$K$5000))</f>
        <v>-18087.14</v>
      </c>
      <c r="M52" s="247">
        <f t="shared" si="6"/>
        <v>-18087.14</v>
      </c>
      <c r="R52" s="9" t="b">
        <f t="shared" si="11"/>
        <v>1</v>
      </c>
      <c r="S52" s="228">
        <f t="shared" si="12"/>
        <v>0</v>
      </c>
      <c r="T52" s="31">
        <f t="shared" si="13"/>
        <v>-18087.14</v>
      </c>
      <c r="U52" s="228">
        <f t="shared" si="14"/>
        <v>0</v>
      </c>
      <c r="V52" s="31">
        <f t="shared" si="15"/>
        <v>-18087.14</v>
      </c>
      <c r="W52" s="228">
        <f t="shared" si="7"/>
        <v>0</v>
      </c>
      <c r="X52" s="31">
        <f t="shared" si="8"/>
        <v>-18087.14</v>
      </c>
      <c r="Y52" s="228">
        <f t="shared" si="9"/>
        <v>0</v>
      </c>
      <c r="Z52" s="31">
        <f t="shared" si="10"/>
        <v>-18087.14</v>
      </c>
      <c r="AA52" s="228">
        <f t="shared" si="16"/>
        <v>0</v>
      </c>
      <c r="AB52" s="228">
        <f t="shared" si="17"/>
        <v>-18087.14</v>
      </c>
      <c r="AC52" s="247">
        <f t="shared" si="18"/>
        <v>-18087.14</v>
      </c>
      <c r="AD52" s="248">
        <f t="shared" si="19"/>
        <v>0</v>
      </c>
    </row>
    <row r="53" spans="1:30" x14ac:dyDescent="0.2">
      <c r="A53" s="47" t="s">
        <v>185</v>
      </c>
      <c r="D53" s="9">
        <v>5949681.5600000005</v>
      </c>
      <c r="E53" s="9"/>
      <c r="F53" s="9"/>
      <c r="G53" s="254">
        <f t="array" ref="G53">SUM(('Отчет по покупателям УТ'!$H$6:$H$5000='Adjusted Ageing by Customer'!G$8)*('Отчет по покупателям УТ'!$M$6:$M$5000='Adjusted Ageing by Customer'!$A53)*('Отчет по покупателям УТ'!$K$6:$K$5000))</f>
        <v>5949681.5600000005</v>
      </c>
      <c r="H53" s="254">
        <f t="array" ref="H53">SUM(('Отчет по покупателям УТ'!$H$6:$H$5000='Adjusted Ageing by Customer'!H$8)*('Отчет по покупателям УТ'!$M$6:$M$5000='Adjusted Ageing by Customer'!$A53)*('Отчет по покупателям УТ'!$K$6:$K$5000))</f>
        <v>0</v>
      </c>
      <c r="I53" s="254">
        <f t="array" ref="I53">SUM(('Отчет по покупателям УТ'!$H$6:$H$5000='Adjusted Ageing by Customer'!I$8)*('Отчет по покупателям УТ'!$M$6:$M$5000='Adjusted Ageing by Customer'!$A53)*('Отчет по покупателям УТ'!$K$6:$K$5000))</f>
        <v>0</v>
      </c>
      <c r="J53" s="254">
        <f t="array" ref="J53">SUM(('Отчет по покупателям УТ'!$H$6:$H$5000='Adjusted Ageing by Customer'!J$8)*('Отчет по покупателям УТ'!$M$6:$M$5000='Adjusted Ageing by Customer'!$A53)*('Отчет по покупателям УТ'!$K$6:$K$5000))</f>
        <v>0</v>
      </c>
      <c r="K53" s="254">
        <f t="array" ref="K53">SUM(('Отчет по покупателям УТ'!$H$6:$H$5000='Adjusted Ageing by Customer'!K$8)*('Отчет по покупателям УТ'!$M$6:$M$5000='Adjusted Ageing by Customer'!$A53)*('Отчет по покупателям УТ'!$K$6:$K$5000))</f>
        <v>0</v>
      </c>
      <c r="L53" s="254">
        <f t="array" ref="L53">SUM(('Отчет по покупателям УТ'!$H$6:$H$5000='Adjusted Ageing by Customer'!L$8)*('Отчет по покупателям УТ'!$M$6:$M$5000='Adjusted Ageing by Customer'!$A53)*('Отчет по покупателям УТ'!$K$6:$K$5000))</f>
        <v>0</v>
      </c>
      <c r="M53" s="247">
        <f t="shared" si="6"/>
        <v>5949681.5600000005</v>
      </c>
      <c r="R53" s="9" t="b">
        <f t="shared" si="11"/>
        <v>1</v>
      </c>
      <c r="S53" s="228">
        <f t="shared" si="12"/>
        <v>5949681.5600000005</v>
      </c>
      <c r="T53" s="31">
        <f t="shared" si="13"/>
        <v>0</v>
      </c>
      <c r="U53" s="228">
        <f t="shared" si="14"/>
        <v>0</v>
      </c>
      <c r="V53" s="31">
        <f t="shared" si="15"/>
        <v>0</v>
      </c>
      <c r="W53" s="228">
        <f t="shared" si="7"/>
        <v>0</v>
      </c>
      <c r="X53" s="31">
        <f t="shared" si="8"/>
        <v>0</v>
      </c>
      <c r="Y53" s="228">
        <f t="shared" si="9"/>
        <v>0</v>
      </c>
      <c r="Z53" s="31">
        <f t="shared" si="10"/>
        <v>0</v>
      </c>
      <c r="AA53" s="228">
        <f t="shared" si="16"/>
        <v>0</v>
      </c>
      <c r="AB53" s="228">
        <f t="shared" si="17"/>
        <v>0</v>
      </c>
      <c r="AC53" s="247">
        <f t="shared" si="18"/>
        <v>5949681.5600000005</v>
      </c>
      <c r="AD53" s="248">
        <f t="shared" si="19"/>
        <v>5949681.5600000005</v>
      </c>
    </row>
    <row r="54" spans="1:30" x14ac:dyDescent="0.2">
      <c r="A54" s="47" t="s">
        <v>240</v>
      </c>
      <c r="D54" s="9">
        <v>35454892.789999992</v>
      </c>
      <c r="E54" s="9"/>
      <c r="F54" s="9"/>
      <c r="G54" s="254">
        <f t="array" ref="G54">SUM(('Отчет по покупателям УТ'!$H$6:$H$5000='Adjusted Ageing by Customer'!G$8)*('Отчет по покупателям УТ'!$M$6:$M$5000='Adjusted Ageing by Customer'!$A54)*('Отчет по покупателям УТ'!$K$6:$K$5000))</f>
        <v>72695969.930000007</v>
      </c>
      <c r="H54" s="254">
        <f t="array" ref="H54">SUM(('Отчет по покупателям УТ'!$H$6:$H$5000='Adjusted Ageing by Customer'!H$8)*('Отчет по покупателям УТ'!$M$6:$M$5000='Adjusted Ageing by Customer'!$A54)*('Отчет по покупателям УТ'!$K$6:$K$5000))</f>
        <v>0</v>
      </c>
      <c r="I54" s="254">
        <f t="array" ref="I54">SUM(('Отчет по покупателям УТ'!$H$6:$H$5000='Adjusted Ageing by Customer'!I$8)*('Отчет по покупателям УТ'!$M$6:$M$5000='Adjusted Ageing by Customer'!$A54)*('Отчет по покупателям УТ'!$K$6:$K$5000))</f>
        <v>0</v>
      </c>
      <c r="J54" s="254">
        <f t="array" ref="J54">SUM(('Отчет по покупателям УТ'!$H$6:$H$5000='Adjusted Ageing by Customer'!J$8)*('Отчет по покупателям УТ'!$M$6:$M$5000='Adjusted Ageing by Customer'!$A54)*('Отчет по покупателям УТ'!$K$6:$K$5000))</f>
        <v>0</v>
      </c>
      <c r="K54" s="254">
        <f t="array" ref="K54">SUM(('Отчет по покупателям УТ'!$H$6:$H$5000='Adjusted Ageing by Customer'!K$8)*('Отчет по покупателям УТ'!$M$6:$M$5000='Adjusted Ageing by Customer'!$A54)*('Отчет по покупателям УТ'!$K$6:$K$5000))</f>
        <v>0</v>
      </c>
      <c r="L54" s="254">
        <f t="array" ref="L54">SUM(('Отчет по покупателям УТ'!$H$6:$H$5000='Adjusted Ageing by Customer'!L$8)*('Отчет по покупателям УТ'!$M$6:$M$5000='Adjusted Ageing by Customer'!$A54)*('Отчет по покупателям УТ'!$K$6:$K$5000))</f>
        <v>-37241077.140000001</v>
      </c>
      <c r="M54" s="247">
        <f t="shared" si="6"/>
        <v>35454892.790000007</v>
      </c>
      <c r="R54" s="9" t="b">
        <f t="shared" si="11"/>
        <v>1</v>
      </c>
      <c r="S54" s="228">
        <f t="shared" si="12"/>
        <v>35454892.790000007</v>
      </c>
      <c r="T54" s="31">
        <f t="shared" si="13"/>
        <v>-37241077.140000001</v>
      </c>
      <c r="U54" s="228">
        <f t="shared" si="14"/>
        <v>0</v>
      </c>
      <c r="V54" s="31">
        <f t="shared" si="15"/>
        <v>-37241077.140000001</v>
      </c>
      <c r="W54" s="228">
        <f t="shared" si="7"/>
        <v>0</v>
      </c>
      <c r="X54" s="31">
        <f t="shared" si="8"/>
        <v>-37241077.140000001</v>
      </c>
      <c r="Y54" s="228">
        <f t="shared" si="9"/>
        <v>0</v>
      </c>
      <c r="Z54" s="31">
        <f t="shared" si="10"/>
        <v>-37241077.140000001</v>
      </c>
      <c r="AA54" s="228">
        <f t="shared" si="16"/>
        <v>0</v>
      </c>
      <c r="AB54" s="228">
        <f t="shared" si="17"/>
        <v>0</v>
      </c>
      <c r="AC54" s="247">
        <f t="shared" si="18"/>
        <v>35454892.790000007</v>
      </c>
      <c r="AD54" s="248">
        <f t="shared" si="19"/>
        <v>35454892.790000007</v>
      </c>
    </row>
    <row r="55" spans="1:30" x14ac:dyDescent="0.2">
      <c r="A55" s="47" t="s">
        <v>250</v>
      </c>
      <c r="D55" s="9">
        <v>-3775.8</v>
      </c>
      <c r="E55" s="9"/>
      <c r="F55" s="9"/>
      <c r="G55" s="254">
        <f t="array" ref="G55">SUM(('Отчет по покупателям УТ'!$H$6:$H$5000='Adjusted Ageing by Customer'!G$8)*('Отчет по покупателям УТ'!$M$6:$M$5000='Adjusted Ageing by Customer'!$A55)*('Отчет по покупателям УТ'!$K$6:$K$5000))</f>
        <v>0</v>
      </c>
      <c r="H55" s="254">
        <f t="array" ref="H55">SUM(('Отчет по покупателям УТ'!$H$6:$H$5000='Adjusted Ageing by Customer'!H$8)*('Отчет по покупателям УТ'!$M$6:$M$5000='Adjusted Ageing by Customer'!$A55)*('Отчет по покупателям УТ'!$K$6:$K$5000))</f>
        <v>0</v>
      </c>
      <c r="I55" s="254">
        <f t="array" ref="I55">SUM(('Отчет по покупателям УТ'!$H$6:$H$5000='Adjusted Ageing by Customer'!I$8)*('Отчет по покупателям УТ'!$M$6:$M$5000='Adjusted Ageing by Customer'!$A55)*('Отчет по покупателям УТ'!$K$6:$K$5000))</f>
        <v>0</v>
      </c>
      <c r="J55" s="254">
        <f t="array" ref="J55">SUM(('Отчет по покупателям УТ'!$H$6:$H$5000='Adjusted Ageing by Customer'!J$8)*('Отчет по покупателям УТ'!$M$6:$M$5000='Adjusted Ageing by Customer'!$A55)*('Отчет по покупателям УТ'!$K$6:$K$5000))</f>
        <v>0</v>
      </c>
      <c r="K55" s="254">
        <f t="array" ref="K55">SUM(('Отчет по покупателям УТ'!$H$6:$H$5000='Adjusted Ageing by Customer'!K$8)*('Отчет по покупателям УТ'!$M$6:$M$5000='Adjusted Ageing by Customer'!$A55)*('Отчет по покупателям УТ'!$K$6:$K$5000))</f>
        <v>0</v>
      </c>
      <c r="L55" s="254">
        <f t="array" ref="L55">SUM(('Отчет по покупателям УТ'!$H$6:$H$5000='Adjusted Ageing by Customer'!L$8)*('Отчет по покупателям УТ'!$M$6:$M$5000='Adjusted Ageing by Customer'!$A55)*('Отчет по покупателям УТ'!$K$6:$K$5000))</f>
        <v>-3775.8</v>
      </c>
      <c r="M55" s="247">
        <f t="shared" si="6"/>
        <v>-3775.8</v>
      </c>
      <c r="R55" s="9" t="b">
        <f t="shared" si="11"/>
        <v>1</v>
      </c>
      <c r="S55" s="228">
        <f t="shared" si="12"/>
        <v>0</v>
      </c>
      <c r="T55" s="31">
        <f t="shared" si="13"/>
        <v>-3775.8</v>
      </c>
      <c r="U55" s="228">
        <f t="shared" si="14"/>
        <v>0</v>
      </c>
      <c r="V55" s="31">
        <f t="shared" si="15"/>
        <v>-3775.8</v>
      </c>
      <c r="W55" s="228">
        <f t="shared" si="7"/>
        <v>0</v>
      </c>
      <c r="X55" s="31">
        <f t="shared" si="8"/>
        <v>-3775.8</v>
      </c>
      <c r="Y55" s="228">
        <f t="shared" si="9"/>
        <v>0</v>
      </c>
      <c r="Z55" s="31">
        <f t="shared" si="10"/>
        <v>-3775.8</v>
      </c>
      <c r="AA55" s="228">
        <f t="shared" si="16"/>
        <v>0</v>
      </c>
      <c r="AB55" s="228">
        <f t="shared" si="17"/>
        <v>-3775.8</v>
      </c>
      <c r="AC55" s="247">
        <f t="shared" si="18"/>
        <v>-3775.8</v>
      </c>
      <c r="AD55" s="248">
        <f t="shared" si="19"/>
        <v>0</v>
      </c>
    </row>
    <row r="56" spans="1:30" x14ac:dyDescent="0.2">
      <c r="A56" s="47" t="s">
        <v>256</v>
      </c>
      <c r="D56" s="9">
        <v>-144999.4</v>
      </c>
      <c r="E56" s="9"/>
      <c r="F56" s="9"/>
      <c r="G56" s="254">
        <f t="array" ref="G56">SUM(('Отчет по покупателям УТ'!$H$6:$H$5000='Adjusted Ageing by Customer'!G$8)*('Отчет по покупателям УТ'!$M$6:$M$5000='Adjusted Ageing by Customer'!$A56)*('Отчет по покупателям УТ'!$K$6:$K$5000))</f>
        <v>0</v>
      </c>
      <c r="H56" s="254">
        <f t="array" ref="H56">SUM(('Отчет по покупателям УТ'!$H$6:$H$5000='Adjusted Ageing by Customer'!H$8)*('Отчет по покупателям УТ'!$M$6:$M$5000='Adjusted Ageing by Customer'!$A56)*('Отчет по покупателям УТ'!$K$6:$K$5000))</f>
        <v>0</v>
      </c>
      <c r="I56" s="254">
        <f t="array" ref="I56">SUM(('Отчет по покупателям УТ'!$H$6:$H$5000='Adjusted Ageing by Customer'!I$8)*('Отчет по покупателям УТ'!$M$6:$M$5000='Adjusted Ageing by Customer'!$A56)*('Отчет по покупателям УТ'!$K$6:$K$5000))</f>
        <v>0</v>
      </c>
      <c r="J56" s="254">
        <f t="array" ref="J56">SUM(('Отчет по покупателям УТ'!$H$6:$H$5000='Adjusted Ageing by Customer'!J$8)*('Отчет по покупателям УТ'!$M$6:$M$5000='Adjusted Ageing by Customer'!$A56)*('Отчет по покупателям УТ'!$K$6:$K$5000))</f>
        <v>0</v>
      </c>
      <c r="K56" s="254">
        <f t="array" ref="K56">SUM(('Отчет по покупателям УТ'!$H$6:$H$5000='Adjusted Ageing by Customer'!K$8)*('Отчет по покупателям УТ'!$M$6:$M$5000='Adjusted Ageing by Customer'!$A56)*('Отчет по покупателям УТ'!$K$6:$K$5000))</f>
        <v>0</v>
      </c>
      <c r="L56" s="254">
        <f t="array" ref="L56">SUM(('Отчет по покупателям УТ'!$H$6:$H$5000='Adjusted Ageing by Customer'!L$8)*('Отчет по покупателям УТ'!$M$6:$M$5000='Adjusted Ageing by Customer'!$A56)*('Отчет по покупателям УТ'!$K$6:$K$5000))</f>
        <v>-144999.4</v>
      </c>
      <c r="M56" s="247">
        <f t="shared" si="6"/>
        <v>-144999.4</v>
      </c>
      <c r="R56" s="9" t="b">
        <f t="shared" si="11"/>
        <v>1</v>
      </c>
      <c r="S56" s="228">
        <f t="shared" si="12"/>
        <v>0</v>
      </c>
      <c r="T56" s="31">
        <f t="shared" si="13"/>
        <v>-144999.4</v>
      </c>
      <c r="U56" s="228">
        <f t="shared" si="14"/>
        <v>0</v>
      </c>
      <c r="V56" s="31">
        <f t="shared" si="15"/>
        <v>-144999.4</v>
      </c>
      <c r="W56" s="228">
        <f t="shared" si="7"/>
        <v>0</v>
      </c>
      <c r="X56" s="31">
        <f t="shared" si="8"/>
        <v>-144999.4</v>
      </c>
      <c r="Y56" s="228">
        <f t="shared" si="9"/>
        <v>0</v>
      </c>
      <c r="Z56" s="31">
        <f t="shared" si="10"/>
        <v>-144999.4</v>
      </c>
      <c r="AA56" s="228">
        <f t="shared" si="16"/>
        <v>0</v>
      </c>
      <c r="AB56" s="228">
        <f t="shared" si="17"/>
        <v>-144999.4</v>
      </c>
      <c r="AC56" s="247">
        <f t="shared" si="18"/>
        <v>-144999.4</v>
      </c>
      <c r="AD56" s="248">
        <f t="shared" si="19"/>
        <v>0</v>
      </c>
    </row>
    <row r="57" spans="1:30" x14ac:dyDescent="0.2">
      <c r="A57" s="47" t="s">
        <v>258</v>
      </c>
      <c r="D57" s="9">
        <v>-694717.67999999993</v>
      </c>
      <c r="E57" s="9"/>
      <c r="F57" s="9"/>
      <c r="G57" s="254">
        <f t="array" ref="G57">SUM(('Отчет по покупателям УТ'!$H$6:$H$5000='Adjusted Ageing by Customer'!G$8)*('Отчет по покупателям УТ'!$M$6:$M$5000='Adjusted Ageing by Customer'!$A57)*('Отчет по покупателям УТ'!$K$6:$K$5000))</f>
        <v>0</v>
      </c>
      <c r="H57" s="254">
        <f t="array" ref="H57">SUM(('Отчет по покупателям УТ'!$H$6:$H$5000='Adjusted Ageing by Customer'!H$8)*('Отчет по покупателям УТ'!$M$6:$M$5000='Adjusted Ageing by Customer'!$A57)*('Отчет по покупателям УТ'!$K$6:$K$5000))</f>
        <v>0</v>
      </c>
      <c r="I57" s="254">
        <f t="array" ref="I57">SUM(('Отчет по покупателям УТ'!$H$6:$H$5000='Adjusted Ageing by Customer'!I$8)*('Отчет по покупателям УТ'!$M$6:$M$5000='Adjusted Ageing by Customer'!$A57)*('Отчет по покупателям УТ'!$K$6:$K$5000))</f>
        <v>0</v>
      </c>
      <c r="J57" s="254">
        <f t="array" ref="J57">SUM(('Отчет по покупателям УТ'!$H$6:$H$5000='Adjusted Ageing by Customer'!J$8)*('Отчет по покупателям УТ'!$M$6:$M$5000='Adjusted Ageing by Customer'!$A57)*('Отчет по покупателям УТ'!$K$6:$K$5000))</f>
        <v>0</v>
      </c>
      <c r="K57" s="254">
        <f t="array" ref="K57">SUM(('Отчет по покупателям УТ'!$H$6:$H$5000='Adjusted Ageing by Customer'!K$8)*('Отчет по покупателям УТ'!$M$6:$M$5000='Adjusted Ageing by Customer'!$A57)*('Отчет по покупателям УТ'!$K$6:$K$5000))</f>
        <v>0</v>
      </c>
      <c r="L57" s="254">
        <f t="array" ref="L57">SUM(('Отчет по покупателям УТ'!$H$6:$H$5000='Adjusted Ageing by Customer'!L$8)*('Отчет по покупателям УТ'!$M$6:$M$5000='Adjusted Ageing by Customer'!$A57)*('Отчет по покупателям УТ'!$K$6:$K$5000))</f>
        <v>-694717.67999999993</v>
      </c>
      <c r="M57" s="247">
        <f t="shared" si="6"/>
        <v>-694717.67999999993</v>
      </c>
      <c r="R57" s="9" t="b">
        <f t="shared" si="11"/>
        <v>1</v>
      </c>
      <c r="S57" s="228">
        <f t="shared" si="12"/>
        <v>0</v>
      </c>
      <c r="T57" s="31">
        <f t="shared" si="13"/>
        <v>-694717.67999999993</v>
      </c>
      <c r="U57" s="228">
        <f t="shared" si="14"/>
        <v>0</v>
      </c>
      <c r="V57" s="31">
        <f t="shared" si="15"/>
        <v>-694717.67999999993</v>
      </c>
      <c r="W57" s="228">
        <f t="shared" si="7"/>
        <v>0</v>
      </c>
      <c r="X57" s="31">
        <f t="shared" si="8"/>
        <v>-694717.67999999993</v>
      </c>
      <c r="Y57" s="228">
        <f t="shared" si="9"/>
        <v>0</v>
      </c>
      <c r="Z57" s="31">
        <f t="shared" si="10"/>
        <v>-694717.67999999993</v>
      </c>
      <c r="AA57" s="228">
        <f t="shared" si="16"/>
        <v>0</v>
      </c>
      <c r="AB57" s="228">
        <f t="shared" si="17"/>
        <v>-694717.67999999993</v>
      </c>
      <c r="AC57" s="247">
        <f t="shared" si="18"/>
        <v>-694717.67999999993</v>
      </c>
      <c r="AD57" s="248">
        <f t="shared" si="19"/>
        <v>0</v>
      </c>
    </row>
    <row r="58" spans="1:30" x14ac:dyDescent="0.2">
      <c r="A58" s="47" t="s">
        <v>262</v>
      </c>
      <c r="D58" s="9">
        <v>-118621.49</v>
      </c>
      <c r="E58" s="9"/>
      <c r="F58" s="9"/>
      <c r="G58" s="254">
        <f t="array" ref="G58">SUM(('Отчет по покупателям УТ'!$H$6:$H$5000='Adjusted Ageing by Customer'!G$8)*('Отчет по покупателям УТ'!$M$6:$M$5000='Adjusted Ageing by Customer'!$A58)*('Отчет по покупателям УТ'!$K$6:$K$5000))</f>
        <v>0</v>
      </c>
      <c r="H58" s="254">
        <f t="array" ref="H58">SUM(('Отчет по покупателям УТ'!$H$6:$H$5000='Adjusted Ageing by Customer'!H$8)*('Отчет по покупателям УТ'!$M$6:$M$5000='Adjusted Ageing by Customer'!$A58)*('Отчет по покупателям УТ'!$K$6:$K$5000))</f>
        <v>0</v>
      </c>
      <c r="I58" s="254">
        <f t="array" ref="I58">SUM(('Отчет по покупателям УТ'!$H$6:$H$5000='Adjusted Ageing by Customer'!I$8)*('Отчет по покупателям УТ'!$M$6:$M$5000='Adjusted Ageing by Customer'!$A58)*('Отчет по покупателям УТ'!$K$6:$K$5000))</f>
        <v>0</v>
      </c>
      <c r="J58" s="254">
        <f t="array" ref="J58">SUM(('Отчет по покупателям УТ'!$H$6:$H$5000='Adjusted Ageing by Customer'!J$8)*('Отчет по покупателям УТ'!$M$6:$M$5000='Adjusted Ageing by Customer'!$A58)*('Отчет по покупателям УТ'!$K$6:$K$5000))</f>
        <v>0</v>
      </c>
      <c r="K58" s="254">
        <f t="array" ref="K58">SUM(('Отчет по покупателям УТ'!$H$6:$H$5000='Adjusted Ageing by Customer'!K$8)*('Отчет по покупателям УТ'!$M$6:$M$5000='Adjusted Ageing by Customer'!$A58)*('Отчет по покупателям УТ'!$K$6:$K$5000))</f>
        <v>0</v>
      </c>
      <c r="L58" s="254">
        <f t="array" ref="L58">SUM(('Отчет по покупателям УТ'!$H$6:$H$5000='Adjusted Ageing by Customer'!L$8)*('Отчет по покупателям УТ'!$M$6:$M$5000='Adjusted Ageing by Customer'!$A58)*('Отчет по покупателям УТ'!$K$6:$K$5000))</f>
        <v>-118621.49</v>
      </c>
      <c r="M58" s="247">
        <f t="shared" si="6"/>
        <v>-118621.49</v>
      </c>
      <c r="R58" s="9" t="b">
        <f t="shared" si="11"/>
        <v>1</v>
      </c>
      <c r="S58" s="228">
        <f t="shared" si="12"/>
        <v>0</v>
      </c>
      <c r="T58" s="31">
        <f t="shared" si="13"/>
        <v>-118621.49</v>
      </c>
      <c r="U58" s="228">
        <f t="shared" si="14"/>
        <v>0</v>
      </c>
      <c r="V58" s="31">
        <f t="shared" si="15"/>
        <v>-118621.49</v>
      </c>
      <c r="W58" s="228">
        <f t="shared" si="7"/>
        <v>0</v>
      </c>
      <c r="X58" s="31">
        <f t="shared" si="8"/>
        <v>-118621.49</v>
      </c>
      <c r="Y58" s="228">
        <f t="shared" si="9"/>
        <v>0</v>
      </c>
      <c r="Z58" s="31">
        <f t="shared" si="10"/>
        <v>-118621.49</v>
      </c>
      <c r="AA58" s="228">
        <f t="shared" si="16"/>
        <v>0</v>
      </c>
      <c r="AB58" s="228">
        <f t="shared" si="17"/>
        <v>-118621.49</v>
      </c>
      <c r="AC58" s="247">
        <f t="shared" si="18"/>
        <v>-118621.49</v>
      </c>
      <c r="AD58" s="248">
        <f t="shared" si="19"/>
        <v>0</v>
      </c>
    </row>
    <row r="59" spans="1:30" x14ac:dyDescent="0.2">
      <c r="A59" s="47" t="s">
        <v>265</v>
      </c>
      <c r="D59" s="9">
        <v>-887638.04999999993</v>
      </c>
      <c r="E59" s="9"/>
      <c r="F59" s="9"/>
      <c r="G59" s="254">
        <f t="array" ref="G59">SUM(('Отчет по покупателям УТ'!$H$6:$H$5000='Adjusted Ageing by Customer'!G$8)*('Отчет по покупателям УТ'!$M$6:$M$5000='Adjusted Ageing by Customer'!$A59)*('Отчет по покупателям УТ'!$K$6:$K$5000))</f>
        <v>0</v>
      </c>
      <c r="H59" s="254">
        <f t="array" ref="H59">SUM(('Отчет по покупателям УТ'!$H$6:$H$5000='Adjusted Ageing by Customer'!H$8)*('Отчет по покупателям УТ'!$M$6:$M$5000='Adjusted Ageing by Customer'!$A59)*('Отчет по покупателям УТ'!$K$6:$K$5000))</f>
        <v>0</v>
      </c>
      <c r="I59" s="254">
        <f t="array" ref="I59">SUM(('Отчет по покупателям УТ'!$H$6:$H$5000='Adjusted Ageing by Customer'!I$8)*('Отчет по покупателям УТ'!$M$6:$M$5000='Adjusted Ageing by Customer'!$A59)*('Отчет по покупателям УТ'!$K$6:$K$5000))</f>
        <v>0</v>
      </c>
      <c r="J59" s="254">
        <f t="array" ref="J59">SUM(('Отчет по покупателям УТ'!$H$6:$H$5000='Adjusted Ageing by Customer'!J$8)*('Отчет по покупателям УТ'!$M$6:$M$5000='Adjusted Ageing by Customer'!$A59)*('Отчет по покупателям УТ'!$K$6:$K$5000))</f>
        <v>0</v>
      </c>
      <c r="K59" s="254">
        <f t="array" ref="K59">SUM(('Отчет по покупателям УТ'!$H$6:$H$5000='Adjusted Ageing by Customer'!K$8)*('Отчет по покупателям УТ'!$M$6:$M$5000='Adjusted Ageing by Customer'!$A59)*('Отчет по покупателям УТ'!$K$6:$K$5000))</f>
        <v>0</v>
      </c>
      <c r="L59" s="254">
        <f t="array" ref="L59">SUM(('Отчет по покупателям УТ'!$H$6:$H$5000='Adjusted Ageing by Customer'!L$8)*('Отчет по покупателям УТ'!$M$6:$M$5000='Adjusted Ageing by Customer'!$A59)*('Отчет по покупателям УТ'!$K$6:$K$5000))</f>
        <v>-887638.04999999993</v>
      </c>
      <c r="M59" s="247">
        <f t="shared" si="6"/>
        <v>-887638.04999999993</v>
      </c>
      <c r="R59" s="9" t="b">
        <f t="shared" si="11"/>
        <v>1</v>
      </c>
      <c r="S59" s="228">
        <f t="shared" si="12"/>
        <v>0</v>
      </c>
      <c r="T59" s="31">
        <f t="shared" si="13"/>
        <v>-887638.04999999993</v>
      </c>
      <c r="U59" s="228">
        <f t="shared" si="14"/>
        <v>0</v>
      </c>
      <c r="V59" s="31">
        <f t="shared" si="15"/>
        <v>-887638.04999999993</v>
      </c>
      <c r="W59" s="228">
        <f t="shared" si="7"/>
        <v>0</v>
      </c>
      <c r="X59" s="31">
        <f t="shared" si="8"/>
        <v>-887638.04999999993</v>
      </c>
      <c r="Y59" s="228">
        <f t="shared" si="9"/>
        <v>0</v>
      </c>
      <c r="Z59" s="31">
        <f t="shared" si="10"/>
        <v>-887638.04999999993</v>
      </c>
      <c r="AA59" s="228">
        <f t="shared" si="16"/>
        <v>0</v>
      </c>
      <c r="AB59" s="228">
        <f t="shared" si="17"/>
        <v>-887638.04999999993</v>
      </c>
      <c r="AC59" s="247">
        <f t="shared" si="18"/>
        <v>-887638.04999999993</v>
      </c>
      <c r="AD59" s="248">
        <f t="shared" si="19"/>
        <v>0</v>
      </c>
    </row>
    <row r="60" spans="1:30" x14ac:dyDescent="0.2">
      <c r="A60" s="47" t="s">
        <v>266</v>
      </c>
      <c r="D60" s="9">
        <v>-47278.38</v>
      </c>
      <c r="E60" s="9"/>
      <c r="F60" s="9"/>
      <c r="G60" s="254">
        <f t="array" ref="G60">SUM(('Отчет по покупателям УТ'!$H$6:$H$5000='Adjusted Ageing by Customer'!G$8)*('Отчет по покупателям УТ'!$M$6:$M$5000='Adjusted Ageing by Customer'!$A60)*('Отчет по покупателям УТ'!$K$6:$K$5000))</f>
        <v>0</v>
      </c>
      <c r="H60" s="254">
        <f t="array" ref="H60">SUM(('Отчет по покупателям УТ'!$H$6:$H$5000='Adjusted Ageing by Customer'!H$8)*('Отчет по покупателям УТ'!$M$6:$M$5000='Adjusted Ageing by Customer'!$A60)*('Отчет по покупателям УТ'!$K$6:$K$5000))</f>
        <v>0</v>
      </c>
      <c r="I60" s="254">
        <f t="array" ref="I60">SUM(('Отчет по покупателям УТ'!$H$6:$H$5000='Adjusted Ageing by Customer'!I$8)*('Отчет по покупателям УТ'!$M$6:$M$5000='Adjusted Ageing by Customer'!$A60)*('Отчет по покупателям УТ'!$K$6:$K$5000))</f>
        <v>0</v>
      </c>
      <c r="J60" s="254">
        <f t="array" ref="J60">SUM(('Отчет по покупателям УТ'!$H$6:$H$5000='Adjusted Ageing by Customer'!J$8)*('Отчет по покупателям УТ'!$M$6:$M$5000='Adjusted Ageing by Customer'!$A60)*('Отчет по покупателям УТ'!$K$6:$K$5000))</f>
        <v>0</v>
      </c>
      <c r="K60" s="254">
        <f t="array" ref="K60">SUM(('Отчет по покупателям УТ'!$H$6:$H$5000='Adjusted Ageing by Customer'!K$8)*('Отчет по покупателям УТ'!$M$6:$M$5000='Adjusted Ageing by Customer'!$A60)*('Отчет по покупателям УТ'!$K$6:$K$5000))</f>
        <v>0</v>
      </c>
      <c r="L60" s="254">
        <f t="array" ref="L60">SUM(('Отчет по покупателям УТ'!$H$6:$H$5000='Adjusted Ageing by Customer'!L$8)*('Отчет по покупателям УТ'!$M$6:$M$5000='Adjusted Ageing by Customer'!$A60)*('Отчет по покупателям УТ'!$K$6:$K$5000))</f>
        <v>-47278.38</v>
      </c>
      <c r="M60" s="247">
        <f t="shared" si="6"/>
        <v>-47278.38</v>
      </c>
      <c r="R60" s="9" t="b">
        <f t="shared" si="11"/>
        <v>1</v>
      </c>
      <c r="S60" s="228">
        <f t="shared" si="12"/>
        <v>0</v>
      </c>
      <c r="T60" s="31">
        <f t="shared" si="13"/>
        <v>-47278.38</v>
      </c>
      <c r="U60" s="228">
        <f t="shared" si="14"/>
        <v>0</v>
      </c>
      <c r="V60" s="31">
        <f t="shared" si="15"/>
        <v>-47278.38</v>
      </c>
      <c r="W60" s="228">
        <f t="shared" si="7"/>
        <v>0</v>
      </c>
      <c r="X60" s="31">
        <f t="shared" si="8"/>
        <v>-47278.38</v>
      </c>
      <c r="Y60" s="228">
        <f t="shared" si="9"/>
        <v>0</v>
      </c>
      <c r="Z60" s="31">
        <f t="shared" si="10"/>
        <v>-47278.38</v>
      </c>
      <c r="AA60" s="228">
        <f t="shared" si="16"/>
        <v>0</v>
      </c>
      <c r="AB60" s="228">
        <f t="shared" si="17"/>
        <v>-47278.38</v>
      </c>
      <c r="AC60" s="247">
        <f t="shared" si="18"/>
        <v>-47278.38</v>
      </c>
      <c r="AD60" s="248">
        <f t="shared" si="19"/>
        <v>0</v>
      </c>
    </row>
    <row r="61" spans="1:30" x14ac:dyDescent="0.2">
      <c r="A61" s="47" t="s">
        <v>267</v>
      </c>
      <c r="D61" s="9">
        <v>-149105.75</v>
      </c>
      <c r="E61" s="9"/>
      <c r="F61" s="9"/>
      <c r="G61" s="254">
        <f t="array" ref="G61">SUM(('Отчет по покупателям УТ'!$H$6:$H$5000='Adjusted Ageing by Customer'!G$8)*('Отчет по покупателям УТ'!$M$6:$M$5000='Adjusted Ageing by Customer'!$A61)*('Отчет по покупателям УТ'!$K$6:$K$5000))</f>
        <v>0</v>
      </c>
      <c r="H61" s="254">
        <f t="array" ref="H61">SUM(('Отчет по покупателям УТ'!$H$6:$H$5000='Adjusted Ageing by Customer'!H$8)*('Отчет по покупателям УТ'!$M$6:$M$5000='Adjusted Ageing by Customer'!$A61)*('Отчет по покупателям УТ'!$K$6:$K$5000))</f>
        <v>0</v>
      </c>
      <c r="I61" s="254">
        <f t="array" ref="I61">SUM(('Отчет по покупателям УТ'!$H$6:$H$5000='Adjusted Ageing by Customer'!I$8)*('Отчет по покупателям УТ'!$M$6:$M$5000='Adjusted Ageing by Customer'!$A61)*('Отчет по покупателям УТ'!$K$6:$K$5000))</f>
        <v>0</v>
      </c>
      <c r="J61" s="254">
        <f t="array" ref="J61">SUM(('Отчет по покупателям УТ'!$H$6:$H$5000='Adjusted Ageing by Customer'!J$8)*('Отчет по покупателям УТ'!$M$6:$M$5000='Adjusted Ageing by Customer'!$A61)*('Отчет по покупателям УТ'!$K$6:$K$5000))</f>
        <v>0</v>
      </c>
      <c r="K61" s="254">
        <f t="array" ref="K61">SUM(('Отчет по покупателям УТ'!$H$6:$H$5000='Adjusted Ageing by Customer'!K$8)*('Отчет по покупателям УТ'!$M$6:$M$5000='Adjusted Ageing by Customer'!$A61)*('Отчет по покупателям УТ'!$K$6:$K$5000))</f>
        <v>0</v>
      </c>
      <c r="L61" s="254">
        <f t="array" ref="L61">SUM(('Отчет по покупателям УТ'!$H$6:$H$5000='Adjusted Ageing by Customer'!L$8)*('Отчет по покупателям УТ'!$M$6:$M$5000='Adjusted Ageing by Customer'!$A61)*('Отчет по покупателям УТ'!$K$6:$K$5000))</f>
        <v>-149105.75</v>
      </c>
      <c r="M61" s="247">
        <f t="shared" si="6"/>
        <v>-149105.75</v>
      </c>
      <c r="R61" s="9" t="b">
        <f t="shared" si="11"/>
        <v>1</v>
      </c>
      <c r="S61" s="228">
        <f t="shared" si="12"/>
        <v>0</v>
      </c>
      <c r="T61" s="31">
        <f t="shared" si="13"/>
        <v>-149105.75</v>
      </c>
      <c r="U61" s="228">
        <f t="shared" si="14"/>
        <v>0</v>
      </c>
      <c r="V61" s="31">
        <f t="shared" si="15"/>
        <v>-149105.75</v>
      </c>
      <c r="W61" s="228">
        <f t="shared" si="7"/>
        <v>0</v>
      </c>
      <c r="X61" s="31">
        <f t="shared" si="8"/>
        <v>-149105.75</v>
      </c>
      <c r="Y61" s="228">
        <f t="shared" si="9"/>
        <v>0</v>
      </c>
      <c r="Z61" s="31">
        <f t="shared" si="10"/>
        <v>-149105.75</v>
      </c>
      <c r="AA61" s="228">
        <f t="shared" si="16"/>
        <v>0</v>
      </c>
      <c r="AB61" s="228">
        <f t="shared" si="17"/>
        <v>-149105.75</v>
      </c>
      <c r="AC61" s="247">
        <f t="shared" si="18"/>
        <v>-149105.75</v>
      </c>
      <c r="AD61" s="248">
        <f t="shared" si="19"/>
        <v>0</v>
      </c>
    </row>
    <row r="62" spans="1:30" x14ac:dyDescent="0.2">
      <c r="A62" s="47" t="s">
        <v>271</v>
      </c>
      <c r="D62" s="9">
        <v>0.01</v>
      </c>
      <c r="E62" s="9"/>
      <c r="F62" s="9"/>
      <c r="G62" s="254">
        <f t="array" ref="G62">SUM(('Отчет по покупателям УТ'!$H$6:$H$5000='Adjusted Ageing by Customer'!G$8)*('Отчет по покупателям УТ'!$M$6:$M$5000='Adjusted Ageing by Customer'!$A62)*('Отчет по покупателям УТ'!$K$6:$K$5000))</f>
        <v>0</v>
      </c>
      <c r="H62" s="254">
        <f t="array" ref="H62">SUM(('Отчет по покупателям УТ'!$H$6:$H$5000='Adjusted Ageing by Customer'!H$8)*('Отчет по покупателям УТ'!$M$6:$M$5000='Adjusted Ageing by Customer'!$A62)*('Отчет по покупателям УТ'!$K$6:$K$5000))</f>
        <v>0</v>
      </c>
      <c r="I62" s="254">
        <f t="array" ref="I62">SUM(('Отчет по покупателям УТ'!$H$6:$H$5000='Adjusted Ageing by Customer'!I$8)*('Отчет по покупателям УТ'!$M$6:$M$5000='Adjusted Ageing by Customer'!$A62)*('Отчет по покупателям УТ'!$K$6:$K$5000))</f>
        <v>0.01</v>
      </c>
      <c r="J62" s="254">
        <f t="array" ref="J62">SUM(('Отчет по покупателям УТ'!$H$6:$H$5000='Adjusted Ageing by Customer'!J$8)*('Отчет по покупателям УТ'!$M$6:$M$5000='Adjusted Ageing by Customer'!$A62)*('Отчет по покупателям УТ'!$K$6:$K$5000))</f>
        <v>0</v>
      </c>
      <c r="K62" s="254">
        <f t="array" ref="K62">SUM(('Отчет по покупателям УТ'!$H$6:$H$5000='Adjusted Ageing by Customer'!K$8)*('Отчет по покупателям УТ'!$M$6:$M$5000='Adjusted Ageing by Customer'!$A62)*('Отчет по покупателям УТ'!$K$6:$K$5000))</f>
        <v>0</v>
      </c>
      <c r="L62" s="254">
        <f t="array" ref="L62">SUM(('Отчет по покупателям УТ'!$H$6:$H$5000='Adjusted Ageing by Customer'!L$8)*('Отчет по покупателям УТ'!$M$6:$M$5000='Adjusted Ageing by Customer'!$A62)*('Отчет по покупателям УТ'!$K$6:$K$5000))</f>
        <v>0</v>
      </c>
      <c r="M62" s="247">
        <f t="shared" si="6"/>
        <v>0.01</v>
      </c>
      <c r="R62" s="9" t="b">
        <f t="shared" si="11"/>
        <v>1</v>
      </c>
      <c r="S62" s="228">
        <f t="shared" si="12"/>
        <v>0</v>
      </c>
      <c r="T62" s="31">
        <f t="shared" si="13"/>
        <v>0</v>
      </c>
      <c r="U62" s="228">
        <f t="shared" si="14"/>
        <v>0</v>
      </c>
      <c r="V62" s="31">
        <f t="shared" si="15"/>
        <v>0</v>
      </c>
      <c r="W62" s="228">
        <f t="shared" si="7"/>
        <v>0.01</v>
      </c>
      <c r="X62" s="31">
        <f t="shared" si="8"/>
        <v>0</v>
      </c>
      <c r="Y62" s="228">
        <f t="shared" si="9"/>
        <v>0</v>
      </c>
      <c r="Z62" s="31">
        <f t="shared" si="10"/>
        <v>0</v>
      </c>
      <c r="AA62" s="228">
        <f t="shared" si="16"/>
        <v>0</v>
      </c>
      <c r="AB62" s="228">
        <f t="shared" si="17"/>
        <v>0</v>
      </c>
      <c r="AC62" s="247">
        <f t="shared" si="18"/>
        <v>0.01</v>
      </c>
      <c r="AD62" s="248">
        <f t="shared" si="19"/>
        <v>0.01</v>
      </c>
    </row>
    <row r="63" spans="1:30" x14ac:dyDescent="0.2">
      <c r="A63" s="47" t="s">
        <v>275</v>
      </c>
      <c r="D63" s="9">
        <v>-944662.40000000014</v>
      </c>
      <c r="E63" s="9"/>
      <c r="F63" s="9"/>
      <c r="G63" s="254">
        <f t="array" ref="G63">SUM(('Отчет по покупателям УТ'!$H$6:$H$5000='Adjusted Ageing by Customer'!G$8)*('Отчет по покупателям УТ'!$M$6:$M$5000='Adjusted Ageing by Customer'!$A63)*('Отчет по покупателям УТ'!$K$6:$K$5000))</f>
        <v>0</v>
      </c>
      <c r="H63" s="254">
        <f t="array" ref="H63">SUM(('Отчет по покупателям УТ'!$H$6:$H$5000='Adjusted Ageing by Customer'!H$8)*('Отчет по покупателям УТ'!$M$6:$M$5000='Adjusted Ageing by Customer'!$A63)*('Отчет по покупателям УТ'!$K$6:$K$5000))</f>
        <v>0</v>
      </c>
      <c r="I63" s="254">
        <f t="array" ref="I63">SUM(('Отчет по покупателям УТ'!$H$6:$H$5000='Adjusted Ageing by Customer'!I$8)*('Отчет по покупателям УТ'!$M$6:$M$5000='Adjusted Ageing by Customer'!$A63)*('Отчет по покупателям УТ'!$K$6:$K$5000))</f>
        <v>0</v>
      </c>
      <c r="J63" s="254">
        <f t="array" ref="J63">SUM(('Отчет по покупателям УТ'!$H$6:$H$5000='Adjusted Ageing by Customer'!J$8)*('Отчет по покупателям УТ'!$M$6:$M$5000='Adjusted Ageing by Customer'!$A63)*('Отчет по покупателям УТ'!$K$6:$K$5000))</f>
        <v>0</v>
      </c>
      <c r="K63" s="254">
        <f t="array" ref="K63">SUM(('Отчет по покупателям УТ'!$H$6:$H$5000='Adjusted Ageing by Customer'!K$8)*('Отчет по покупателям УТ'!$M$6:$M$5000='Adjusted Ageing by Customer'!$A63)*('Отчет по покупателям УТ'!$K$6:$K$5000))</f>
        <v>0</v>
      </c>
      <c r="L63" s="254">
        <f t="array" ref="L63">SUM(('Отчет по покупателям УТ'!$H$6:$H$5000='Adjusted Ageing by Customer'!L$8)*('Отчет по покупателям УТ'!$M$6:$M$5000='Adjusted Ageing by Customer'!$A63)*('Отчет по покупателям УТ'!$K$6:$K$5000))</f>
        <v>-944662.40000000014</v>
      </c>
      <c r="M63" s="247">
        <f t="shared" si="6"/>
        <v>-944662.40000000014</v>
      </c>
      <c r="R63" s="9" t="b">
        <f t="shared" si="11"/>
        <v>1</v>
      </c>
      <c r="S63" s="228">
        <f t="shared" si="12"/>
        <v>0</v>
      </c>
      <c r="T63" s="31">
        <f t="shared" si="13"/>
        <v>-944662.40000000014</v>
      </c>
      <c r="U63" s="228">
        <f t="shared" si="14"/>
        <v>0</v>
      </c>
      <c r="V63" s="31">
        <f t="shared" si="15"/>
        <v>-944662.40000000014</v>
      </c>
      <c r="W63" s="228">
        <f t="shared" si="7"/>
        <v>0</v>
      </c>
      <c r="X63" s="31">
        <f t="shared" si="8"/>
        <v>-944662.40000000014</v>
      </c>
      <c r="Y63" s="228">
        <f t="shared" si="9"/>
        <v>0</v>
      </c>
      <c r="Z63" s="31">
        <f t="shared" si="10"/>
        <v>-944662.40000000014</v>
      </c>
      <c r="AA63" s="228">
        <f t="shared" si="16"/>
        <v>0</v>
      </c>
      <c r="AB63" s="228">
        <f t="shared" si="17"/>
        <v>-944662.40000000014</v>
      </c>
      <c r="AC63" s="247">
        <f t="shared" si="18"/>
        <v>-944662.40000000014</v>
      </c>
      <c r="AD63" s="248">
        <f t="shared" si="19"/>
        <v>0</v>
      </c>
    </row>
    <row r="64" spans="1:30" x14ac:dyDescent="0.2">
      <c r="A64" s="47" t="s">
        <v>276</v>
      </c>
      <c r="D64" s="9">
        <v>-46500</v>
      </c>
      <c r="E64" s="9"/>
      <c r="F64" s="9"/>
      <c r="G64" s="254">
        <f t="array" ref="G64">SUM(('Отчет по покупателям УТ'!$H$6:$H$5000='Adjusted Ageing by Customer'!G$8)*('Отчет по покупателям УТ'!$M$6:$M$5000='Adjusted Ageing by Customer'!$A64)*('Отчет по покупателям УТ'!$K$6:$K$5000))</f>
        <v>0</v>
      </c>
      <c r="H64" s="254">
        <f t="array" ref="H64">SUM(('Отчет по покупателям УТ'!$H$6:$H$5000='Adjusted Ageing by Customer'!H$8)*('Отчет по покупателям УТ'!$M$6:$M$5000='Adjusted Ageing by Customer'!$A64)*('Отчет по покупателям УТ'!$K$6:$K$5000))</f>
        <v>0</v>
      </c>
      <c r="I64" s="254">
        <f t="array" ref="I64">SUM(('Отчет по покупателям УТ'!$H$6:$H$5000='Adjusted Ageing by Customer'!I$8)*('Отчет по покупателям УТ'!$M$6:$M$5000='Adjusted Ageing by Customer'!$A64)*('Отчет по покупателям УТ'!$K$6:$K$5000))</f>
        <v>0</v>
      </c>
      <c r="J64" s="254">
        <f t="array" ref="J64">SUM(('Отчет по покупателям УТ'!$H$6:$H$5000='Adjusted Ageing by Customer'!J$8)*('Отчет по покупателям УТ'!$M$6:$M$5000='Adjusted Ageing by Customer'!$A64)*('Отчет по покупателям УТ'!$K$6:$K$5000))</f>
        <v>0</v>
      </c>
      <c r="K64" s="254">
        <f t="array" ref="K64">SUM(('Отчет по покупателям УТ'!$H$6:$H$5000='Adjusted Ageing by Customer'!K$8)*('Отчет по покупателям УТ'!$M$6:$M$5000='Adjusted Ageing by Customer'!$A64)*('Отчет по покупателям УТ'!$K$6:$K$5000))</f>
        <v>0</v>
      </c>
      <c r="L64" s="254">
        <f t="array" ref="L64">SUM(('Отчет по покупателям УТ'!$H$6:$H$5000='Adjusted Ageing by Customer'!L$8)*('Отчет по покупателям УТ'!$M$6:$M$5000='Adjusted Ageing by Customer'!$A64)*('Отчет по покупателям УТ'!$K$6:$K$5000))</f>
        <v>-46500</v>
      </c>
      <c r="M64" s="247">
        <f t="shared" si="6"/>
        <v>-46500</v>
      </c>
      <c r="R64" s="9" t="b">
        <f t="shared" si="11"/>
        <v>1</v>
      </c>
      <c r="S64" s="228">
        <f t="shared" si="12"/>
        <v>0</v>
      </c>
      <c r="T64" s="31">
        <f t="shared" si="13"/>
        <v>-46500</v>
      </c>
      <c r="U64" s="228">
        <f t="shared" si="14"/>
        <v>0</v>
      </c>
      <c r="V64" s="31">
        <f t="shared" si="15"/>
        <v>-46500</v>
      </c>
      <c r="W64" s="228">
        <f t="shared" si="7"/>
        <v>0</v>
      </c>
      <c r="X64" s="31">
        <f t="shared" si="8"/>
        <v>-46500</v>
      </c>
      <c r="Y64" s="228">
        <f t="shared" si="9"/>
        <v>0</v>
      </c>
      <c r="Z64" s="31">
        <f t="shared" si="10"/>
        <v>-46500</v>
      </c>
      <c r="AA64" s="228">
        <f t="shared" si="16"/>
        <v>0</v>
      </c>
      <c r="AB64" s="228">
        <f t="shared" si="17"/>
        <v>-46500</v>
      </c>
      <c r="AC64" s="247">
        <f t="shared" si="18"/>
        <v>-46500</v>
      </c>
      <c r="AD64" s="248">
        <f t="shared" si="19"/>
        <v>0</v>
      </c>
    </row>
    <row r="65" spans="1:30" x14ac:dyDescent="0.2">
      <c r="A65" s="47" t="s">
        <v>277</v>
      </c>
      <c r="D65" s="9">
        <v>1970591.38</v>
      </c>
      <c r="E65" s="9"/>
      <c r="F65" s="9"/>
      <c r="G65" s="254">
        <f t="array" ref="G65">SUM(('Отчет по покупателям УТ'!$H$6:$H$5000='Adjusted Ageing by Customer'!G$8)*('Отчет по покупателям УТ'!$M$6:$M$5000='Adjusted Ageing by Customer'!$A65)*('Отчет по покупателям УТ'!$K$6:$K$5000))</f>
        <v>1967771.47</v>
      </c>
      <c r="H65" s="254">
        <f t="array" ref="H65">SUM(('Отчет по покупателям УТ'!$H$6:$H$5000='Adjusted Ageing by Customer'!H$8)*('Отчет по покупателям УТ'!$M$6:$M$5000='Adjusted Ageing by Customer'!$A65)*('Отчет по покупателям УТ'!$K$6:$K$5000))</f>
        <v>2819.91</v>
      </c>
      <c r="I65" s="254">
        <f t="array" ref="I65">SUM(('Отчет по покупателям УТ'!$H$6:$H$5000='Adjusted Ageing by Customer'!I$8)*('Отчет по покупателям УТ'!$M$6:$M$5000='Adjusted Ageing by Customer'!$A65)*('Отчет по покупателям УТ'!$K$6:$K$5000))</f>
        <v>0</v>
      </c>
      <c r="J65" s="254">
        <f t="array" ref="J65">SUM(('Отчет по покупателям УТ'!$H$6:$H$5000='Adjusted Ageing by Customer'!J$8)*('Отчет по покупателям УТ'!$M$6:$M$5000='Adjusted Ageing by Customer'!$A65)*('Отчет по покупателям УТ'!$K$6:$K$5000))</f>
        <v>0</v>
      </c>
      <c r="K65" s="254">
        <f t="array" ref="K65">SUM(('Отчет по покупателям УТ'!$H$6:$H$5000='Adjusted Ageing by Customer'!K$8)*('Отчет по покупателям УТ'!$M$6:$M$5000='Adjusted Ageing by Customer'!$A65)*('Отчет по покупателям УТ'!$K$6:$K$5000))</f>
        <v>0</v>
      </c>
      <c r="L65" s="254">
        <f t="array" ref="L65">SUM(('Отчет по покупателям УТ'!$H$6:$H$5000='Adjusted Ageing by Customer'!L$8)*('Отчет по покупателям УТ'!$M$6:$M$5000='Adjusted Ageing by Customer'!$A65)*('Отчет по покупателям УТ'!$K$6:$K$5000))</f>
        <v>0</v>
      </c>
      <c r="M65" s="247">
        <f t="shared" si="6"/>
        <v>1970591.38</v>
      </c>
      <c r="R65" s="9" t="b">
        <f t="shared" si="11"/>
        <v>1</v>
      </c>
      <c r="S65" s="228">
        <f t="shared" si="12"/>
        <v>1967771.47</v>
      </c>
      <c r="T65" s="31">
        <f t="shared" si="13"/>
        <v>0</v>
      </c>
      <c r="U65" s="228">
        <f t="shared" si="14"/>
        <v>2819.91</v>
      </c>
      <c r="V65" s="31">
        <f t="shared" si="15"/>
        <v>0</v>
      </c>
      <c r="W65" s="228">
        <f t="shared" si="7"/>
        <v>0</v>
      </c>
      <c r="X65" s="31">
        <f t="shared" si="8"/>
        <v>0</v>
      </c>
      <c r="Y65" s="228">
        <f t="shared" si="9"/>
        <v>0</v>
      </c>
      <c r="Z65" s="31">
        <f t="shared" si="10"/>
        <v>0</v>
      </c>
      <c r="AA65" s="228">
        <f t="shared" si="16"/>
        <v>0</v>
      </c>
      <c r="AB65" s="228">
        <f t="shared" si="17"/>
        <v>0</v>
      </c>
      <c r="AC65" s="247">
        <f t="shared" si="18"/>
        <v>1970591.38</v>
      </c>
      <c r="AD65" s="248">
        <f t="shared" si="19"/>
        <v>1970591.38</v>
      </c>
    </row>
    <row r="66" spans="1:30" x14ac:dyDescent="0.2">
      <c r="A66" s="47" t="s">
        <v>279</v>
      </c>
      <c r="D66" s="9">
        <v>-400029.78</v>
      </c>
      <c r="E66" s="9"/>
      <c r="F66" s="9"/>
      <c r="G66" s="254">
        <f t="array" ref="G66">SUM(('Отчет по покупателям УТ'!$H$6:$H$5000='Adjusted Ageing by Customer'!G$8)*('Отчет по покупателям УТ'!$M$6:$M$5000='Adjusted Ageing by Customer'!$A66)*('Отчет по покупателям УТ'!$K$6:$K$5000))</f>
        <v>0</v>
      </c>
      <c r="H66" s="254">
        <f t="array" ref="H66">SUM(('Отчет по покупателям УТ'!$H$6:$H$5000='Adjusted Ageing by Customer'!H$8)*('Отчет по покупателям УТ'!$M$6:$M$5000='Adjusted Ageing by Customer'!$A66)*('Отчет по покупателям УТ'!$K$6:$K$5000))</f>
        <v>0</v>
      </c>
      <c r="I66" s="254">
        <f t="array" ref="I66">SUM(('Отчет по покупателям УТ'!$H$6:$H$5000='Adjusted Ageing by Customer'!I$8)*('Отчет по покупателям УТ'!$M$6:$M$5000='Adjusted Ageing by Customer'!$A66)*('Отчет по покупателям УТ'!$K$6:$K$5000))</f>
        <v>0</v>
      </c>
      <c r="J66" s="254">
        <f t="array" ref="J66">SUM(('Отчет по покупателям УТ'!$H$6:$H$5000='Adjusted Ageing by Customer'!J$8)*('Отчет по покупателям УТ'!$M$6:$M$5000='Adjusted Ageing by Customer'!$A66)*('Отчет по покупателям УТ'!$K$6:$K$5000))</f>
        <v>0</v>
      </c>
      <c r="K66" s="254">
        <f t="array" ref="K66">SUM(('Отчет по покупателям УТ'!$H$6:$H$5000='Adjusted Ageing by Customer'!K$8)*('Отчет по покупателям УТ'!$M$6:$M$5000='Adjusted Ageing by Customer'!$A66)*('Отчет по покупателям УТ'!$K$6:$K$5000))</f>
        <v>0</v>
      </c>
      <c r="L66" s="254">
        <f t="array" ref="L66">SUM(('Отчет по покупателям УТ'!$H$6:$H$5000='Adjusted Ageing by Customer'!L$8)*('Отчет по покупателям УТ'!$M$6:$M$5000='Adjusted Ageing by Customer'!$A66)*('Отчет по покупателям УТ'!$K$6:$K$5000))</f>
        <v>-400029.78</v>
      </c>
      <c r="M66" s="247">
        <f t="shared" si="6"/>
        <v>-400029.78</v>
      </c>
      <c r="R66" s="9" t="b">
        <f t="shared" si="11"/>
        <v>1</v>
      </c>
      <c r="S66" s="228">
        <f t="shared" si="12"/>
        <v>0</v>
      </c>
      <c r="T66" s="31">
        <f t="shared" si="13"/>
        <v>-400029.78</v>
      </c>
      <c r="U66" s="228">
        <f t="shared" si="14"/>
        <v>0</v>
      </c>
      <c r="V66" s="31">
        <f t="shared" si="15"/>
        <v>-400029.78</v>
      </c>
      <c r="W66" s="228">
        <f t="shared" si="7"/>
        <v>0</v>
      </c>
      <c r="X66" s="31">
        <f t="shared" si="8"/>
        <v>-400029.78</v>
      </c>
      <c r="Y66" s="228">
        <f t="shared" si="9"/>
        <v>0</v>
      </c>
      <c r="Z66" s="31">
        <f t="shared" si="10"/>
        <v>-400029.78</v>
      </c>
      <c r="AA66" s="228">
        <f t="shared" si="16"/>
        <v>0</v>
      </c>
      <c r="AB66" s="228">
        <f t="shared" si="17"/>
        <v>-400029.78</v>
      </c>
      <c r="AC66" s="247">
        <f t="shared" si="18"/>
        <v>-400029.78</v>
      </c>
      <c r="AD66" s="248">
        <f t="shared" si="19"/>
        <v>0</v>
      </c>
    </row>
    <row r="67" spans="1:30" x14ac:dyDescent="0.2">
      <c r="A67" s="47" t="s">
        <v>280</v>
      </c>
      <c r="D67" s="9">
        <v>-1449075.7300000042</v>
      </c>
      <c r="E67" s="9"/>
      <c r="F67" s="9"/>
      <c r="G67" s="254">
        <f t="array" ref="G67">SUM(('Отчет по покупателям УТ'!$H$6:$H$5000='Adjusted Ageing by Customer'!G$8)*('Отчет по покупателям УТ'!$M$6:$M$5000='Adjusted Ageing by Customer'!$A67)*('Отчет по покупателям УТ'!$K$6:$K$5000))</f>
        <v>42790263</v>
      </c>
      <c r="H67" s="254">
        <f t="array" ref="H67">SUM(('Отчет по покупателям УТ'!$H$6:$H$5000='Adjusted Ageing by Customer'!H$8)*('Отчет по покупателям УТ'!$M$6:$M$5000='Adjusted Ageing by Customer'!$A67)*('Отчет по покупателям УТ'!$K$6:$K$5000))</f>
        <v>0</v>
      </c>
      <c r="I67" s="254">
        <f t="array" ref="I67">SUM(('Отчет по покупателям УТ'!$H$6:$H$5000='Adjusted Ageing by Customer'!I$8)*('Отчет по покупателям УТ'!$M$6:$M$5000='Adjusted Ageing by Customer'!$A67)*('Отчет по покупателям УТ'!$K$6:$K$5000))</f>
        <v>0</v>
      </c>
      <c r="J67" s="254">
        <f t="array" ref="J67">SUM(('Отчет по покупателям УТ'!$H$6:$H$5000='Adjusted Ageing by Customer'!J$8)*('Отчет по покупателям УТ'!$M$6:$M$5000='Adjusted Ageing by Customer'!$A67)*('Отчет по покупателям УТ'!$K$6:$K$5000))</f>
        <v>0</v>
      </c>
      <c r="K67" s="254">
        <f t="array" ref="K67">SUM(('Отчет по покупателям УТ'!$H$6:$H$5000='Adjusted Ageing by Customer'!K$8)*('Отчет по покупателям УТ'!$M$6:$M$5000='Adjusted Ageing by Customer'!$A67)*('Отчет по покупателям УТ'!$K$6:$K$5000))</f>
        <v>0</v>
      </c>
      <c r="L67" s="254">
        <f t="array" ref="L67">SUM(('Отчет по покупателям УТ'!$H$6:$H$5000='Adjusted Ageing by Customer'!L$8)*('Отчет по покупателям УТ'!$M$6:$M$5000='Adjusted Ageing by Customer'!$A67)*('Отчет по покупателям УТ'!$K$6:$K$5000))</f>
        <v>-44239338.730000004</v>
      </c>
      <c r="M67" s="247">
        <f t="shared" si="6"/>
        <v>-1449075.7300000042</v>
      </c>
      <c r="R67" s="9" t="b">
        <f t="shared" si="11"/>
        <v>1</v>
      </c>
      <c r="S67" s="228">
        <f t="shared" si="12"/>
        <v>0</v>
      </c>
      <c r="T67" s="31">
        <f t="shared" si="13"/>
        <v>-44239338.730000004</v>
      </c>
      <c r="U67" s="228">
        <f t="shared" si="14"/>
        <v>0</v>
      </c>
      <c r="V67" s="31">
        <f t="shared" si="15"/>
        <v>-44239338.730000004</v>
      </c>
      <c r="W67" s="228">
        <f t="shared" si="7"/>
        <v>0</v>
      </c>
      <c r="X67" s="31">
        <f t="shared" si="8"/>
        <v>-44239338.730000004</v>
      </c>
      <c r="Y67" s="228">
        <f t="shared" si="9"/>
        <v>0</v>
      </c>
      <c r="Z67" s="31">
        <f t="shared" si="10"/>
        <v>-44239338.730000004</v>
      </c>
      <c r="AA67" s="228">
        <f t="shared" si="16"/>
        <v>0</v>
      </c>
      <c r="AB67" s="228">
        <f t="shared" si="17"/>
        <v>-1449075.7300000042</v>
      </c>
      <c r="AC67" s="247">
        <f t="shared" si="18"/>
        <v>-1449075.7300000042</v>
      </c>
      <c r="AD67" s="248">
        <f t="shared" si="19"/>
        <v>0</v>
      </c>
    </row>
    <row r="68" spans="1:30" x14ac:dyDescent="0.2">
      <c r="A68" s="47" t="s">
        <v>285</v>
      </c>
      <c r="D68" s="9">
        <v>22489984.609999992</v>
      </c>
      <c r="E68" s="9"/>
      <c r="F68" s="9"/>
      <c r="G68" s="254">
        <f t="array" ref="G68">SUM(('Отчет по покупателям УТ'!$H$6:$H$5000='Adjusted Ageing by Customer'!G$8)*('Отчет по покупателям УТ'!$M$6:$M$5000='Adjusted Ageing by Customer'!$A68)*('Отчет по покупателям УТ'!$K$6:$K$5000))</f>
        <v>50792891</v>
      </c>
      <c r="H68" s="254">
        <f t="array" ref="H68">SUM(('Отчет по покупателям УТ'!$H$6:$H$5000='Adjusted Ageing by Customer'!H$8)*('Отчет по покупателям УТ'!$M$6:$M$5000='Adjusted Ageing by Customer'!$A68)*('Отчет по покупателям УТ'!$K$6:$K$5000))</f>
        <v>0</v>
      </c>
      <c r="I68" s="254">
        <f t="array" ref="I68">SUM(('Отчет по покупателям УТ'!$H$6:$H$5000='Adjusted Ageing by Customer'!I$8)*('Отчет по покупателям УТ'!$M$6:$M$5000='Adjusted Ageing by Customer'!$A68)*('Отчет по покупателям УТ'!$K$6:$K$5000))</f>
        <v>0</v>
      </c>
      <c r="J68" s="254">
        <f t="array" ref="J68">SUM(('Отчет по покупателям УТ'!$H$6:$H$5000='Adjusted Ageing by Customer'!J$8)*('Отчет по покупателям УТ'!$M$6:$M$5000='Adjusted Ageing by Customer'!$A68)*('Отчет по покупателям УТ'!$K$6:$K$5000))</f>
        <v>0</v>
      </c>
      <c r="K68" s="254">
        <f t="array" ref="K68">SUM(('Отчет по покупателям УТ'!$H$6:$H$5000='Adjusted Ageing by Customer'!K$8)*('Отчет по покупателям УТ'!$M$6:$M$5000='Adjusted Ageing by Customer'!$A68)*('Отчет по покупателям УТ'!$K$6:$K$5000))</f>
        <v>0</v>
      </c>
      <c r="L68" s="254">
        <f t="array" ref="L68">SUM(('Отчет по покупателям УТ'!$H$6:$H$5000='Adjusted Ageing by Customer'!L$8)*('Отчет по покупателям УТ'!$M$6:$M$5000='Adjusted Ageing by Customer'!$A68)*('Отчет по покупателям УТ'!$K$6:$K$5000))</f>
        <v>-28302906.390000001</v>
      </c>
      <c r="M68" s="247">
        <f t="shared" si="6"/>
        <v>22489984.609999999</v>
      </c>
      <c r="R68" s="9" t="b">
        <f t="shared" si="11"/>
        <v>1</v>
      </c>
      <c r="S68" s="228">
        <f t="shared" si="12"/>
        <v>22489984.609999999</v>
      </c>
      <c r="T68" s="31">
        <f t="shared" si="13"/>
        <v>-28302906.390000001</v>
      </c>
      <c r="U68" s="228">
        <f t="shared" si="14"/>
        <v>0</v>
      </c>
      <c r="V68" s="31">
        <f t="shared" si="15"/>
        <v>-28302906.390000001</v>
      </c>
      <c r="W68" s="228">
        <f t="shared" si="7"/>
        <v>0</v>
      </c>
      <c r="X68" s="31">
        <f t="shared" si="8"/>
        <v>-28302906.390000001</v>
      </c>
      <c r="Y68" s="228">
        <f t="shared" si="9"/>
        <v>0</v>
      </c>
      <c r="Z68" s="31">
        <f t="shared" si="10"/>
        <v>-28302906.390000001</v>
      </c>
      <c r="AA68" s="228">
        <f t="shared" si="16"/>
        <v>0</v>
      </c>
      <c r="AB68" s="228">
        <f t="shared" si="17"/>
        <v>0</v>
      </c>
      <c r="AC68" s="247">
        <f t="shared" si="18"/>
        <v>22489984.609999999</v>
      </c>
      <c r="AD68" s="248">
        <f t="shared" si="19"/>
        <v>22489984.609999999</v>
      </c>
    </row>
    <row r="69" spans="1:30" x14ac:dyDescent="0.2">
      <c r="A69" s="47" t="s">
        <v>292</v>
      </c>
      <c r="D69" s="9">
        <v>-422658.77</v>
      </c>
      <c r="E69" s="9"/>
      <c r="F69" s="9"/>
      <c r="G69" s="254">
        <f t="array" ref="G69">SUM(('Отчет по покупателям УТ'!$H$6:$H$5000='Adjusted Ageing by Customer'!G$8)*('Отчет по покупателям УТ'!$M$6:$M$5000='Adjusted Ageing by Customer'!$A69)*('Отчет по покупателям УТ'!$K$6:$K$5000))</f>
        <v>565994.06999999995</v>
      </c>
      <c r="H69" s="254">
        <f t="array" ref="H69">SUM(('Отчет по покупателям УТ'!$H$6:$H$5000='Adjusted Ageing by Customer'!H$8)*('Отчет по покупателям УТ'!$M$6:$M$5000='Adjusted Ageing by Customer'!$A69)*('Отчет по покупателям УТ'!$K$6:$K$5000))</f>
        <v>0</v>
      </c>
      <c r="I69" s="254">
        <f t="array" ref="I69">SUM(('Отчет по покупателям УТ'!$H$6:$H$5000='Adjusted Ageing by Customer'!I$8)*('Отчет по покупателям УТ'!$M$6:$M$5000='Adjusted Ageing by Customer'!$A69)*('Отчет по покупателям УТ'!$K$6:$K$5000))</f>
        <v>0</v>
      </c>
      <c r="J69" s="254">
        <f t="array" ref="J69">SUM(('Отчет по покупателям УТ'!$H$6:$H$5000='Adjusted Ageing by Customer'!J$8)*('Отчет по покупателям УТ'!$M$6:$M$5000='Adjusted Ageing by Customer'!$A69)*('Отчет по покупателям УТ'!$K$6:$K$5000))</f>
        <v>0</v>
      </c>
      <c r="K69" s="254">
        <f t="array" ref="K69">SUM(('Отчет по покупателям УТ'!$H$6:$H$5000='Adjusted Ageing by Customer'!K$8)*('Отчет по покупателям УТ'!$M$6:$M$5000='Adjusted Ageing by Customer'!$A69)*('Отчет по покупателям УТ'!$K$6:$K$5000))</f>
        <v>0</v>
      </c>
      <c r="L69" s="254">
        <f t="array" ref="L69">SUM(('Отчет по покупателям УТ'!$H$6:$H$5000='Adjusted Ageing by Customer'!L$8)*('Отчет по покупателям УТ'!$M$6:$M$5000='Adjusted Ageing by Customer'!$A69)*('Отчет по покупателям УТ'!$K$6:$K$5000))</f>
        <v>-988652.84</v>
      </c>
      <c r="M69" s="247">
        <f t="shared" si="6"/>
        <v>-422658.77</v>
      </c>
      <c r="R69" s="9" t="b">
        <f t="shared" si="11"/>
        <v>1</v>
      </c>
      <c r="S69" s="228">
        <f t="shared" si="12"/>
        <v>0</v>
      </c>
      <c r="T69" s="31">
        <f t="shared" si="13"/>
        <v>-988652.84</v>
      </c>
      <c r="U69" s="228">
        <f t="shared" si="14"/>
        <v>0</v>
      </c>
      <c r="V69" s="31">
        <f t="shared" si="15"/>
        <v>-988652.84</v>
      </c>
      <c r="W69" s="228">
        <f t="shared" si="7"/>
        <v>0</v>
      </c>
      <c r="X69" s="31">
        <f t="shared" si="8"/>
        <v>-988652.84</v>
      </c>
      <c r="Y69" s="228">
        <f t="shared" si="9"/>
        <v>0</v>
      </c>
      <c r="Z69" s="31">
        <f t="shared" si="10"/>
        <v>-988652.84</v>
      </c>
      <c r="AA69" s="228">
        <f t="shared" si="16"/>
        <v>0</v>
      </c>
      <c r="AB69" s="228">
        <f t="shared" si="17"/>
        <v>-422658.77</v>
      </c>
      <c r="AC69" s="247">
        <f t="shared" si="18"/>
        <v>-422658.77</v>
      </c>
      <c r="AD69" s="248">
        <f t="shared" si="19"/>
        <v>0</v>
      </c>
    </row>
    <row r="70" spans="1:30" x14ac:dyDescent="0.2">
      <c r="A70" s="47" t="s">
        <v>296</v>
      </c>
      <c r="D70" s="9">
        <v>-538811.61</v>
      </c>
      <c r="E70" s="9"/>
      <c r="F70" s="9"/>
      <c r="G70" s="254">
        <f t="array" ref="G70">SUM(('Отчет по покупателям УТ'!$H$6:$H$5000='Adjusted Ageing by Customer'!G$8)*('Отчет по покупателям УТ'!$M$6:$M$5000='Adjusted Ageing by Customer'!$A70)*('Отчет по покупателям УТ'!$K$6:$K$5000))</f>
        <v>0</v>
      </c>
      <c r="H70" s="254">
        <f t="array" ref="H70">SUM(('Отчет по покупателям УТ'!$H$6:$H$5000='Adjusted Ageing by Customer'!H$8)*('Отчет по покупателям УТ'!$M$6:$M$5000='Adjusted Ageing by Customer'!$A70)*('Отчет по покупателям УТ'!$K$6:$K$5000))</f>
        <v>0</v>
      </c>
      <c r="I70" s="254">
        <f t="array" ref="I70">SUM(('Отчет по покупателям УТ'!$H$6:$H$5000='Adjusted Ageing by Customer'!I$8)*('Отчет по покупателям УТ'!$M$6:$M$5000='Adjusted Ageing by Customer'!$A70)*('Отчет по покупателям УТ'!$K$6:$K$5000))</f>
        <v>0</v>
      </c>
      <c r="J70" s="254">
        <f t="array" ref="J70">SUM(('Отчет по покупателям УТ'!$H$6:$H$5000='Adjusted Ageing by Customer'!J$8)*('Отчет по покупателям УТ'!$M$6:$M$5000='Adjusted Ageing by Customer'!$A70)*('Отчет по покупателям УТ'!$K$6:$K$5000))</f>
        <v>0</v>
      </c>
      <c r="K70" s="254">
        <f t="array" ref="K70">SUM(('Отчет по покупателям УТ'!$H$6:$H$5000='Adjusted Ageing by Customer'!K$8)*('Отчет по покупателям УТ'!$M$6:$M$5000='Adjusted Ageing by Customer'!$A70)*('Отчет по покупателям УТ'!$K$6:$K$5000))</f>
        <v>0</v>
      </c>
      <c r="L70" s="254">
        <f t="array" ref="L70">SUM(('Отчет по покупателям УТ'!$H$6:$H$5000='Adjusted Ageing by Customer'!L$8)*('Отчет по покупателям УТ'!$M$6:$M$5000='Adjusted Ageing by Customer'!$A70)*('Отчет по покупателям УТ'!$K$6:$K$5000))</f>
        <v>-538811.61</v>
      </c>
      <c r="M70" s="247">
        <f t="shared" si="6"/>
        <v>-538811.61</v>
      </c>
      <c r="R70" s="9" t="b">
        <f t="shared" si="11"/>
        <v>1</v>
      </c>
      <c r="S70" s="228">
        <f t="shared" si="12"/>
        <v>0</v>
      </c>
      <c r="T70" s="31">
        <f t="shared" si="13"/>
        <v>-538811.61</v>
      </c>
      <c r="U70" s="228">
        <f t="shared" si="14"/>
        <v>0</v>
      </c>
      <c r="V70" s="31">
        <f t="shared" si="15"/>
        <v>-538811.61</v>
      </c>
      <c r="W70" s="228">
        <f t="shared" si="7"/>
        <v>0</v>
      </c>
      <c r="X70" s="31">
        <f t="shared" si="8"/>
        <v>-538811.61</v>
      </c>
      <c r="Y70" s="228">
        <f t="shared" si="9"/>
        <v>0</v>
      </c>
      <c r="Z70" s="31">
        <f t="shared" si="10"/>
        <v>-538811.61</v>
      </c>
      <c r="AA70" s="228">
        <f t="shared" si="16"/>
        <v>0</v>
      </c>
      <c r="AB70" s="228">
        <f t="shared" si="17"/>
        <v>-538811.61</v>
      </c>
      <c r="AC70" s="247">
        <f t="shared" si="18"/>
        <v>-538811.61</v>
      </c>
      <c r="AD70" s="248">
        <f t="shared" si="19"/>
        <v>0</v>
      </c>
    </row>
    <row r="71" spans="1:30" x14ac:dyDescent="0.2">
      <c r="A71" t="s">
        <v>298</v>
      </c>
      <c r="D71" s="9">
        <v>3353368</v>
      </c>
      <c r="E71" s="9"/>
      <c r="F71" s="9"/>
      <c r="G71" s="254">
        <f t="array" ref="G71">SUM(('Отчет по покупателям УТ'!$H$6:$H$5000='Adjusted Ageing by Customer'!G$8)*('Отчет по покупателям УТ'!$M$6:$M$5000='Adjusted Ageing by Customer'!$A71)*('Отчет по покупателям УТ'!$K$6:$K$5000))</f>
        <v>3383464</v>
      </c>
      <c r="H71" s="254">
        <f t="array" ref="H71">SUM(('Отчет по покупателям УТ'!$H$6:$H$5000='Adjusted Ageing by Customer'!H$8)*('Отчет по покупателям УТ'!$M$6:$M$5000='Adjusted Ageing by Customer'!$A71)*('Отчет по покупателям УТ'!$K$6:$K$5000))</f>
        <v>0</v>
      </c>
      <c r="I71" s="254">
        <f t="array" ref="I71">SUM(('Отчет по покупателям УТ'!$H$6:$H$5000='Adjusted Ageing by Customer'!I$8)*('Отчет по покупателям УТ'!$M$6:$M$5000='Adjusted Ageing by Customer'!$A71)*('Отчет по покупателям УТ'!$K$6:$K$5000))</f>
        <v>0</v>
      </c>
      <c r="J71" s="254">
        <f t="array" ref="J71">SUM(('Отчет по покупателям УТ'!$H$6:$H$5000='Adjusted Ageing by Customer'!J$8)*('Отчет по покупателям УТ'!$M$6:$M$5000='Adjusted Ageing by Customer'!$A71)*('Отчет по покупателям УТ'!$K$6:$K$5000))</f>
        <v>0</v>
      </c>
      <c r="K71" s="254">
        <f t="array" ref="K71">SUM(('Отчет по покупателям УТ'!$H$6:$H$5000='Adjusted Ageing by Customer'!K$8)*('Отчет по покупателям УТ'!$M$6:$M$5000='Adjusted Ageing by Customer'!$A71)*('Отчет по покупателям УТ'!$K$6:$K$5000))</f>
        <v>0</v>
      </c>
      <c r="L71" s="254">
        <f t="array" ref="L71">SUM(('Отчет по покупателям УТ'!$H$6:$H$5000='Adjusted Ageing by Customer'!L$8)*('Отчет по покупателям УТ'!$M$6:$M$5000='Adjusted Ageing by Customer'!$A71)*('Отчет по покупателям УТ'!$K$6:$K$5000))</f>
        <v>-30096</v>
      </c>
      <c r="M71" s="247">
        <f t="shared" si="6"/>
        <v>3353368</v>
      </c>
      <c r="R71" s="9" t="b">
        <f t="shared" si="11"/>
        <v>1</v>
      </c>
      <c r="S71" s="228">
        <f t="shared" si="12"/>
        <v>3353368</v>
      </c>
      <c r="T71" s="31">
        <f t="shared" si="13"/>
        <v>-30096</v>
      </c>
      <c r="U71" s="228">
        <f t="shared" si="14"/>
        <v>0</v>
      </c>
      <c r="V71" s="31">
        <f t="shared" si="15"/>
        <v>-30096</v>
      </c>
      <c r="W71" s="228">
        <f t="shared" si="7"/>
        <v>0</v>
      </c>
      <c r="X71" s="31">
        <f t="shared" si="8"/>
        <v>-30096</v>
      </c>
      <c r="Y71" s="228">
        <f t="shared" si="9"/>
        <v>0</v>
      </c>
      <c r="Z71" s="31">
        <f t="shared" si="10"/>
        <v>-30096</v>
      </c>
      <c r="AA71" s="228">
        <f t="shared" si="16"/>
        <v>0</v>
      </c>
      <c r="AB71" s="228">
        <f t="shared" si="17"/>
        <v>0</v>
      </c>
      <c r="AC71" s="247">
        <f t="shared" si="18"/>
        <v>3353368</v>
      </c>
      <c r="AD71" s="248">
        <f t="shared" si="19"/>
        <v>3353368</v>
      </c>
    </row>
    <row r="72" spans="1:30" x14ac:dyDescent="0.2">
      <c r="A72" s="47" t="s">
        <v>310</v>
      </c>
      <c r="D72" s="9">
        <v>5024207.99</v>
      </c>
      <c r="E72" s="9"/>
      <c r="F72" s="9"/>
      <c r="G72" s="254">
        <f t="array" ref="G72">SUM(('Отчет по покупателям УТ'!$H$6:$H$5000='Adjusted Ageing by Customer'!G$8)*('Отчет по покупателям УТ'!$M$6:$M$5000='Adjusted Ageing by Customer'!$A72)*('Отчет по покупателям УТ'!$K$6:$K$5000))</f>
        <v>5018850</v>
      </c>
      <c r="H72" s="254">
        <f t="array" ref="H72">SUM(('Отчет по покупателям УТ'!$H$6:$H$5000='Adjusted Ageing by Customer'!H$8)*('Отчет по покупателям УТ'!$M$6:$M$5000='Adjusted Ageing by Customer'!$A72)*('Отчет по покупателям УТ'!$K$6:$K$5000))</f>
        <v>0</v>
      </c>
      <c r="I72" s="254">
        <f t="array" ref="I72">SUM(('Отчет по покупателям УТ'!$H$6:$H$5000='Adjusted Ageing by Customer'!I$8)*('Отчет по покупателям УТ'!$M$6:$M$5000='Adjusted Ageing by Customer'!$A72)*('Отчет по покупателям УТ'!$K$6:$K$5000))</f>
        <v>5358</v>
      </c>
      <c r="J72" s="254">
        <f t="array" ref="J72">SUM(('Отчет по покупателям УТ'!$H$6:$H$5000='Adjusted Ageing by Customer'!J$8)*('Отчет по покупателям УТ'!$M$6:$M$5000='Adjusted Ageing by Customer'!$A72)*('Отчет по покупателям УТ'!$K$6:$K$5000))</f>
        <v>0</v>
      </c>
      <c r="K72" s="254">
        <f t="array" ref="K72">SUM(('Отчет по покупателям УТ'!$H$6:$H$5000='Adjusted Ageing by Customer'!K$8)*('Отчет по покупателям УТ'!$M$6:$M$5000='Adjusted Ageing by Customer'!$A72)*('Отчет по покупателям УТ'!$K$6:$K$5000))</f>
        <v>0</v>
      </c>
      <c r="L72" s="254">
        <f t="array" ref="L72">SUM(('Отчет по покупателям УТ'!$H$6:$H$5000='Adjusted Ageing by Customer'!L$8)*('Отчет по покупателям УТ'!$M$6:$M$5000='Adjusted Ageing by Customer'!$A72)*('Отчет по покупателям УТ'!$K$6:$K$5000))</f>
        <v>-0.01</v>
      </c>
      <c r="M72" s="247">
        <f t="shared" si="6"/>
        <v>5024207.99</v>
      </c>
      <c r="R72" s="9" t="b">
        <f t="shared" si="11"/>
        <v>1</v>
      </c>
      <c r="S72" s="228">
        <f t="shared" si="12"/>
        <v>5018850</v>
      </c>
      <c r="T72" s="31">
        <f t="shared" si="13"/>
        <v>0</v>
      </c>
      <c r="U72" s="228">
        <f t="shared" si="14"/>
        <v>0</v>
      </c>
      <c r="V72" s="31">
        <f t="shared" si="15"/>
        <v>0</v>
      </c>
      <c r="W72" s="228">
        <f t="shared" si="7"/>
        <v>5357.99</v>
      </c>
      <c r="X72" s="31">
        <f t="shared" si="8"/>
        <v>-0.01</v>
      </c>
      <c r="Y72" s="228">
        <f t="shared" si="9"/>
        <v>0</v>
      </c>
      <c r="Z72" s="31">
        <f t="shared" si="10"/>
        <v>-0.01</v>
      </c>
      <c r="AA72" s="228">
        <f t="shared" si="16"/>
        <v>0</v>
      </c>
      <c r="AB72" s="228">
        <f t="shared" si="17"/>
        <v>0</v>
      </c>
      <c r="AC72" s="247">
        <f t="shared" si="18"/>
        <v>5024207.99</v>
      </c>
      <c r="AD72" s="248">
        <f t="shared" si="19"/>
        <v>5024207.99</v>
      </c>
    </row>
    <row r="73" spans="1:30" x14ac:dyDescent="0.2">
      <c r="A73" s="47" t="s">
        <v>315</v>
      </c>
      <c r="D73" s="9">
        <v>-1345382.9100000001</v>
      </c>
      <c r="E73" s="9"/>
      <c r="F73" s="9"/>
      <c r="G73" s="254">
        <f t="array" ref="G73">SUM(('Отчет по покупателям УТ'!$H$6:$H$5000='Adjusted Ageing by Customer'!G$8)*('Отчет по покупателям УТ'!$M$6:$M$5000='Adjusted Ageing by Customer'!$A73)*('Отчет по покупателям УТ'!$K$6:$K$5000))</f>
        <v>0</v>
      </c>
      <c r="H73" s="254">
        <f t="array" ref="H73">SUM(('Отчет по покупателям УТ'!$H$6:$H$5000='Adjusted Ageing by Customer'!H$8)*('Отчет по покупателям УТ'!$M$6:$M$5000='Adjusted Ageing by Customer'!$A73)*('Отчет по покупателям УТ'!$K$6:$K$5000))</f>
        <v>0</v>
      </c>
      <c r="I73" s="254">
        <f t="array" ref="I73">SUM(('Отчет по покупателям УТ'!$H$6:$H$5000='Adjusted Ageing by Customer'!I$8)*('Отчет по покупателям УТ'!$M$6:$M$5000='Adjusted Ageing by Customer'!$A73)*('Отчет по покупателям УТ'!$K$6:$K$5000))</f>
        <v>0</v>
      </c>
      <c r="J73" s="254">
        <f t="array" ref="J73">SUM(('Отчет по покупателям УТ'!$H$6:$H$5000='Adjusted Ageing by Customer'!J$8)*('Отчет по покупателям УТ'!$M$6:$M$5000='Adjusted Ageing by Customer'!$A73)*('Отчет по покупателям УТ'!$K$6:$K$5000))</f>
        <v>0</v>
      </c>
      <c r="K73" s="254">
        <f t="array" ref="K73">SUM(('Отчет по покупателям УТ'!$H$6:$H$5000='Adjusted Ageing by Customer'!K$8)*('Отчет по покупателям УТ'!$M$6:$M$5000='Adjusted Ageing by Customer'!$A73)*('Отчет по покупателям УТ'!$K$6:$K$5000))</f>
        <v>0</v>
      </c>
      <c r="L73" s="254">
        <f t="array" ref="L73">SUM(('Отчет по покупателям УТ'!$H$6:$H$5000='Adjusted Ageing by Customer'!L$8)*('Отчет по покупателям УТ'!$M$6:$M$5000='Adjusted Ageing by Customer'!$A73)*('Отчет по покупателям УТ'!$K$6:$K$5000))</f>
        <v>-1345382.9100000001</v>
      </c>
      <c r="M73" s="247">
        <f t="shared" ref="M73:M96" si="20">SUM(G73:L73)</f>
        <v>-1345382.9100000001</v>
      </c>
      <c r="R73" s="9" t="b">
        <f t="shared" si="11"/>
        <v>1</v>
      </c>
      <c r="S73" s="228">
        <f t="shared" ref="S73:S96" si="21">IF(G73+T73&lt;0,0,G73+T73)</f>
        <v>0</v>
      </c>
      <c r="T73" s="31">
        <f t="shared" ref="T73:T96" si="22">IF(L73+K73+J73+I73+H73&lt;0,L73+K73+J73+I73+H73,0)</f>
        <v>-1345382.9100000001</v>
      </c>
      <c r="U73" s="228">
        <f t="shared" ref="U73:U96" si="23">IF(H73+V73&lt;0,0,H73+V73)</f>
        <v>0</v>
      </c>
      <c r="V73" s="31">
        <f t="shared" ref="V73:V96" si="24">IF(L73+K73+J73+I73&lt;0,L73+K73+J73+I73,0)</f>
        <v>-1345382.9100000001</v>
      </c>
      <c r="W73" s="228">
        <f t="shared" ref="W73:W96" si="25">IF(I73+X73&lt;0,0,I73+X73)</f>
        <v>0</v>
      </c>
      <c r="X73" s="31">
        <f t="shared" ref="X73:X96" si="26">IF(L73+K73+J73&lt;0,L73+K73+J73,0)</f>
        <v>-1345382.9100000001</v>
      </c>
      <c r="Y73" s="228">
        <f t="shared" ref="Y73:Y96" si="27">IF(J73+Z73&lt;0,0,J73+Z73)</f>
        <v>0</v>
      </c>
      <c r="Z73" s="31">
        <f t="shared" ref="Z73:Z96" si="28">IF(L73+K73&lt;0,L73+K73,0)</f>
        <v>-1345382.9100000001</v>
      </c>
      <c r="AA73" s="228">
        <f t="shared" ref="AA73:AA96" si="29">IF(K73+L73&lt;0,0,K73+L73)</f>
        <v>0</v>
      </c>
      <c r="AB73" s="228">
        <f t="shared" ref="AB73:AB96" si="30">IF(SUM(G73:L73)&lt;0,M73,0)</f>
        <v>-1345382.9100000001</v>
      </c>
      <c r="AC73" s="247">
        <f t="shared" si="18"/>
        <v>-1345382.9100000001</v>
      </c>
      <c r="AD73" s="248">
        <f t="shared" si="19"/>
        <v>0</v>
      </c>
    </row>
    <row r="74" spans="1:30" x14ac:dyDescent="0.2">
      <c r="A74" s="47" t="s">
        <v>324</v>
      </c>
      <c r="D74" s="9">
        <v>826065.4</v>
      </c>
      <c r="E74" s="9"/>
      <c r="F74" s="9"/>
      <c r="G74" s="254">
        <f t="array" ref="G74">SUM(('Отчет по покупателям УТ'!$H$6:$H$5000='Adjusted Ageing by Customer'!G$8)*('Отчет по покупателям УТ'!$M$6:$M$5000='Adjusted Ageing by Customer'!$A74)*('Отчет по покупателям УТ'!$K$6:$K$5000))</f>
        <v>1370346.4</v>
      </c>
      <c r="H74" s="254">
        <f t="array" ref="H74">SUM(('Отчет по покупателям УТ'!$H$6:$H$5000='Adjusted Ageing by Customer'!H$8)*('Отчет по покупателям УТ'!$M$6:$M$5000='Adjusted Ageing by Customer'!$A74)*('Отчет по покупателям УТ'!$K$6:$K$5000))</f>
        <v>0</v>
      </c>
      <c r="I74" s="254">
        <f t="array" ref="I74">SUM(('Отчет по покупателям УТ'!$H$6:$H$5000='Adjusted Ageing by Customer'!I$8)*('Отчет по покупателям УТ'!$M$6:$M$5000='Adjusted Ageing by Customer'!$A74)*('Отчет по покупателям УТ'!$K$6:$K$5000))</f>
        <v>0</v>
      </c>
      <c r="J74" s="254">
        <f t="array" ref="J74">SUM(('Отчет по покупателям УТ'!$H$6:$H$5000='Adjusted Ageing by Customer'!J$8)*('Отчет по покупателям УТ'!$M$6:$M$5000='Adjusted Ageing by Customer'!$A74)*('Отчет по покупателям УТ'!$K$6:$K$5000))</f>
        <v>0</v>
      </c>
      <c r="K74" s="254">
        <f t="array" ref="K74">SUM(('Отчет по покупателям УТ'!$H$6:$H$5000='Adjusted Ageing by Customer'!K$8)*('Отчет по покупателям УТ'!$M$6:$M$5000='Adjusted Ageing by Customer'!$A74)*('Отчет по покупателям УТ'!$K$6:$K$5000))</f>
        <v>0</v>
      </c>
      <c r="L74" s="254">
        <f t="array" ref="L74">SUM(('Отчет по покупателям УТ'!$H$6:$H$5000='Adjusted Ageing by Customer'!L$8)*('Отчет по покупателям УТ'!$M$6:$M$5000='Adjusted Ageing by Customer'!$A74)*('Отчет по покупателям УТ'!$K$6:$K$5000))</f>
        <v>-544281</v>
      </c>
      <c r="M74" s="247">
        <f t="shared" si="20"/>
        <v>826065.39999999991</v>
      </c>
      <c r="R74" s="9" t="b">
        <f t="shared" ref="R74:R96" si="31">M74=SUM(S74,U74,W74,Y74,AA74,AB74)</f>
        <v>1</v>
      </c>
      <c r="S74" s="228">
        <f t="shared" si="21"/>
        <v>826065.39999999991</v>
      </c>
      <c r="T74" s="31">
        <f t="shared" si="22"/>
        <v>-544281</v>
      </c>
      <c r="U74" s="228">
        <f t="shared" si="23"/>
        <v>0</v>
      </c>
      <c r="V74" s="31">
        <f t="shared" si="24"/>
        <v>-544281</v>
      </c>
      <c r="W74" s="228">
        <f t="shared" si="25"/>
        <v>0</v>
      </c>
      <c r="X74" s="31">
        <f t="shared" si="26"/>
        <v>-544281</v>
      </c>
      <c r="Y74" s="228">
        <f t="shared" si="27"/>
        <v>0</v>
      </c>
      <c r="Z74" s="31">
        <f t="shared" si="28"/>
        <v>-544281</v>
      </c>
      <c r="AA74" s="228">
        <f t="shared" si="29"/>
        <v>0</v>
      </c>
      <c r="AB74" s="228">
        <f t="shared" si="30"/>
        <v>0</v>
      </c>
      <c r="AC74" s="247">
        <f t="shared" ref="AC74:AC96" si="32">SUM(AB74,AA74,Y74,W74,U74,S74)</f>
        <v>826065.39999999991</v>
      </c>
      <c r="AD74" s="248">
        <f t="shared" ref="AD74:AD96" si="33">SUM(S74,U74,W74,Y74,AA74)</f>
        <v>826065.39999999991</v>
      </c>
    </row>
    <row r="75" spans="1:30" x14ac:dyDescent="0.2">
      <c r="A75" s="47" t="s">
        <v>327</v>
      </c>
      <c r="D75" s="9">
        <v>-85944.35</v>
      </c>
      <c r="E75" s="9"/>
      <c r="F75" s="9"/>
      <c r="G75" s="254">
        <f t="array" ref="G75">SUM(('Отчет по покупателям УТ'!$H$6:$H$5000='Adjusted Ageing by Customer'!G$8)*('Отчет по покупателям УТ'!$M$6:$M$5000='Adjusted Ageing by Customer'!$A75)*('Отчет по покупателям УТ'!$K$6:$K$5000))</f>
        <v>0</v>
      </c>
      <c r="H75" s="254">
        <f t="array" ref="H75">SUM(('Отчет по покупателям УТ'!$H$6:$H$5000='Adjusted Ageing by Customer'!H$8)*('Отчет по покупателям УТ'!$M$6:$M$5000='Adjusted Ageing by Customer'!$A75)*('Отчет по покупателям УТ'!$K$6:$K$5000))</f>
        <v>0</v>
      </c>
      <c r="I75" s="254">
        <f t="array" ref="I75">SUM(('Отчет по покупателям УТ'!$H$6:$H$5000='Adjusted Ageing by Customer'!I$8)*('Отчет по покупателям УТ'!$M$6:$M$5000='Adjusted Ageing by Customer'!$A75)*('Отчет по покупателям УТ'!$K$6:$K$5000))</f>
        <v>0</v>
      </c>
      <c r="J75" s="254">
        <f t="array" ref="J75">SUM(('Отчет по покупателям УТ'!$H$6:$H$5000='Adjusted Ageing by Customer'!J$8)*('Отчет по покупателям УТ'!$M$6:$M$5000='Adjusted Ageing by Customer'!$A75)*('Отчет по покупателям УТ'!$K$6:$K$5000))</f>
        <v>0</v>
      </c>
      <c r="K75" s="254">
        <f t="array" ref="K75">SUM(('Отчет по покупателям УТ'!$H$6:$H$5000='Adjusted Ageing by Customer'!K$8)*('Отчет по покупателям УТ'!$M$6:$M$5000='Adjusted Ageing by Customer'!$A75)*('Отчет по покупателям УТ'!$K$6:$K$5000))</f>
        <v>0</v>
      </c>
      <c r="L75" s="254">
        <f t="array" ref="L75">SUM(('Отчет по покупателям УТ'!$H$6:$H$5000='Adjusted Ageing by Customer'!L$8)*('Отчет по покупателям УТ'!$M$6:$M$5000='Adjusted Ageing by Customer'!$A75)*('Отчет по покупателям УТ'!$K$6:$K$5000))</f>
        <v>-85944.35</v>
      </c>
      <c r="M75" s="247">
        <f t="shared" si="20"/>
        <v>-85944.35</v>
      </c>
      <c r="R75" s="9" t="b">
        <f t="shared" si="31"/>
        <v>1</v>
      </c>
      <c r="S75" s="228">
        <f t="shared" si="21"/>
        <v>0</v>
      </c>
      <c r="T75" s="31">
        <f t="shared" si="22"/>
        <v>-85944.35</v>
      </c>
      <c r="U75" s="228">
        <f t="shared" si="23"/>
        <v>0</v>
      </c>
      <c r="V75" s="31">
        <f t="shared" si="24"/>
        <v>-85944.35</v>
      </c>
      <c r="W75" s="228">
        <f t="shared" si="25"/>
        <v>0</v>
      </c>
      <c r="X75" s="31">
        <f t="shared" si="26"/>
        <v>-85944.35</v>
      </c>
      <c r="Y75" s="228">
        <f t="shared" si="27"/>
        <v>0</v>
      </c>
      <c r="Z75" s="31">
        <f t="shared" si="28"/>
        <v>-85944.35</v>
      </c>
      <c r="AA75" s="228">
        <f t="shared" si="29"/>
        <v>0</v>
      </c>
      <c r="AB75" s="228">
        <f t="shared" si="30"/>
        <v>-85944.35</v>
      </c>
      <c r="AC75" s="247">
        <f t="shared" si="32"/>
        <v>-85944.35</v>
      </c>
      <c r="AD75" s="248">
        <f t="shared" si="33"/>
        <v>0</v>
      </c>
    </row>
    <row r="76" spans="1:30" x14ac:dyDescent="0.2">
      <c r="A76" s="47" t="s">
        <v>328</v>
      </c>
      <c r="D76" s="9">
        <v>-273140.3</v>
      </c>
      <c r="E76" s="9"/>
      <c r="F76" s="9"/>
      <c r="G76" s="254">
        <f t="array" ref="G76">SUM(('Отчет по покупателям УТ'!$H$6:$H$5000='Adjusted Ageing by Customer'!G$8)*('Отчет по покупателям УТ'!$M$6:$M$5000='Adjusted Ageing by Customer'!$A76)*('Отчет по покупателям УТ'!$K$6:$K$5000))</f>
        <v>0</v>
      </c>
      <c r="H76" s="254">
        <f t="array" ref="H76">SUM(('Отчет по покупателям УТ'!$H$6:$H$5000='Adjusted Ageing by Customer'!H$8)*('Отчет по покупателям УТ'!$M$6:$M$5000='Adjusted Ageing by Customer'!$A76)*('Отчет по покупателям УТ'!$K$6:$K$5000))</f>
        <v>0</v>
      </c>
      <c r="I76" s="254">
        <f t="array" ref="I76">SUM(('Отчет по покупателям УТ'!$H$6:$H$5000='Adjusted Ageing by Customer'!I$8)*('Отчет по покупателям УТ'!$M$6:$M$5000='Adjusted Ageing by Customer'!$A76)*('Отчет по покупателям УТ'!$K$6:$K$5000))</f>
        <v>0</v>
      </c>
      <c r="J76" s="254">
        <f t="array" ref="J76">SUM(('Отчет по покупателям УТ'!$H$6:$H$5000='Adjusted Ageing by Customer'!J$8)*('Отчет по покупателям УТ'!$M$6:$M$5000='Adjusted Ageing by Customer'!$A76)*('Отчет по покупателям УТ'!$K$6:$K$5000))</f>
        <v>0</v>
      </c>
      <c r="K76" s="254">
        <f t="array" ref="K76">SUM(('Отчет по покупателям УТ'!$H$6:$H$5000='Adjusted Ageing by Customer'!K$8)*('Отчет по покупателям УТ'!$M$6:$M$5000='Adjusted Ageing by Customer'!$A76)*('Отчет по покупателям УТ'!$K$6:$K$5000))</f>
        <v>0</v>
      </c>
      <c r="L76" s="254">
        <f t="array" ref="L76">SUM(('Отчет по покупателям УТ'!$H$6:$H$5000='Adjusted Ageing by Customer'!L$8)*('Отчет по покупателям УТ'!$M$6:$M$5000='Adjusted Ageing by Customer'!$A76)*('Отчет по покупателям УТ'!$K$6:$K$5000))</f>
        <v>-273140.3</v>
      </c>
      <c r="M76" s="247">
        <f t="shared" si="20"/>
        <v>-273140.3</v>
      </c>
      <c r="R76" s="9" t="b">
        <f t="shared" si="31"/>
        <v>1</v>
      </c>
      <c r="S76" s="228">
        <f t="shared" si="21"/>
        <v>0</v>
      </c>
      <c r="T76" s="31">
        <f t="shared" si="22"/>
        <v>-273140.3</v>
      </c>
      <c r="U76" s="228">
        <f t="shared" si="23"/>
        <v>0</v>
      </c>
      <c r="V76" s="31">
        <f t="shared" si="24"/>
        <v>-273140.3</v>
      </c>
      <c r="W76" s="228">
        <f t="shared" si="25"/>
        <v>0</v>
      </c>
      <c r="X76" s="31">
        <f t="shared" si="26"/>
        <v>-273140.3</v>
      </c>
      <c r="Y76" s="228">
        <f t="shared" si="27"/>
        <v>0</v>
      </c>
      <c r="Z76" s="31">
        <f t="shared" si="28"/>
        <v>-273140.3</v>
      </c>
      <c r="AA76" s="228">
        <f t="shared" si="29"/>
        <v>0</v>
      </c>
      <c r="AB76" s="228">
        <f t="shared" si="30"/>
        <v>-273140.3</v>
      </c>
      <c r="AC76" s="247">
        <f t="shared" si="32"/>
        <v>-273140.3</v>
      </c>
      <c r="AD76" s="248">
        <f t="shared" si="33"/>
        <v>0</v>
      </c>
    </row>
    <row r="77" spans="1:30" x14ac:dyDescent="0.2">
      <c r="A77" s="47" t="s">
        <v>549</v>
      </c>
      <c r="D77" s="9">
        <v>-95438.37</v>
      </c>
      <c r="E77" s="9"/>
      <c r="F77" s="9"/>
      <c r="G77" s="254">
        <f t="array" ref="G77">SUM(('Отчет по покупателям УТ'!$H$6:$H$5000='Adjusted Ageing by Customer'!G$8)*('Отчет по покупателям УТ'!$M$6:$M$5000='Adjusted Ageing by Customer'!$A77)*('Отчет по покупателям УТ'!$K$6:$K$5000))</f>
        <v>0</v>
      </c>
      <c r="H77" s="254">
        <f t="array" ref="H77">SUM(('Отчет по покупателям УТ'!$H$6:$H$5000='Adjusted Ageing by Customer'!H$8)*('Отчет по покупателям УТ'!$M$6:$M$5000='Adjusted Ageing by Customer'!$A77)*('Отчет по покупателям УТ'!$K$6:$K$5000))</f>
        <v>0</v>
      </c>
      <c r="I77" s="254">
        <f t="array" ref="I77">SUM(('Отчет по покупателям УТ'!$H$6:$H$5000='Adjusted Ageing by Customer'!I$8)*('Отчет по покупателям УТ'!$M$6:$M$5000='Adjusted Ageing by Customer'!$A77)*('Отчет по покупателям УТ'!$K$6:$K$5000))</f>
        <v>0</v>
      </c>
      <c r="J77" s="254">
        <f t="array" ref="J77">SUM(('Отчет по покупателям УТ'!$H$6:$H$5000='Adjusted Ageing by Customer'!J$8)*('Отчет по покупателям УТ'!$M$6:$M$5000='Adjusted Ageing by Customer'!$A77)*('Отчет по покупателям УТ'!$K$6:$K$5000))</f>
        <v>0</v>
      </c>
      <c r="K77" s="254">
        <f t="array" ref="K77">SUM(('Отчет по покупателям УТ'!$H$6:$H$5000='Adjusted Ageing by Customer'!K$8)*('Отчет по покупателям УТ'!$M$6:$M$5000='Adjusted Ageing by Customer'!$A77)*('Отчет по покупателям УТ'!$K$6:$K$5000))</f>
        <v>0</v>
      </c>
      <c r="L77" s="254">
        <f t="array" ref="L77">SUM(('Отчет по покупателям УТ'!$H$6:$H$5000='Adjusted Ageing by Customer'!L$8)*('Отчет по покупателям УТ'!$M$6:$M$5000='Adjusted Ageing by Customer'!$A77)*('Отчет по покупателям УТ'!$K$6:$K$5000))</f>
        <v>-95438.37</v>
      </c>
      <c r="M77" s="247">
        <f t="shared" si="20"/>
        <v>-95438.37</v>
      </c>
      <c r="R77" s="9" t="b">
        <f t="shared" si="31"/>
        <v>1</v>
      </c>
      <c r="S77" s="228">
        <f t="shared" si="21"/>
        <v>0</v>
      </c>
      <c r="T77" s="31">
        <f t="shared" si="22"/>
        <v>-95438.37</v>
      </c>
      <c r="U77" s="228">
        <f t="shared" si="23"/>
        <v>0</v>
      </c>
      <c r="V77" s="31">
        <f t="shared" si="24"/>
        <v>-95438.37</v>
      </c>
      <c r="W77" s="228">
        <f t="shared" si="25"/>
        <v>0</v>
      </c>
      <c r="X77" s="31">
        <f t="shared" si="26"/>
        <v>-95438.37</v>
      </c>
      <c r="Y77" s="228">
        <f t="shared" si="27"/>
        <v>0</v>
      </c>
      <c r="Z77" s="31">
        <f t="shared" si="28"/>
        <v>-95438.37</v>
      </c>
      <c r="AA77" s="228">
        <f t="shared" si="29"/>
        <v>0</v>
      </c>
      <c r="AB77" s="228">
        <f t="shared" si="30"/>
        <v>-95438.37</v>
      </c>
      <c r="AC77" s="247">
        <f t="shared" si="32"/>
        <v>-95438.37</v>
      </c>
      <c r="AD77" s="248">
        <f t="shared" si="33"/>
        <v>0</v>
      </c>
    </row>
    <row r="78" spans="1:30" x14ac:dyDescent="0.2">
      <c r="A78" s="47" t="s">
        <v>726</v>
      </c>
      <c r="D78" s="9">
        <v>-1144349</v>
      </c>
      <c r="E78" s="9"/>
      <c r="F78" s="9"/>
      <c r="G78" s="254">
        <f t="array" ref="G78">SUM(('Отчет по покупателям УТ'!$H$6:$H$5000='Adjusted Ageing by Customer'!G$8)*('Отчет по покупателям УТ'!$M$6:$M$5000='Adjusted Ageing by Customer'!$A78)*('Отчет по покупателям УТ'!$K$6:$K$5000))</f>
        <v>0</v>
      </c>
      <c r="H78" s="254">
        <f t="array" ref="H78">SUM(('Отчет по покупателям УТ'!$H$6:$H$5000='Adjusted Ageing by Customer'!H$8)*('Отчет по покупателям УТ'!$M$6:$M$5000='Adjusted Ageing by Customer'!$A78)*('Отчет по покупателям УТ'!$K$6:$K$5000))</f>
        <v>0</v>
      </c>
      <c r="I78" s="254">
        <f t="array" ref="I78">SUM(('Отчет по покупателям УТ'!$H$6:$H$5000='Adjusted Ageing by Customer'!I$8)*('Отчет по покупателям УТ'!$M$6:$M$5000='Adjusted Ageing by Customer'!$A78)*('Отчет по покупателям УТ'!$K$6:$K$5000))</f>
        <v>0</v>
      </c>
      <c r="J78" s="254">
        <f t="array" ref="J78">SUM(('Отчет по покупателям УТ'!$H$6:$H$5000='Adjusted Ageing by Customer'!J$8)*('Отчет по покупателям УТ'!$M$6:$M$5000='Adjusted Ageing by Customer'!$A78)*('Отчет по покупателям УТ'!$K$6:$K$5000))</f>
        <v>0</v>
      </c>
      <c r="K78" s="254">
        <f t="array" ref="K78">SUM(('Отчет по покупателям УТ'!$H$6:$H$5000='Adjusted Ageing by Customer'!K$8)*('Отчет по покупателям УТ'!$M$6:$M$5000='Adjusted Ageing by Customer'!$A78)*('Отчет по покупателям УТ'!$K$6:$K$5000))</f>
        <v>0</v>
      </c>
      <c r="L78" s="254">
        <f t="array" ref="L78">SUM(('Отчет по покупателям УТ'!$H$6:$H$5000='Adjusted Ageing by Customer'!L$8)*('Отчет по покупателям УТ'!$M$6:$M$5000='Adjusted Ageing by Customer'!$A78)*('Отчет по покупателям УТ'!$K$6:$K$5000))</f>
        <v>-1144349</v>
      </c>
      <c r="M78" s="247">
        <f t="shared" si="20"/>
        <v>-1144349</v>
      </c>
      <c r="R78" s="9" t="b">
        <f t="shared" si="31"/>
        <v>1</v>
      </c>
      <c r="S78" s="228">
        <f t="shared" si="21"/>
        <v>0</v>
      </c>
      <c r="T78" s="31">
        <f t="shared" si="22"/>
        <v>-1144349</v>
      </c>
      <c r="U78" s="228">
        <f t="shared" si="23"/>
        <v>0</v>
      </c>
      <c r="V78" s="31">
        <f t="shared" si="24"/>
        <v>-1144349</v>
      </c>
      <c r="W78" s="228">
        <f t="shared" si="25"/>
        <v>0</v>
      </c>
      <c r="X78" s="31">
        <f t="shared" si="26"/>
        <v>-1144349</v>
      </c>
      <c r="Y78" s="228">
        <f t="shared" si="27"/>
        <v>0</v>
      </c>
      <c r="Z78" s="31">
        <f t="shared" si="28"/>
        <v>-1144349</v>
      </c>
      <c r="AA78" s="228">
        <f t="shared" si="29"/>
        <v>0</v>
      </c>
      <c r="AB78" s="228">
        <f t="shared" si="30"/>
        <v>-1144349</v>
      </c>
      <c r="AC78" s="247">
        <f t="shared" si="32"/>
        <v>-1144349</v>
      </c>
      <c r="AD78" s="248">
        <f t="shared" si="33"/>
        <v>0</v>
      </c>
    </row>
    <row r="79" spans="1:30" x14ac:dyDescent="0.2">
      <c r="A79" s="47" t="s">
        <v>730</v>
      </c>
      <c r="D79" s="9">
        <v>-69037.63</v>
      </c>
      <c r="E79" s="9"/>
      <c r="F79" s="9"/>
      <c r="G79" s="254">
        <f t="array" ref="G79">SUM(('Отчет по покупателям УТ'!$H$6:$H$5000='Adjusted Ageing by Customer'!G$8)*('Отчет по покупателям УТ'!$M$6:$M$5000='Adjusted Ageing by Customer'!$A79)*('Отчет по покупателям УТ'!$K$6:$K$5000))</f>
        <v>0</v>
      </c>
      <c r="H79" s="254">
        <f t="array" ref="H79">SUM(('Отчет по покупателям УТ'!$H$6:$H$5000='Adjusted Ageing by Customer'!H$8)*('Отчет по покупателям УТ'!$M$6:$M$5000='Adjusted Ageing by Customer'!$A79)*('Отчет по покупателям УТ'!$K$6:$K$5000))</f>
        <v>0</v>
      </c>
      <c r="I79" s="254">
        <f t="array" ref="I79">SUM(('Отчет по покупателям УТ'!$H$6:$H$5000='Adjusted Ageing by Customer'!I$8)*('Отчет по покупателям УТ'!$M$6:$M$5000='Adjusted Ageing by Customer'!$A79)*('Отчет по покупателям УТ'!$K$6:$K$5000))</f>
        <v>0</v>
      </c>
      <c r="J79" s="254">
        <f t="array" ref="J79">SUM(('Отчет по покупателям УТ'!$H$6:$H$5000='Adjusted Ageing by Customer'!J$8)*('Отчет по покупателям УТ'!$M$6:$M$5000='Adjusted Ageing by Customer'!$A79)*('Отчет по покупателям УТ'!$K$6:$K$5000))</f>
        <v>0</v>
      </c>
      <c r="K79" s="254">
        <f t="array" ref="K79">SUM(('Отчет по покупателям УТ'!$H$6:$H$5000='Adjusted Ageing by Customer'!K$8)*('Отчет по покупателям УТ'!$M$6:$M$5000='Adjusted Ageing by Customer'!$A79)*('Отчет по покупателям УТ'!$K$6:$K$5000))</f>
        <v>0</v>
      </c>
      <c r="L79" s="254">
        <f t="array" ref="L79">SUM(('Отчет по покупателям УТ'!$H$6:$H$5000='Adjusted Ageing by Customer'!L$8)*('Отчет по покупателям УТ'!$M$6:$M$5000='Adjusted Ageing by Customer'!$A79)*('Отчет по покупателям УТ'!$K$6:$K$5000))</f>
        <v>-69037.63</v>
      </c>
      <c r="M79" s="247">
        <f t="shared" si="20"/>
        <v>-69037.63</v>
      </c>
      <c r="R79" s="9" t="b">
        <f t="shared" si="31"/>
        <v>1</v>
      </c>
      <c r="S79" s="228">
        <f t="shared" si="21"/>
        <v>0</v>
      </c>
      <c r="T79" s="31">
        <f t="shared" si="22"/>
        <v>-69037.63</v>
      </c>
      <c r="U79" s="228">
        <f t="shared" si="23"/>
        <v>0</v>
      </c>
      <c r="V79" s="31">
        <f t="shared" si="24"/>
        <v>-69037.63</v>
      </c>
      <c r="W79" s="228">
        <f t="shared" si="25"/>
        <v>0</v>
      </c>
      <c r="X79" s="31">
        <f t="shared" si="26"/>
        <v>-69037.63</v>
      </c>
      <c r="Y79" s="228">
        <f t="shared" si="27"/>
        <v>0</v>
      </c>
      <c r="Z79" s="31">
        <f t="shared" si="28"/>
        <v>-69037.63</v>
      </c>
      <c r="AA79" s="228">
        <f t="shared" si="29"/>
        <v>0</v>
      </c>
      <c r="AB79" s="228">
        <f t="shared" si="30"/>
        <v>-69037.63</v>
      </c>
      <c r="AC79" s="247">
        <f t="shared" si="32"/>
        <v>-69037.63</v>
      </c>
      <c r="AD79" s="248">
        <f t="shared" si="33"/>
        <v>0</v>
      </c>
    </row>
    <row r="80" spans="1:30" x14ac:dyDescent="0.2">
      <c r="A80" s="47" t="s">
        <v>732</v>
      </c>
      <c r="D80" s="9">
        <v>-103355.81</v>
      </c>
      <c r="E80" s="9"/>
      <c r="F80" s="9"/>
      <c r="G80" s="254">
        <f t="array" ref="G80">SUM(('Отчет по покупателям УТ'!$H$6:$H$5000='Adjusted Ageing by Customer'!G$8)*('Отчет по покупателям УТ'!$M$6:$M$5000='Adjusted Ageing by Customer'!$A80)*('Отчет по покупателям УТ'!$K$6:$K$5000))</f>
        <v>0</v>
      </c>
      <c r="H80" s="254">
        <f t="array" ref="H80">SUM(('Отчет по покупателям УТ'!$H$6:$H$5000='Adjusted Ageing by Customer'!H$8)*('Отчет по покупателям УТ'!$M$6:$M$5000='Adjusted Ageing by Customer'!$A80)*('Отчет по покупателям УТ'!$K$6:$K$5000))</f>
        <v>0</v>
      </c>
      <c r="I80" s="254">
        <f t="array" ref="I80">SUM(('Отчет по покупателям УТ'!$H$6:$H$5000='Adjusted Ageing by Customer'!I$8)*('Отчет по покупателям УТ'!$M$6:$M$5000='Adjusted Ageing by Customer'!$A80)*('Отчет по покупателям УТ'!$K$6:$K$5000))</f>
        <v>0</v>
      </c>
      <c r="J80" s="254">
        <f t="array" ref="J80">SUM(('Отчет по покупателям УТ'!$H$6:$H$5000='Adjusted Ageing by Customer'!J$8)*('Отчет по покупателям УТ'!$M$6:$M$5000='Adjusted Ageing by Customer'!$A80)*('Отчет по покупателям УТ'!$K$6:$K$5000))</f>
        <v>0</v>
      </c>
      <c r="K80" s="254">
        <f t="array" ref="K80">SUM(('Отчет по покупателям УТ'!$H$6:$H$5000='Adjusted Ageing by Customer'!K$8)*('Отчет по покупателям УТ'!$M$6:$M$5000='Adjusted Ageing by Customer'!$A80)*('Отчет по покупателям УТ'!$K$6:$K$5000))</f>
        <v>0</v>
      </c>
      <c r="L80" s="254">
        <f t="array" ref="L80">SUM(('Отчет по покупателям УТ'!$H$6:$H$5000='Adjusted Ageing by Customer'!L$8)*('Отчет по покупателям УТ'!$M$6:$M$5000='Adjusted Ageing by Customer'!$A80)*('Отчет по покупателям УТ'!$K$6:$K$5000))</f>
        <v>-103355.81</v>
      </c>
      <c r="M80" s="247">
        <f t="shared" si="20"/>
        <v>-103355.81</v>
      </c>
      <c r="R80" s="9" t="b">
        <f t="shared" si="31"/>
        <v>1</v>
      </c>
      <c r="S80" s="228">
        <f t="shared" si="21"/>
        <v>0</v>
      </c>
      <c r="T80" s="31">
        <f t="shared" si="22"/>
        <v>-103355.81</v>
      </c>
      <c r="U80" s="228">
        <f t="shared" si="23"/>
        <v>0</v>
      </c>
      <c r="V80" s="31">
        <f t="shared" si="24"/>
        <v>-103355.81</v>
      </c>
      <c r="W80" s="228">
        <f t="shared" si="25"/>
        <v>0</v>
      </c>
      <c r="X80" s="31">
        <f t="shared" si="26"/>
        <v>-103355.81</v>
      </c>
      <c r="Y80" s="228">
        <f t="shared" si="27"/>
        <v>0</v>
      </c>
      <c r="Z80" s="31">
        <f t="shared" si="28"/>
        <v>-103355.81</v>
      </c>
      <c r="AA80" s="228">
        <f t="shared" si="29"/>
        <v>0</v>
      </c>
      <c r="AB80" s="228">
        <f t="shared" si="30"/>
        <v>-103355.81</v>
      </c>
      <c r="AC80" s="247">
        <f t="shared" si="32"/>
        <v>-103355.81</v>
      </c>
      <c r="AD80" s="248">
        <f t="shared" si="33"/>
        <v>0</v>
      </c>
    </row>
    <row r="81" spans="1:30" x14ac:dyDescent="0.2">
      <c r="A81" s="47" t="s">
        <v>733</v>
      </c>
      <c r="D81" s="9">
        <v>-721170</v>
      </c>
      <c r="E81" s="9"/>
      <c r="F81" s="9"/>
      <c r="G81" s="254">
        <f t="array" ref="G81">SUM(('Отчет по покупателям УТ'!$H$6:$H$5000='Adjusted Ageing by Customer'!G$8)*('Отчет по покупателям УТ'!$M$6:$M$5000='Adjusted Ageing by Customer'!$A81)*('Отчет по покупателям УТ'!$K$6:$K$5000))</f>
        <v>0</v>
      </c>
      <c r="H81" s="254">
        <f t="array" ref="H81">SUM(('Отчет по покупателям УТ'!$H$6:$H$5000='Adjusted Ageing by Customer'!H$8)*('Отчет по покупателям УТ'!$M$6:$M$5000='Adjusted Ageing by Customer'!$A81)*('Отчет по покупателям УТ'!$K$6:$K$5000))</f>
        <v>0</v>
      </c>
      <c r="I81" s="254">
        <f t="array" ref="I81">SUM(('Отчет по покупателям УТ'!$H$6:$H$5000='Adjusted Ageing by Customer'!I$8)*('Отчет по покупателям УТ'!$M$6:$M$5000='Adjusted Ageing by Customer'!$A81)*('Отчет по покупателям УТ'!$K$6:$K$5000))</f>
        <v>0</v>
      </c>
      <c r="J81" s="254">
        <f t="array" ref="J81">SUM(('Отчет по покупателям УТ'!$H$6:$H$5000='Adjusted Ageing by Customer'!J$8)*('Отчет по покупателям УТ'!$M$6:$M$5000='Adjusted Ageing by Customer'!$A81)*('Отчет по покупателям УТ'!$K$6:$K$5000))</f>
        <v>0</v>
      </c>
      <c r="K81" s="254">
        <f t="array" ref="K81">SUM(('Отчет по покупателям УТ'!$H$6:$H$5000='Adjusted Ageing by Customer'!K$8)*('Отчет по покупателям УТ'!$M$6:$M$5000='Adjusted Ageing by Customer'!$A81)*('Отчет по покупателям УТ'!$K$6:$K$5000))</f>
        <v>0</v>
      </c>
      <c r="L81" s="254">
        <f t="array" ref="L81">SUM(('Отчет по покупателям УТ'!$H$6:$H$5000='Adjusted Ageing by Customer'!L$8)*('Отчет по покупателям УТ'!$M$6:$M$5000='Adjusted Ageing by Customer'!$A81)*('Отчет по покупателям УТ'!$K$6:$K$5000))</f>
        <v>-721170</v>
      </c>
      <c r="M81" s="247">
        <f t="shared" si="20"/>
        <v>-721170</v>
      </c>
      <c r="R81" s="9" t="b">
        <f t="shared" si="31"/>
        <v>1</v>
      </c>
      <c r="S81" s="228">
        <f t="shared" si="21"/>
        <v>0</v>
      </c>
      <c r="T81" s="31">
        <f t="shared" si="22"/>
        <v>-721170</v>
      </c>
      <c r="U81" s="228">
        <f t="shared" si="23"/>
        <v>0</v>
      </c>
      <c r="V81" s="31">
        <f t="shared" si="24"/>
        <v>-721170</v>
      </c>
      <c r="W81" s="228">
        <f t="shared" si="25"/>
        <v>0</v>
      </c>
      <c r="X81" s="31">
        <f t="shared" si="26"/>
        <v>-721170</v>
      </c>
      <c r="Y81" s="228">
        <f t="shared" si="27"/>
        <v>0</v>
      </c>
      <c r="Z81" s="31">
        <f t="shared" si="28"/>
        <v>-721170</v>
      </c>
      <c r="AA81" s="228">
        <f t="shared" si="29"/>
        <v>0</v>
      </c>
      <c r="AB81" s="228">
        <f t="shared" si="30"/>
        <v>-721170</v>
      </c>
      <c r="AC81" s="247">
        <f t="shared" si="32"/>
        <v>-721170</v>
      </c>
      <c r="AD81" s="248">
        <f t="shared" si="33"/>
        <v>0</v>
      </c>
    </row>
    <row r="82" spans="1:30" x14ac:dyDescent="0.2">
      <c r="A82" s="47" t="s">
        <v>734</v>
      </c>
      <c r="D82" s="9">
        <v>-278680.69</v>
      </c>
      <c r="E82" s="9"/>
      <c r="F82" s="9"/>
      <c r="G82" s="254">
        <f t="array" ref="G82">SUM(('Отчет по покупателям УТ'!$H$6:$H$5000='Adjusted Ageing by Customer'!G$8)*('Отчет по покупателям УТ'!$M$6:$M$5000='Adjusted Ageing by Customer'!$A82)*('Отчет по покупателям УТ'!$K$6:$K$5000))</f>
        <v>0</v>
      </c>
      <c r="H82" s="254">
        <f t="array" ref="H82">SUM(('Отчет по покупателям УТ'!$H$6:$H$5000='Adjusted Ageing by Customer'!H$8)*('Отчет по покупателям УТ'!$M$6:$M$5000='Adjusted Ageing by Customer'!$A82)*('Отчет по покупателям УТ'!$K$6:$K$5000))</f>
        <v>0</v>
      </c>
      <c r="I82" s="254">
        <f t="array" ref="I82">SUM(('Отчет по покупателям УТ'!$H$6:$H$5000='Adjusted Ageing by Customer'!I$8)*('Отчет по покупателям УТ'!$M$6:$M$5000='Adjusted Ageing by Customer'!$A82)*('Отчет по покупателям УТ'!$K$6:$K$5000))</f>
        <v>0</v>
      </c>
      <c r="J82" s="254">
        <f t="array" ref="J82">SUM(('Отчет по покупателям УТ'!$H$6:$H$5000='Adjusted Ageing by Customer'!J$8)*('Отчет по покупателям УТ'!$M$6:$M$5000='Adjusted Ageing by Customer'!$A82)*('Отчет по покупателям УТ'!$K$6:$K$5000))</f>
        <v>0</v>
      </c>
      <c r="K82" s="254">
        <f t="array" ref="K82">SUM(('Отчет по покупателям УТ'!$H$6:$H$5000='Adjusted Ageing by Customer'!K$8)*('Отчет по покупателям УТ'!$M$6:$M$5000='Adjusted Ageing by Customer'!$A82)*('Отчет по покупателям УТ'!$K$6:$K$5000))</f>
        <v>0</v>
      </c>
      <c r="L82" s="254">
        <f t="array" ref="L82">SUM(('Отчет по покупателям УТ'!$H$6:$H$5000='Adjusted Ageing by Customer'!L$8)*('Отчет по покупателям УТ'!$M$6:$M$5000='Adjusted Ageing by Customer'!$A82)*('Отчет по покупателям УТ'!$K$6:$K$5000))</f>
        <v>-278680.69</v>
      </c>
      <c r="M82" s="247">
        <f t="shared" si="20"/>
        <v>-278680.69</v>
      </c>
      <c r="R82" s="9" t="b">
        <f t="shared" si="31"/>
        <v>1</v>
      </c>
      <c r="S82" s="228">
        <f t="shared" si="21"/>
        <v>0</v>
      </c>
      <c r="T82" s="31">
        <f t="shared" si="22"/>
        <v>-278680.69</v>
      </c>
      <c r="U82" s="228">
        <f t="shared" si="23"/>
        <v>0</v>
      </c>
      <c r="V82" s="31">
        <f t="shared" si="24"/>
        <v>-278680.69</v>
      </c>
      <c r="W82" s="228">
        <f t="shared" si="25"/>
        <v>0</v>
      </c>
      <c r="X82" s="31">
        <f t="shared" si="26"/>
        <v>-278680.69</v>
      </c>
      <c r="Y82" s="228">
        <f t="shared" si="27"/>
        <v>0</v>
      </c>
      <c r="Z82" s="31">
        <f t="shared" si="28"/>
        <v>-278680.69</v>
      </c>
      <c r="AA82" s="228">
        <f t="shared" si="29"/>
        <v>0</v>
      </c>
      <c r="AB82" s="228">
        <f t="shared" si="30"/>
        <v>-278680.69</v>
      </c>
      <c r="AC82" s="247">
        <f t="shared" si="32"/>
        <v>-278680.69</v>
      </c>
      <c r="AD82" s="248">
        <f t="shared" si="33"/>
        <v>0</v>
      </c>
    </row>
    <row r="83" spans="1:30" x14ac:dyDescent="0.2">
      <c r="A83" t="s">
        <v>874</v>
      </c>
      <c r="D83" s="9">
        <v>-139331</v>
      </c>
      <c r="E83" s="9"/>
      <c r="F83" s="9"/>
      <c r="G83" s="254">
        <f t="array" ref="G83">SUM(('Отчет по покупателям УТ'!$H$6:$H$5000='Adjusted Ageing by Customer'!G$8)*('Отчет по покупателям УТ'!$M$6:$M$5000='Adjusted Ageing by Customer'!$A83)*('Отчет по покупателям УТ'!$K$6:$K$5000))</f>
        <v>0</v>
      </c>
      <c r="H83" s="254">
        <f t="array" ref="H83">SUM(('Отчет по покупателям УТ'!$H$6:$H$5000='Adjusted Ageing by Customer'!H$8)*('Отчет по покупателям УТ'!$M$6:$M$5000='Adjusted Ageing by Customer'!$A83)*('Отчет по покупателям УТ'!$K$6:$K$5000))</f>
        <v>0</v>
      </c>
      <c r="I83" s="254">
        <f t="array" ref="I83">SUM(('Отчет по покупателям УТ'!$H$6:$H$5000='Adjusted Ageing by Customer'!I$8)*('Отчет по покупателям УТ'!$M$6:$M$5000='Adjusted Ageing by Customer'!$A83)*('Отчет по покупателям УТ'!$K$6:$K$5000))</f>
        <v>0</v>
      </c>
      <c r="J83" s="254">
        <f t="array" ref="J83">SUM(('Отчет по покупателям УТ'!$H$6:$H$5000='Adjusted Ageing by Customer'!J$8)*('Отчет по покупателям УТ'!$M$6:$M$5000='Adjusted Ageing by Customer'!$A83)*('Отчет по покупателям УТ'!$K$6:$K$5000))</f>
        <v>0</v>
      </c>
      <c r="K83" s="254">
        <f t="array" ref="K83">SUM(('Отчет по покупателям УТ'!$H$6:$H$5000='Adjusted Ageing by Customer'!K$8)*('Отчет по покупателям УТ'!$M$6:$M$5000='Adjusted Ageing by Customer'!$A83)*('Отчет по покупателям УТ'!$K$6:$K$5000))</f>
        <v>0</v>
      </c>
      <c r="L83" s="254">
        <f t="array" ref="L83">SUM(('Отчет по покупателям УТ'!$H$6:$H$5000='Adjusted Ageing by Customer'!L$8)*('Отчет по покупателям УТ'!$M$6:$M$5000='Adjusted Ageing by Customer'!$A83)*('Отчет по покупателям УТ'!$K$6:$K$5000))</f>
        <v>-139331</v>
      </c>
      <c r="M83" s="247">
        <f t="shared" si="20"/>
        <v>-139331</v>
      </c>
      <c r="R83" s="9" t="b">
        <f t="shared" si="31"/>
        <v>1</v>
      </c>
      <c r="S83" s="228">
        <f t="shared" si="21"/>
        <v>0</v>
      </c>
      <c r="T83" s="31">
        <f t="shared" si="22"/>
        <v>-139331</v>
      </c>
      <c r="U83" s="228">
        <f t="shared" si="23"/>
        <v>0</v>
      </c>
      <c r="V83" s="31">
        <f t="shared" si="24"/>
        <v>-139331</v>
      </c>
      <c r="W83" s="228">
        <f t="shared" si="25"/>
        <v>0</v>
      </c>
      <c r="X83" s="31">
        <f t="shared" si="26"/>
        <v>-139331</v>
      </c>
      <c r="Y83" s="228">
        <f t="shared" si="27"/>
        <v>0</v>
      </c>
      <c r="Z83" s="31">
        <f t="shared" si="28"/>
        <v>-139331</v>
      </c>
      <c r="AA83" s="228">
        <f t="shared" si="29"/>
        <v>0</v>
      </c>
      <c r="AB83" s="228">
        <f t="shared" si="30"/>
        <v>-139331</v>
      </c>
      <c r="AC83" s="247">
        <f t="shared" si="32"/>
        <v>-139331</v>
      </c>
      <c r="AD83" s="248">
        <f t="shared" si="33"/>
        <v>0</v>
      </c>
    </row>
    <row r="84" spans="1:30" x14ac:dyDescent="0.2">
      <c r="A84" t="s">
        <v>769</v>
      </c>
      <c r="D84" s="9">
        <v>-301128.5</v>
      </c>
      <c r="E84" s="9"/>
      <c r="F84" s="9"/>
      <c r="G84" s="254">
        <f t="array" ref="G84">SUM(('Отчет по покупателям УТ'!$H$6:$H$5000='Adjusted Ageing by Customer'!G$8)*('Отчет по покупателям УТ'!$M$6:$M$5000='Adjusted Ageing by Customer'!$A84)*('Отчет по покупателям УТ'!$K$6:$K$5000))</f>
        <v>0</v>
      </c>
      <c r="H84" s="254">
        <f t="array" ref="H84">SUM(('Отчет по покупателям УТ'!$H$6:$H$5000='Adjusted Ageing by Customer'!H$8)*('Отчет по покупателям УТ'!$M$6:$M$5000='Adjusted Ageing by Customer'!$A84)*('Отчет по покупателям УТ'!$K$6:$K$5000))</f>
        <v>0</v>
      </c>
      <c r="I84" s="254">
        <f t="array" ref="I84">SUM(('Отчет по покупателям УТ'!$H$6:$H$5000='Adjusted Ageing by Customer'!I$8)*('Отчет по покупателям УТ'!$M$6:$M$5000='Adjusted Ageing by Customer'!$A84)*('Отчет по покупателям УТ'!$K$6:$K$5000))</f>
        <v>0</v>
      </c>
      <c r="J84" s="254">
        <f t="array" ref="J84">SUM(('Отчет по покупателям УТ'!$H$6:$H$5000='Adjusted Ageing by Customer'!J$8)*('Отчет по покупателям УТ'!$M$6:$M$5000='Adjusted Ageing by Customer'!$A84)*('Отчет по покупателям УТ'!$K$6:$K$5000))</f>
        <v>0</v>
      </c>
      <c r="K84" s="254">
        <f t="array" ref="K84">SUM(('Отчет по покупателям УТ'!$H$6:$H$5000='Adjusted Ageing by Customer'!K$8)*('Отчет по покупателям УТ'!$M$6:$M$5000='Adjusted Ageing by Customer'!$A84)*('Отчет по покупателям УТ'!$K$6:$K$5000))</f>
        <v>0</v>
      </c>
      <c r="L84" s="254">
        <f t="array" ref="L84">SUM(('Отчет по покупателям УТ'!$H$6:$H$5000='Adjusted Ageing by Customer'!L$8)*('Отчет по покупателям УТ'!$M$6:$M$5000='Adjusted Ageing by Customer'!$A84)*('Отчет по покупателям УТ'!$K$6:$K$5000))</f>
        <v>-301128.5</v>
      </c>
      <c r="M84" s="247">
        <f t="shared" si="20"/>
        <v>-301128.5</v>
      </c>
      <c r="R84" s="9" t="b">
        <f t="shared" si="31"/>
        <v>1</v>
      </c>
      <c r="S84" s="228">
        <f t="shared" si="21"/>
        <v>0</v>
      </c>
      <c r="T84" s="31">
        <f t="shared" si="22"/>
        <v>-301128.5</v>
      </c>
      <c r="U84" s="228">
        <f t="shared" si="23"/>
        <v>0</v>
      </c>
      <c r="V84" s="31">
        <f t="shared" si="24"/>
        <v>-301128.5</v>
      </c>
      <c r="W84" s="228">
        <f t="shared" si="25"/>
        <v>0</v>
      </c>
      <c r="X84" s="31">
        <f t="shared" si="26"/>
        <v>-301128.5</v>
      </c>
      <c r="Y84" s="228">
        <f t="shared" si="27"/>
        <v>0</v>
      </c>
      <c r="Z84" s="31">
        <f t="shared" si="28"/>
        <v>-301128.5</v>
      </c>
      <c r="AA84" s="228">
        <f t="shared" si="29"/>
        <v>0</v>
      </c>
      <c r="AB84" s="228">
        <f t="shared" si="30"/>
        <v>-301128.5</v>
      </c>
      <c r="AC84" s="247">
        <f t="shared" si="32"/>
        <v>-301128.5</v>
      </c>
      <c r="AD84" s="248">
        <f t="shared" si="33"/>
        <v>0</v>
      </c>
    </row>
    <row r="85" spans="1:30" x14ac:dyDescent="0.2">
      <c r="A85" t="s">
        <v>1198</v>
      </c>
      <c r="D85" s="9">
        <v>-220629.55</v>
      </c>
      <c r="E85" s="9"/>
      <c r="F85" s="9"/>
      <c r="G85" s="254">
        <f t="array" ref="G85">SUM(('Отчет по покупателям УТ'!$H$6:$H$5000='Adjusted Ageing by Customer'!G$8)*('Отчет по покупателям УТ'!$M$6:$M$5000='Adjusted Ageing by Customer'!$A85)*('Отчет по покупателям УТ'!$K$6:$K$5000))</f>
        <v>0</v>
      </c>
      <c r="H85" s="254">
        <f t="array" ref="H85">SUM(('Отчет по покупателям УТ'!$H$6:$H$5000='Adjusted Ageing by Customer'!H$8)*('Отчет по покупателям УТ'!$M$6:$M$5000='Adjusted Ageing by Customer'!$A85)*('Отчет по покупателям УТ'!$K$6:$K$5000))</f>
        <v>0</v>
      </c>
      <c r="I85" s="254">
        <f t="array" ref="I85">SUM(('Отчет по покупателям УТ'!$H$6:$H$5000='Adjusted Ageing by Customer'!I$8)*('Отчет по покупателям УТ'!$M$6:$M$5000='Adjusted Ageing by Customer'!$A85)*('Отчет по покупателям УТ'!$K$6:$K$5000))</f>
        <v>0</v>
      </c>
      <c r="J85" s="254">
        <f t="array" ref="J85">SUM(('Отчет по покупателям УТ'!$H$6:$H$5000='Adjusted Ageing by Customer'!J$8)*('Отчет по покупателям УТ'!$M$6:$M$5000='Adjusted Ageing by Customer'!$A85)*('Отчет по покупателям УТ'!$K$6:$K$5000))</f>
        <v>0</v>
      </c>
      <c r="K85" s="254">
        <f t="array" ref="K85">SUM(('Отчет по покупателям УТ'!$H$6:$H$5000='Adjusted Ageing by Customer'!K$8)*('Отчет по покупателям УТ'!$M$6:$M$5000='Adjusted Ageing by Customer'!$A85)*('Отчет по покупателям УТ'!$K$6:$K$5000))</f>
        <v>0</v>
      </c>
      <c r="L85" s="254">
        <f t="array" ref="L85">SUM(('Отчет по покупателям УТ'!$H$6:$H$5000='Adjusted Ageing by Customer'!L$8)*('Отчет по покупателям УТ'!$M$6:$M$5000='Adjusted Ageing by Customer'!$A85)*('Отчет по покупателям УТ'!$K$6:$K$5000))</f>
        <v>-220629.55</v>
      </c>
      <c r="M85" s="247">
        <f t="shared" si="20"/>
        <v>-220629.55</v>
      </c>
      <c r="R85" s="9" t="b">
        <f t="shared" si="31"/>
        <v>1</v>
      </c>
      <c r="S85" s="228">
        <f t="shared" si="21"/>
        <v>0</v>
      </c>
      <c r="T85" s="31">
        <f t="shared" si="22"/>
        <v>-220629.55</v>
      </c>
      <c r="U85" s="228">
        <f t="shared" si="23"/>
        <v>0</v>
      </c>
      <c r="V85" s="31">
        <f t="shared" si="24"/>
        <v>-220629.55</v>
      </c>
      <c r="W85" s="228">
        <f t="shared" si="25"/>
        <v>0</v>
      </c>
      <c r="X85" s="31">
        <f t="shared" si="26"/>
        <v>-220629.55</v>
      </c>
      <c r="Y85" s="228">
        <f t="shared" si="27"/>
        <v>0</v>
      </c>
      <c r="Z85" s="31">
        <f t="shared" si="28"/>
        <v>-220629.55</v>
      </c>
      <c r="AA85" s="228">
        <f t="shared" si="29"/>
        <v>0</v>
      </c>
      <c r="AB85" s="228">
        <f t="shared" si="30"/>
        <v>-220629.55</v>
      </c>
      <c r="AC85" s="247">
        <f t="shared" si="32"/>
        <v>-220629.55</v>
      </c>
      <c r="AD85" s="248">
        <f t="shared" si="33"/>
        <v>0</v>
      </c>
    </row>
    <row r="86" spans="1:30" x14ac:dyDescent="0.2">
      <c r="A86" t="s">
        <v>1136</v>
      </c>
      <c r="D86" s="9">
        <v>-1861824.5699999998</v>
      </c>
      <c r="E86" s="9"/>
      <c r="F86" s="9"/>
      <c r="G86" s="254">
        <f t="array" ref="G86">SUM(('Отчет по покупателям УТ'!$H$6:$H$5000='Adjusted Ageing by Customer'!G$8)*('Отчет по покупателям УТ'!$M$6:$M$5000='Adjusted Ageing by Customer'!$A86)*('Отчет по покупателям УТ'!$K$6:$K$5000))</f>
        <v>0</v>
      </c>
      <c r="H86" s="254">
        <f t="array" ref="H86">SUM(('Отчет по покупателям УТ'!$H$6:$H$5000='Adjusted Ageing by Customer'!H$8)*('Отчет по покупателям УТ'!$M$6:$M$5000='Adjusted Ageing by Customer'!$A86)*('Отчет по покупателям УТ'!$K$6:$K$5000))</f>
        <v>0</v>
      </c>
      <c r="I86" s="254">
        <f t="array" ref="I86">SUM(('Отчет по покупателям УТ'!$H$6:$H$5000='Adjusted Ageing by Customer'!I$8)*('Отчет по покупателям УТ'!$M$6:$M$5000='Adjusted Ageing by Customer'!$A86)*('Отчет по покупателям УТ'!$K$6:$K$5000))</f>
        <v>0</v>
      </c>
      <c r="J86" s="254">
        <f t="array" ref="J86">SUM(('Отчет по покупателям УТ'!$H$6:$H$5000='Adjusted Ageing by Customer'!J$8)*('Отчет по покупателям УТ'!$M$6:$M$5000='Adjusted Ageing by Customer'!$A86)*('Отчет по покупателям УТ'!$K$6:$K$5000))</f>
        <v>0</v>
      </c>
      <c r="K86" s="254">
        <f t="array" ref="K86">SUM(('Отчет по покупателям УТ'!$H$6:$H$5000='Adjusted Ageing by Customer'!K$8)*('Отчет по покупателям УТ'!$M$6:$M$5000='Adjusted Ageing by Customer'!$A86)*('Отчет по покупателям УТ'!$K$6:$K$5000))</f>
        <v>0</v>
      </c>
      <c r="L86" s="254">
        <f t="array" ref="L86">SUM(('Отчет по покупателям УТ'!$H$6:$H$5000='Adjusted Ageing by Customer'!L$8)*('Отчет по покупателям УТ'!$M$6:$M$5000='Adjusted Ageing by Customer'!$A86)*('Отчет по покупателям УТ'!$K$6:$K$5000))</f>
        <v>-1861824.5699999998</v>
      </c>
      <c r="M86" s="247">
        <f t="shared" si="20"/>
        <v>-1861824.5699999998</v>
      </c>
      <c r="R86" s="9" t="b">
        <f t="shared" si="31"/>
        <v>1</v>
      </c>
      <c r="S86" s="228">
        <f t="shared" si="21"/>
        <v>0</v>
      </c>
      <c r="T86" s="31">
        <f t="shared" si="22"/>
        <v>-1861824.5699999998</v>
      </c>
      <c r="U86" s="228">
        <f t="shared" si="23"/>
        <v>0</v>
      </c>
      <c r="V86" s="31">
        <f t="shared" si="24"/>
        <v>-1861824.5699999998</v>
      </c>
      <c r="W86" s="228">
        <f t="shared" si="25"/>
        <v>0</v>
      </c>
      <c r="X86" s="31">
        <f t="shared" si="26"/>
        <v>-1861824.5699999998</v>
      </c>
      <c r="Y86" s="228">
        <f t="shared" si="27"/>
        <v>0</v>
      </c>
      <c r="Z86" s="31">
        <f t="shared" si="28"/>
        <v>-1861824.5699999998</v>
      </c>
      <c r="AA86" s="228">
        <f t="shared" si="29"/>
        <v>0</v>
      </c>
      <c r="AB86" s="228">
        <f t="shared" si="30"/>
        <v>-1861824.5699999998</v>
      </c>
      <c r="AC86" s="247">
        <f t="shared" si="32"/>
        <v>-1861824.5699999998</v>
      </c>
      <c r="AD86" s="248">
        <f t="shared" si="33"/>
        <v>0</v>
      </c>
    </row>
    <row r="87" spans="1:30" x14ac:dyDescent="0.2">
      <c r="A87" t="s">
        <v>1390</v>
      </c>
      <c r="D87" s="9">
        <v>-66196.14</v>
      </c>
      <c r="E87" s="9"/>
      <c r="F87" s="9"/>
      <c r="G87" s="254">
        <f t="array" ref="G87">SUM(('Отчет по покупателям УТ'!$H$6:$H$5000='Adjusted Ageing by Customer'!G$8)*('Отчет по покупателям УТ'!$M$6:$M$5000='Adjusted Ageing by Customer'!$A87)*('Отчет по покупателям УТ'!$K$6:$K$5000))</f>
        <v>0</v>
      </c>
      <c r="H87" s="254">
        <f t="array" ref="H87">SUM(('Отчет по покупателям УТ'!$H$6:$H$5000='Adjusted Ageing by Customer'!H$8)*('Отчет по покупателям УТ'!$M$6:$M$5000='Adjusted Ageing by Customer'!$A87)*('Отчет по покупателям УТ'!$K$6:$K$5000))</f>
        <v>0</v>
      </c>
      <c r="I87" s="254">
        <f t="array" ref="I87">SUM(('Отчет по покупателям УТ'!$H$6:$H$5000='Adjusted Ageing by Customer'!I$8)*('Отчет по покупателям УТ'!$M$6:$M$5000='Adjusted Ageing by Customer'!$A87)*('Отчет по покупателям УТ'!$K$6:$K$5000))</f>
        <v>0</v>
      </c>
      <c r="J87" s="254">
        <f t="array" ref="J87">SUM(('Отчет по покупателям УТ'!$H$6:$H$5000='Adjusted Ageing by Customer'!J$8)*('Отчет по покупателям УТ'!$M$6:$M$5000='Adjusted Ageing by Customer'!$A87)*('Отчет по покупателям УТ'!$K$6:$K$5000))</f>
        <v>0</v>
      </c>
      <c r="K87" s="254">
        <f t="array" ref="K87">SUM(('Отчет по покупателям УТ'!$H$6:$H$5000='Adjusted Ageing by Customer'!K$8)*('Отчет по покупателям УТ'!$M$6:$M$5000='Adjusted Ageing by Customer'!$A87)*('Отчет по покупателям УТ'!$K$6:$K$5000))</f>
        <v>0</v>
      </c>
      <c r="L87" s="254">
        <f t="array" ref="L87">SUM(('Отчет по покупателям УТ'!$H$6:$H$5000='Adjusted Ageing by Customer'!L$8)*('Отчет по покупателям УТ'!$M$6:$M$5000='Adjusted Ageing by Customer'!$A87)*('Отчет по покупателям УТ'!$K$6:$K$5000))</f>
        <v>-66196.14</v>
      </c>
      <c r="M87" s="247">
        <f t="shared" si="20"/>
        <v>-66196.14</v>
      </c>
      <c r="R87" s="9" t="b">
        <f t="shared" si="31"/>
        <v>1</v>
      </c>
      <c r="S87" s="228">
        <f t="shared" si="21"/>
        <v>0</v>
      </c>
      <c r="T87" s="31">
        <f t="shared" si="22"/>
        <v>-66196.14</v>
      </c>
      <c r="U87" s="228">
        <f t="shared" si="23"/>
        <v>0</v>
      </c>
      <c r="V87" s="31">
        <f t="shared" si="24"/>
        <v>-66196.14</v>
      </c>
      <c r="W87" s="228">
        <f t="shared" si="25"/>
        <v>0</v>
      </c>
      <c r="X87" s="31">
        <f t="shared" si="26"/>
        <v>-66196.14</v>
      </c>
      <c r="Y87" s="228">
        <f t="shared" si="27"/>
        <v>0</v>
      </c>
      <c r="Z87" s="31">
        <f t="shared" si="28"/>
        <v>-66196.14</v>
      </c>
      <c r="AA87" s="228">
        <f t="shared" si="29"/>
        <v>0</v>
      </c>
      <c r="AB87" s="228">
        <f t="shared" si="30"/>
        <v>-66196.14</v>
      </c>
      <c r="AC87" s="247">
        <f t="shared" si="32"/>
        <v>-66196.14</v>
      </c>
      <c r="AD87" s="248">
        <f t="shared" si="33"/>
        <v>0</v>
      </c>
    </row>
    <row r="88" spans="1:30" x14ac:dyDescent="0.2">
      <c r="A88" t="s">
        <v>1485</v>
      </c>
      <c r="B88" t="s">
        <v>22</v>
      </c>
      <c r="D88" s="9">
        <v>-85906.98</v>
      </c>
      <c r="E88" s="9"/>
      <c r="F88" s="9"/>
      <c r="G88" s="254">
        <f t="array" ref="G88">SUM(('Отчет по покупателям УТ'!$H$6:$H$5000='Adjusted Ageing by Customer'!G$8)*('Отчет по покупателям УТ'!$M$6:$M$5000='Adjusted Ageing by Customer'!$A88)*('Отчет по покупателям УТ'!$K$6:$K$5000))</f>
        <v>0</v>
      </c>
      <c r="H88" s="254">
        <f t="array" ref="H88">SUM(('Отчет по покупателям УТ'!$H$6:$H$5000='Adjusted Ageing by Customer'!H$8)*('Отчет по покупателям УТ'!$M$6:$M$5000='Adjusted Ageing by Customer'!$A88)*('Отчет по покупателям УТ'!$K$6:$K$5000))</f>
        <v>0</v>
      </c>
      <c r="I88" s="254">
        <f t="array" ref="I88">SUM(('Отчет по покупателям УТ'!$H$6:$H$5000='Adjusted Ageing by Customer'!I$8)*('Отчет по покупателям УТ'!$M$6:$M$5000='Adjusted Ageing by Customer'!$A88)*('Отчет по покупателям УТ'!$K$6:$K$5000))</f>
        <v>0</v>
      </c>
      <c r="J88" s="254">
        <f t="array" ref="J88">SUM(('Отчет по покупателям УТ'!$H$6:$H$5000='Adjusted Ageing by Customer'!J$8)*('Отчет по покупателям УТ'!$M$6:$M$5000='Adjusted Ageing by Customer'!$A88)*('Отчет по покупателям УТ'!$K$6:$K$5000))</f>
        <v>0</v>
      </c>
      <c r="K88" s="254">
        <f t="array" ref="K88">SUM(('Отчет по покупателям УТ'!$H$6:$H$5000='Adjusted Ageing by Customer'!K$8)*('Отчет по покупателям УТ'!$M$6:$M$5000='Adjusted Ageing by Customer'!$A88)*('Отчет по покупателям УТ'!$K$6:$K$5000))</f>
        <v>0</v>
      </c>
      <c r="L88" s="254">
        <f t="array" ref="L88">SUM(('Отчет по покупателям УТ'!$H$6:$H$5000='Adjusted Ageing by Customer'!L$8)*('Отчет по покупателям УТ'!$M$6:$M$5000='Adjusted Ageing by Customer'!$A88)*('Отчет по покупателям УТ'!$K$6:$K$5000))</f>
        <v>-85906.98</v>
      </c>
      <c r="M88" s="247">
        <f t="shared" si="20"/>
        <v>-85906.98</v>
      </c>
      <c r="R88" s="9" t="b">
        <f t="shared" si="31"/>
        <v>1</v>
      </c>
      <c r="S88" s="228">
        <f t="shared" si="21"/>
        <v>0</v>
      </c>
      <c r="T88" s="31">
        <f t="shared" si="22"/>
        <v>-85906.98</v>
      </c>
      <c r="U88" s="228">
        <f t="shared" si="23"/>
        <v>0</v>
      </c>
      <c r="V88" s="31">
        <f t="shared" si="24"/>
        <v>-85906.98</v>
      </c>
      <c r="W88" s="228">
        <f t="shared" si="25"/>
        <v>0</v>
      </c>
      <c r="X88" s="31">
        <f t="shared" si="26"/>
        <v>-85906.98</v>
      </c>
      <c r="Y88" s="228">
        <f t="shared" si="27"/>
        <v>0</v>
      </c>
      <c r="Z88" s="31">
        <f t="shared" si="28"/>
        <v>-85906.98</v>
      </c>
      <c r="AA88" s="228">
        <f t="shared" si="29"/>
        <v>0</v>
      </c>
      <c r="AB88" s="228">
        <f t="shared" si="30"/>
        <v>-85906.98</v>
      </c>
      <c r="AC88" s="247">
        <f t="shared" si="32"/>
        <v>-85906.98</v>
      </c>
      <c r="AD88" s="248">
        <f t="shared" si="33"/>
        <v>0</v>
      </c>
    </row>
    <row r="89" spans="1:30" x14ac:dyDescent="0.2">
      <c r="A89" t="s">
        <v>1394</v>
      </c>
      <c r="D89" s="9">
        <v>-117513.43</v>
      </c>
      <c r="E89" s="9"/>
      <c r="F89" s="9"/>
      <c r="G89" s="254">
        <f t="array" ref="G89">SUM(('Отчет по покупателям УТ'!$H$6:$H$5000='Adjusted Ageing by Customer'!G$8)*('Отчет по покупателям УТ'!$M$6:$M$5000='Adjusted Ageing by Customer'!$A89)*('Отчет по покупателям УТ'!$K$6:$K$5000))</f>
        <v>0</v>
      </c>
      <c r="H89" s="254">
        <f t="array" ref="H89">SUM(('Отчет по покупателям УТ'!$H$6:$H$5000='Adjusted Ageing by Customer'!H$8)*('Отчет по покупателям УТ'!$M$6:$M$5000='Adjusted Ageing by Customer'!$A89)*('Отчет по покупателям УТ'!$K$6:$K$5000))</f>
        <v>0</v>
      </c>
      <c r="I89" s="254">
        <f t="array" ref="I89">SUM(('Отчет по покупателям УТ'!$H$6:$H$5000='Adjusted Ageing by Customer'!I$8)*('Отчет по покупателям УТ'!$M$6:$M$5000='Adjusted Ageing by Customer'!$A89)*('Отчет по покупателям УТ'!$K$6:$K$5000))</f>
        <v>0</v>
      </c>
      <c r="J89" s="254">
        <f t="array" ref="J89">SUM(('Отчет по покупателям УТ'!$H$6:$H$5000='Adjusted Ageing by Customer'!J$8)*('Отчет по покупателям УТ'!$M$6:$M$5000='Adjusted Ageing by Customer'!$A89)*('Отчет по покупателям УТ'!$K$6:$K$5000))</f>
        <v>0</v>
      </c>
      <c r="K89" s="254">
        <f t="array" ref="K89">SUM(('Отчет по покупателям УТ'!$H$6:$H$5000='Adjusted Ageing by Customer'!K$8)*('Отчет по покупателям УТ'!$M$6:$M$5000='Adjusted Ageing by Customer'!$A89)*('Отчет по покупателям УТ'!$K$6:$K$5000))</f>
        <v>0</v>
      </c>
      <c r="L89" s="254">
        <f t="array" ref="L89">SUM(('Отчет по покупателям УТ'!$H$6:$H$5000='Adjusted Ageing by Customer'!L$8)*('Отчет по покупателям УТ'!$M$6:$M$5000='Adjusted Ageing by Customer'!$A89)*('Отчет по покупателям УТ'!$K$6:$K$5000))</f>
        <v>-117513.43</v>
      </c>
      <c r="M89" s="247">
        <f t="shared" si="20"/>
        <v>-117513.43</v>
      </c>
      <c r="R89" s="9" t="b">
        <f t="shared" si="31"/>
        <v>1</v>
      </c>
      <c r="S89" s="228">
        <f t="shared" si="21"/>
        <v>0</v>
      </c>
      <c r="T89" s="31">
        <f t="shared" si="22"/>
        <v>-117513.43</v>
      </c>
      <c r="U89" s="228">
        <f t="shared" si="23"/>
        <v>0</v>
      </c>
      <c r="V89" s="31">
        <f t="shared" si="24"/>
        <v>-117513.43</v>
      </c>
      <c r="W89" s="228">
        <f t="shared" si="25"/>
        <v>0</v>
      </c>
      <c r="X89" s="31">
        <f t="shared" si="26"/>
        <v>-117513.43</v>
      </c>
      <c r="Y89" s="228">
        <f t="shared" si="27"/>
        <v>0</v>
      </c>
      <c r="Z89" s="31">
        <f t="shared" si="28"/>
        <v>-117513.43</v>
      </c>
      <c r="AA89" s="228">
        <f t="shared" si="29"/>
        <v>0</v>
      </c>
      <c r="AB89" s="228">
        <f t="shared" si="30"/>
        <v>-117513.43</v>
      </c>
      <c r="AC89" s="247">
        <f t="shared" si="32"/>
        <v>-117513.43</v>
      </c>
      <c r="AD89" s="248">
        <f t="shared" si="33"/>
        <v>0</v>
      </c>
    </row>
    <row r="90" spans="1:30" x14ac:dyDescent="0.2">
      <c r="A90" t="s">
        <v>1428</v>
      </c>
      <c r="D90" s="9">
        <v>-172960.58</v>
      </c>
      <c r="E90" s="9"/>
      <c r="F90" s="9"/>
      <c r="G90" s="254">
        <f t="array" ref="G90">SUM(('Отчет по покупателям УТ'!$H$6:$H$5000='Adjusted Ageing by Customer'!G$8)*('Отчет по покупателям УТ'!$M$6:$M$5000='Adjusted Ageing by Customer'!$A90)*('Отчет по покупателям УТ'!$K$6:$K$5000))</f>
        <v>0</v>
      </c>
      <c r="H90" s="254">
        <f t="array" ref="H90">SUM(('Отчет по покупателям УТ'!$H$6:$H$5000='Adjusted Ageing by Customer'!H$8)*('Отчет по покупателям УТ'!$M$6:$M$5000='Adjusted Ageing by Customer'!$A90)*('Отчет по покупателям УТ'!$K$6:$K$5000))</f>
        <v>0</v>
      </c>
      <c r="I90" s="254">
        <f t="array" ref="I90">SUM(('Отчет по покупателям УТ'!$H$6:$H$5000='Adjusted Ageing by Customer'!I$8)*('Отчет по покупателям УТ'!$M$6:$M$5000='Adjusted Ageing by Customer'!$A90)*('Отчет по покупателям УТ'!$K$6:$K$5000))</f>
        <v>0</v>
      </c>
      <c r="J90" s="254">
        <f t="array" ref="J90">SUM(('Отчет по покупателям УТ'!$H$6:$H$5000='Adjusted Ageing by Customer'!J$8)*('Отчет по покупателям УТ'!$M$6:$M$5000='Adjusted Ageing by Customer'!$A90)*('Отчет по покупателям УТ'!$K$6:$K$5000))</f>
        <v>0</v>
      </c>
      <c r="K90" s="254">
        <f t="array" ref="K90">SUM(('Отчет по покупателям УТ'!$H$6:$H$5000='Adjusted Ageing by Customer'!K$8)*('Отчет по покупателям УТ'!$M$6:$M$5000='Adjusted Ageing by Customer'!$A90)*('Отчет по покупателям УТ'!$K$6:$K$5000))</f>
        <v>0</v>
      </c>
      <c r="L90" s="254">
        <f t="array" ref="L90">SUM(('Отчет по покупателям УТ'!$H$6:$H$5000='Adjusted Ageing by Customer'!L$8)*('Отчет по покупателям УТ'!$M$6:$M$5000='Adjusted Ageing by Customer'!$A90)*('Отчет по покупателям УТ'!$K$6:$K$5000))</f>
        <v>-172960.58</v>
      </c>
      <c r="M90" s="247">
        <f t="shared" si="20"/>
        <v>-172960.58</v>
      </c>
      <c r="R90" s="9" t="b">
        <f t="shared" si="31"/>
        <v>1</v>
      </c>
      <c r="S90" s="228">
        <f t="shared" si="21"/>
        <v>0</v>
      </c>
      <c r="T90" s="31">
        <f t="shared" si="22"/>
        <v>-172960.58</v>
      </c>
      <c r="U90" s="228">
        <f t="shared" si="23"/>
        <v>0</v>
      </c>
      <c r="V90" s="31">
        <f t="shared" si="24"/>
        <v>-172960.58</v>
      </c>
      <c r="W90" s="228">
        <f t="shared" si="25"/>
        <v>0</v>
      </c>
      <c r="X90" s="31">
        <f t="shared" si="26"/>
        <v>-172960.58</v>
      </c>
      <c r="Y90" s="228">
        <f t="shared" si="27"/>
        <v>0</v>
      </c>
      <c r="Z90" s="31">
        <f t="shared" si="28"/>
        <v>-172960.58</v>
      </c>
      <c r="AA90" s="228">
        <f t="shared" si="29"/>
        <v>0</v>
      </c>
      <c r="AB90" s="228">
        <f t="shared" si="30"/>
        <v>-172960.58</v>
      </c>
      <c r="AC90" s="247">
        <f t="shared" si="32"/>
        <v>-172960.58</v>
      </c>
      <c r="AD90" s="248">
        <f t="shared" si="33"/>
        <v>0</v>
      </c>
    </row>
    <row r="91" spans="1:30" x14ac:dyDescent="0.2">
      <c r="A91" t="s">
        <v>1469</v>
      </c>
      <c r="B91" t="s">
        <v>22</v>
      </c>
      <c r="D91" s="9">
        <v>-116070.62</v>
      </c>
      <c r="E91" s="9"/>
      <c r="F91" s="9"/>
      <c r="G91" s="254">
        <f t="array" ref="G91">SUM(('Отчет по покупателям УТ'!$H$6:$H$5000='Adjusted Ageing by Customer'!G$8)*('Отчет по покупателям УТ'!$M$6:$M$5000='Adjusted Ageing by Customer'!$A91)*('Отчет по покупателям УТ'!$K$6:$K$5000))</f>
        <v>0.8</v>
      </c>
      <c r="H91" s="254">
        <f t="array" ref="H91">SUM(('Отчет по покупателям УТ'!$H$6:$H$5000='Adjusted Ageing by Customer'!H$8)*('Отчет по покупателям УТ'!$M$6:$M$5000='Adjusted Ageing by Customer'!$A91)*('Отчет по покупателям УТ'!$K$6:$K$5000))</f>
        <v>0</v>
      </c>
      <c r="I91" s="254">
        <f t="array" ref="I91">SUM(('Отчет по покупателям УТ'!$H$6:$H$5000='Adjusted Ageing by Customer'!I$8)*('Отчет по покупателям УТ'!$M$6:$M$5000='Adjusted Ageing by Customer'!$A91)*('Отчет по покупателям УТ'!$K$6:$K$5000))</f>
        <v>0</v>
      </c>
      <c r="J91" s="254">
        <f t="array" ref="J91">SUM(('Отчет по покупателям УТ'!$H$6:$H$5000='Adjusted Ageing by Customer'!J$8)*('Отчет по покупателям УТ'!$M$6:$M$5000='Adjusted Ageing by Customer'!$A91)*('Отчет по покупателям УТ'!$K$6:$K$5000))</f>
        <v>0</v>
      </c>
      <c r="K91" s="254">
        <f t="array" ref="K91">SUM(('Отчет по покупателям УТ'!$H$6:$H$5000='Adjusted Ageing by Customer'!K$8)*('Отчет по покупателям УТ'!$M$6:$M$5000='Adjusted Ageing by Customer'!$A91)*('Отчет по покупателям УТ'!$K$6:$K$5000))</f>
        <v>0</v>
      </c>
      <c r="L91" s="254">
        <f t="array" ref="L91">SUM(('Отчет по покупателям УТ'!$H$6:$H$5000='Adjusted Ageing by Customer'!L$8)*('Отчет по покупателям УТ'!$M$6:$M$5000='Adjusted Ageing by Customer'!$A91)*('Отчет по покупателям УТ'!$K$6:$K$5000))</f>
        <v>-281250</v>
      </c>
      <c r="M91" s="247">
        <f t="shared" si="20"/>
        <v>-281249.2</v>
      </c>
      <c r="R91" s="9" t="b">
        <f t="shared" si="31"/>
        <v>1</v>
      </c>
      <c r="S91" s="228">
        <f t="shared" si="21"/>
        <v>0</v>
      </c>
      <c r="T91" s="31">
        <f t="shared" si="22"/>
        <v>-281250</v>
      </c>
      <c r="U91" s="228">
        <f t="shared" si="23"/>
        <v>0</v>
      </c>
      <c r="V91" s="31">
        <f t="shared" si="24"/>
        <v>-281250</v>
      </c>
      <c r="W91" s="228">
        <f t="shared" si="25"/>
        <v>0</v>
      </c>
      <c r="X91" s="31">
        <f t="shared" si="26"/>
        <v>-281250</v>
      </c>
      <c r="Y91" s="228">
        <f t="shared" si="27"/>
        <v>0</v>
      </c>
      <c r="Z91" s="31">
        <f t="shared" si="28"/>
        <v>-281250</v>
      </c>
      <c r="AA91" s="228">
        <f t="shared" si="29"/>
        <v>0</v>
      </c>
      <c r="AB91" s="228">
        <f t="shared" si="30"/>
        <v>-281249.2</v>
      </c>
      <c r="AC91" s="247">
        <f t="shared" si="32"/>
        <v>-281249.2</v>
      </c>
      <c r="AD91" s="248">
        <f t="shared" si="33"/>
        <v>0</v>
      </c>
    </row>
    <row r="92" spans="1:30" x14ac:dyDescent="0.2">
      <c r="A92" t="s">
        <v>1469</v>
      </c>
      <c r="B92" t="s">
        <v>16</v>
      </c>
      <c r="D92" s="9">
        <v>-165178.58000000002</v>
      </c>
      <c r="E92" s="9"/>
      <c r="F92" s="9"/>
      <c r="G92" s="254">
        <f t="array" ref="G92">SUM(('Отчет по покупателям УТ'!$H$6:$H$5000='Adjusted Ageing by Customer'!G$8)*('Отчет по покупателям УТ'!$M$6:$M$5000='Adjusted Ageing by Customer'!$A92)*('Отчет по покупателям УТ'!$K$6:$K$5000))</f>
        <v>0.8</v>
      </c>
      <c r="H92" s="254">
        <f t="array" ref="H92">SUM(('Отчет по покупателям УТ'!$H$6:$H$5000='Adjusted Ageing by Customer'!H$8)*('Отчет по покупателям УТ'!$M$6:$M$5000='Adjusted Ageing by Customer'!$A92)*('Отчет по покупателям УТ'!$K$6:$K$5000))</f>
        <v>0</v>
      </c>
      <c r="I92" s="254">
        <f t="array" ref="I92">SUM(('Отчет по покупателям УТ'!$H$6:$H$5000='Adjusted Ageing by Customer'!I$8)*('Отчет по покупателям УТ'!$M$6:$M$5000='Adjusted Ageing by Customer'!$A92)*('Отчет по покупателям УТ'!$K$6:$K$5000))</f>
        <v>0</v>
      </c>
      <c r="J92" s="254">
        <f t="array" ref="J92">SUM(('Отчет по покупателям УТ'!$H$6:$H$5000='Adjusted Ageing by Customer'!J$8)*('Отчет по покупателям УТ'!$M$6:$M$5000='Adjusted Ageing by Customer'!$A92)*('Отчет по покупателям УТ'!$K$6:$K$5000))</f>
        <v>0</v>
      </c>
      <c r="K92" s="254">
        <f t="array" ref="K92">SUM(('Отчет по покупателям УТ'!$H$6:$H$5000='Adjusted Ageing by Customer'!K$8)*('Отчет по покупателям УТ'!$M$6:$M$5000='Adjusted Ageing by Customer'!$A92)*('Отчет по покупателям УТ'!$K$6:$K$5000))</f>
        <v>0</v>
      </c>
      <c r="L92" s="254">
        <f t="array" ref="L92">SUM(('Отчет по покупателям УТ'!$H$6:$H$5000='Adjusted Ageing by Customer'!L$8)*('Отчет по покупателям УТ'!$M$6:$M$5000='Adjusted Ageing by Customer'!$A92)*('Отчет по покупателям УТ'!$K$6:$K$5000))</f>
        <v>-281250</v>
      </c>
      <c r="M92" s="247">
        <f t="shared" si="20"/>
        <v>-281249.2</v>
      </c>
      <c r="R92" s="9" t="b">
        <f t="shared" si="31"/>
        <v>1</v>
      </c>
      <c r="S92" s="228">
        <f t="shared" si="21"/>
        <v>0</v>
      </c>
      <c r="T92" s="31">
        <f t="shared" si="22"/>
        <v>-281250</v>
      </c>
      <c r="U92" s="228">
        <f t="shared" si="23"/>
        <v>0</v>
      </c>
      <c r="V92" s="31">
        <f t="shared" si="24"/>
        <v>-281250</v>
      </c>
      <c r="W92" s="228">
        <f t="shared" si="25"/>
        <v>0</v>
      </c>
      <c r="X92" s="31">
        <f t="shared" si="26"/>
        <v>-281250</v>
      </c>
      <c r="Y92" s="228">
        <f t="shared" si="27"/>
        <v>0</v>
      </c>
      <c r="Z92" s="31">
        <f t="shared" si="28"/>
        <v>-281250</v>
      </c>
      <c r="AA92" s="228">
        <f t="shared" si="29"/>
        <v>0</v>
      </c>
      <c r="AB92" s="228">
        <f t="shared" si="30"/>
        <v>-281249.2</v>
      </c>
      <c r="AC92" s="247">
        <f t="shared" si="32"/>
        <v>-281249.2</v>
      </c>
      <c r="AD92" s="248">
        <f t="shared" si="33"/>
        <v>0</v>
      </c>
    </row>
    <row r="93" spans="1:30" x14ac:dyDescent="0.2">
      <c r="A93" t="s">
        <v>1486</v>
      </c>
      <c r="B93" t="s">
        <v>22</v>
      </c>
      <c r="D93" s="9">
        <v>-95860</v>
      </c>
      <c r="E93" s="9"/>
      <c r="F93" s="9"/>
      <c r="G93" s="254">
        <f t="array" ref="G93">SUM(('Отчет по покупателям УТ'!$H$6:$H$5000='Adjusted Ageing by Customer'!G$8)*('Отчет по покупателям УТ'!$M$6:$M$5000='Adjusted Ageing by Customer'!$A93)*('Отчет по покупателям УТ'!$K$6:$K$5000))</f>
        <v>0</v>
      </c>
      <c r="H93" s="254">
        <f t="array" ref="H93">SUM(('Отчет по покупателям УТ'!$H$6:$H$5000='Adjusted Ageing by Customer'!H$8)*('Отчет по покупателям УТ'!$M$6:$M$5000='Adjusted Ageing by Customer'!$A93)*('Отчет по покупателям УТ'!$K$6:$K$5000))</f>
        <v>0</v>
      </c>
      <c r="I93" s="254">
        <f t="array" ref="I93">SUM(('Отчет по покупателям УТ'!$H$6:$H$5000='Adjusted Ageing by Customer'!I$8)*('Отчет по покупателям УТ'!$M$6:$M$5000='Adjusted Ageing by Customer'!$A93)*('Отчет по покупателям УТ'!$K$6:$K$5000))</f>
        <v>0</v>
      </c>
      <c r="J93" s="254">
        <f t="array" ref="J93">SUM(('Отчет по покупателям УТ'!$H$6:$H$5000='Adjusted Ageing by Customer'!J$8)*('Отчет по покупателям УТ'!$M$6:$M$5000='Adjusted Ageing by Customer'!$A93)*('Отчет по покупателям УТ'!$K$6:$K$5000))</f>
        <v>0</v>
      </c>
      <c r="K93" s="254">
        <f t="array" ref="K93">SUM(('Отчет по покупателям УТ'!$H$6:$H$5000='Adjusted Ageing by Customer'!K$8)*('Отчет по покупателям УТ'!$M$6:$M$5000='Adjusted Ageing by Customer'!$A93)*('Отчет по покупателям УТ'!$K$6:$K$5000))</f>
        <v>0</v>
      </c>
      <c r="L93" s="254">
        <f t="array" ref="L93">SUM(('Отчет по покупателям УТ'!$H$6:$H$5000='Adjusted Ageing by Customer'!L$8)*('Отчет по покупателям УТ'!$M$6:$M$5000='Adjusted Ageing by Customer'!$A93)*('Отчет по покупателям УТ'!$K$6:$K$5000))</f>
        <v>-95860</v>
      </c>
      <c r="M93" s="247">
        <f t="shared" si="20"/>
        <v>-95860</v>
      </c>
      <c r="R93" s="9" t="b">
        <f t="shared" si="31"/>
        <v>1</v>
      </c>
      <c r="S93" s="228">
        <f t="shared" si="21"/>
        <v>0</v>
      </c>
      <c r="T93" s="31">
        <f t="shared" si="22"/>
        <v>-95860</v>
      </c>
      <c r="U93" s="228">
        <f t="shared" si="23"/>
        <v>0</v>
      </c>
      <c r="V93" s="31">
        <f t="shared" si="24"/>
        <v>-95860</v>
      </c>
      <c r="W93" s="228">
        <f t="shared" si="25"/>
        <v>0</v>
      </c>
      <c r="X93" s="31">
        <f t="shared" si="26"/>
        <v>-95860</v>
      </c>
      <c r="Y93" s="228">
        <f t="shared" si="27"/>
        <v>0</v>
      </c>
      <c r="Z93" s="31">
        <f t="shared" si="28"/>
        <v>-95860</v>
      </c>
      <c r="AA93" s="228">
        <f t="shared" si="29"/>
        <v>0</v>
      </c>
      <c r="AB93" s="228">
        <f t="shared" si="30"/>
        <v>-95860</v>
      </c>
      <c r="AC93" s="247">
        <f t="shared" si="32"/>
        <v>-95860</v>
      </c>
      <c r="AD93" s="248">
        <f t="shared" si="33"/>
        <v>0</v>
      </c>
    </row>
    <row r="94" spans="1:30" x14ac:dyDescent="0.2">
      <c r="A94" t="s">
        <v>1596</v>
      </c>
      <c r="B94" t="s">
        <v>21</v>
      </c>
      <c r="D94" s="9">
        <v>-869.5</v>
      </c>
      <c r="E94" s="9"/>
      <c r="F94" s="9"/>
      <c r="G94" s="254">
        <f t="array" ref="G94">SUM(('Отчет по покупателям УТ'!$H$6:$H$5000='Adjusted Ageing by Customer'!G$8)*('Отчет по покупателям УТ'!$M$6:$M$5000='Adjusted Ageing by Customer'!$A94)*('Отчет по покупателям УТ'!$K$6:$K$5000))</f>
        <v>0</v>
      </c>
      <c r="H94" s="254">
        <f t="array" ref="H94">SUM(('Отчет по покупателям УТ'!$H$6:$H$5000='Adjusted Ageing by Customer'!H$8)*('Отчет по покупателям УТ'!$M$6:$M$5000='Adjusted Ageing by Customer'!$A94)*('Отчет по покупателям УТ'!$K$6:$K$5000))</f>
        <v>0</v>
      </c>
      <c r="I94" s="254">
        <f t="array" ref="I94">SUM(('Отчет по покупателям УТ'!$H$6:$H$5000='Adjusted Ageing by Customer'!I$8)*('Отчет по покупателям УТ'!$M$6:$M$5000='Adjusted Ageing by Customer'!$A94)*('Отчет по покупателям УТ'!$K$6:$K$5000))</f>
        <v>0</v>
      </c>
      <c r="J94" s="254">
        <f t="array" ref="J94">SUM(('Отчет по покупателям УТ'!$H$6:$H$5000='Adjusted Ageing by Customer'!J$8)*('Отчет по покупателям УТ'!$M$6:$M$5000='Adjusted Ageing by Customer'!$A94)*('Отчет по покупателям УТ'!$K$6:$K$5000))</f>
        <v>0</v>
      </c>
      <c r="K94" s="254">
        <f t="array" ref="K94">SUM(('Отчет по покупателям УТ'!$H$6:$H$5000='Adjusted Ageing by Customer'!K$8)*('Отчет по покупателям УТ'!$M$6:$M$5000='Adjusted Ageing by Customer'!$A94)*('Отчет по покупателям УТ'!$K$6:$K$5000))</f>
        <v>0</v>
      </c>
      <c r="L94" s="254">
        <f t="array" ref="L94">SUM(('Отчет по покупателям УТ'!$H$6:$H$5000='Adjusted Ageing by Customer'!L$8)*('Отчет по покупателям УТ'!$M$6:$M$5000='Adjusted Ageing by Customer'!$A94)*('Отчет по покупателям УТ'!$K$6:$K$5000))</f>
        <v>-869.5</v>
      </c>
      <c r="M94" s="247">
        <f t="shared" si="20"/>
        <v>-869.5</v>
      </c>
      <c r="R94" s="9" t="b">
        <f t="shared" si="31"/>
        <v>1</v>
      </c>
      <c r="S94" s="228">
        <f t="shared" si="21"/>
        <v>0</v>
      </c>
      <c r="T94" s="31">
        <f t="shared" si="22"/>
        <v>-869.5</v>
      </c>
      <c r="U94" s="228">
        <f t="shared" si="23"/>
        <v>0</v>
      </c>
      <c r="V94" s="31">
        <f t="shared" si="24"/>
        <v>-869.5</v>
      </c>
      <c r="W94" s="228">
        <f t="shared" si="25"/>
        <v>0</v>
      </c>
      <c r="X94" s="31">
        <f t="shared" si="26"/>
        <v>-869.5</v>
      </c>
      <c r="Y94" s="228">
        <f t="shared" si="27"/>
        <v>0</v>
      </c>
      <c r="Z94" s="31">
        <f t="shared" si="28"/>
        <v>-869.5</v>
      </c>
      <c r="AA94" s="228">
        <f t="shared" si="29"/>
        <v>0</v>
      </c>
      <c r="AB94" s="228">
        <f t="shared" si="30"/>
        <v>-869.5</v>
      </c>
      <c r="AC94" s="247">
        <f t="shared" si="32"/>
        <v>-869.5</v>
      </c>
      <c r="AD94" s="248">
        <f t="shared" si="33"/>
        <v>0</v>
      </c>
    </row>
    <row r="95" spans="1:30" x14ac:dyDescent="0.2">
      <c r="A95" t="s">
        <v>1632</v>
      </c>
      <c r="B95" t="s">
        <v>22</v>
      </c>
      <c r="D95" s="9">
        <v>-134208</v>
      </c>
      <c r="E95" s="9"/>
      <c r="F95" s="9"/>
      <c r="G95" s="254">
        <f t="array" ref="G95">SUM(('Отчет по покупателям УТ'!$H$6:$H$5000='Adjusted Ageing by Customer'!G$8)*('Отчет по покупателям УТ'!$M$6:$M$5000='Adjusted Ageing by Customer'!$A95)*('Отчет по покупателям УТ'!$K$6:$K$5000))</f>
        <v>0</v>
      </c>
      <c r="H95" s="254">
        <f t="array" ref="H95">SUM(('Отчет по покупателям УТ'!$H$6:$H$5000='Adjusted Ageing by Customer'!H$8)*('Отчет по покупателям УТ'!$M$6:$M$5000='Adjusted Ageing by Customer'!$A95)*('Отчет по покупателям УТ'!$K$6:$K$5000))</f>
        <v>0</v>
      </c>
      <c r="I95" s="254">
        <f t="array" ref="I95">SUM(('Отчет по покупателям УТ'!$H$6:$H$5000='Adjusted Ageing by Customer'!I$8)*('Отчет по покупателям УТ'!$M$6:$M$5000='Adjusted Ageing by Customer'!$A95)*('Отчет по покупателям УТ'!$K$6:$K$5000))</f>
        <v>0</v>
      </c>
      <c r="J95" s="254">
        <f t="array" ref="J95">SUM(('Отчет по покупателям УТ'!$H$6:$H$5000='Adjusted Ageing by Customer'!J$8)*('Отчет по покупателям УТ'!$M$6:$M$5000='Adjusted Ageing by Customer'!$A95)*('Отчет по покупателям УТ'!$K$6:$K$5000))</f>
        <v>0</v>
      </c>
      <c r="K95" s="254">
        <f t="array" ref="K95">SUM(('Отчет по покупателям УТ'!$H$6:$H$5000='Adjusted Ageing by Customer'!K$8)*('Отчет по покупателям УТ'!$M$6:$M$5000='Adjusted Ageing by Customer'!$A95)*('Отчет по покупателям УТ'!$K$6:$K$5000))</f>
        <v>0</v>
      </c>
      <c r="L95" s="254">
        <f t="array" ref="L95">SUM(('Отчет по покупателям УТ'!$H$6:$H$5000='Adjusted Ageing by Customer'!L$8)*('Отчет по покупателям УТ'!$M$6:$M$5000='Adjusted Ageing by Customer'!$A95)*('Отчет по покупателям УТ'!$K$6:$K$5000))</f>
        <v>-151396.46</v>
      </c>
      <c r="M95" s="247">
        <f t="shared" si="20"/>
        <v>-151396.46</v>
      </c>
      <c r="R95" s="9" t="b">
        <f t="shared" si="31"/>
        <v>1</v>
      </c>
      <c r="S95" s="228">
        <f t="shared" si="21"/>
        <v>0</v>
      </c>
      <c r="T95" s="31">
        <f t="shared" si="22"/>
        <v>-151396.46</v>
      </c>
      <c r="U95" s="228">
        <f t="shared" si="23"/>
        <v>0</v>
      </c>
      <c r="V95" s="31">
        <f t="shared" si="24"/>
        <v>-151396.46</v>
      </c>
      <c r="W95" s="228">
        <f t="shared" si="25"/>
        <v>0</v>
      </c>
      <c r="X95" s="31">
        <f t="shared" si="26"/>
        <v>-151396.46</v>
      </c>
      <c r="Y95" s="228">
        <f t="shared" si="27"/>
        <v>0</v>
      </c>
      <c r="Z95" s="31">
        <f t="shared" si="28"/>
        <v>-151396.46</v>
      </c>
      <c r="AA95" s="228">
        <f t="shared" si="29"/>
        <v>0</v>
      </c>
      <c r="AB95" s="228">
        <f t="shared" si="30"/>
        <v>-151396.46</v>
      </c>
      <c r="AC95" s="247">
        <f t="shared" si="32"/>
        <v>-151396.46</v>
      </c>
      <c r="AD95" s="248">
        <f t="shared" si="33"/>
        <v>0</v>
      </c>
    </row>
    <row r="96" spans="1:30" x14ac:dyDescent="0.2">
      <c r="A96" t="s">
        <v>1632</v>
      </c>
      <c r="B96" t="s">
        <v>21</v>
      </c>
      <c r="D96" s="9">
        <v>-17188.46</v>
      </c>
      <c r="E96" s="9"/>
      <c r="F96" s="9"/>
      <c r="G96" s="254">
        <f t="array" ref="G96">SUM(('Отчет по покупателям УТ'!$H$6:$H$5000='Adjusted Ageing by Customer'!G$8)*('Отчет по покупателям УТ'!$M$6:$M$5000='Adjusted Ageing by Customer'!$A96)*('Отчет по покупателям УТ'!$K$6:$K$5000))</f>
        <v>0</v>
      </c>
      <c r="H96" s="254">
        <f t="array" ref="H96">SUM(('Отчет по покупателям УТ'!$H$6:$H$5000='Adjusted Ageing by Customer'!H$8)*('Отчет по покупателям УТ'!$M$6:$M$5000='Adjusted Ageing by Customer'!$A96)*('Отчет по покупателям УТ'!$K$6:$K$5000))</f>
        <v>0</v>
      </c>
      <c r="I96" s="254">
        <f t="array" ref="I96">SUM(('Отчет по покупателям УТ'!$H$6:$H$5000='Adjusted Ageing by Customer'!I$8)*('Отчет по покупателям УТ'!$M$6:$M$5000='Adjusted Ageing by Customer'!$A96)*('Отчет по покупателям УТ'!$K$6:$K$5000))</f>
        <v>0</v>
      </c>
      <c r="J96" s="254">
        <f t="array" ref="J96">SUM(('Отчет по покупателям УТ'!$H$6:$H$5000='Adjusted Ageing by Customer'!J$8)*('Отчет по покупателям УТ'!$M$6:$M$5000='Adjusted Ageing by Customer'!$A96)*('Отчет по покупателям УТ'!$K$6:$K$5000))</f>
        <v>0</v>
      </c>
      <c r="K96" s="254">
        <f t="array" ref="K96">SUM(('Отчет по покупателям УТ'!$H$6:$H$5000='Adjusted Ageing by Customer'!K$8)*('Отчет по покупателям УТ'!$M$6:$M$5000='Adjusted Ageing by Customer'!$A96)*('Отчет по покупателям УТ'!$K$6:$K$5000))</f>
        <v>0</v>
      </c>
      <c r="L96" s="254">
        <f t="array" ref="L96">SUM(('Отчет по покупателям УТ'!$H$6:$H$5000='Adjusted Ageing by Customer'!L$8)*('Отчет по покупателям УТ'!$M$6:$M$5000='Adjusted Ageing by Customer'!$A96)*('Отчет по покупателям УТ'!$K$6:$K$5000))</f>
        <v>-151396.46</v>
      </c>
      <c r="M96" s="247">
        <f t="shared" si="20"/>
        <v>-151396.46</v>
      </c>
      <c r="R96" s="9" t="b">
        <f t="shared" si="31"/>
        <v>1</v>
      </c>
      <c r="S96" s="228">
        <f t="shared" si="21"/>
        <v>0</v>
      </c>
      <c r="T96" s="31">
        <f t="shared" si="22"/>
        <v>-151396.46</v>
      </c>
      <c r="U96" s="228">
        <f t="shared" si="23"/>
        <v>0</v>
      </c>
      <c r="V96" s="31">
        <f t="shared" si="24"/>
        <v>-151396.46</v>
      </c>
      <c r="W96" s="228">
        <f t="shared" si="25"/>
        <v>0</v>
      </c>
      <c r="X96" s="31">
        <f t="shared" si="26"/>
        <v>-151396.46</v>
      </c>
      <c r="Y96" s="228">
        <f t="shared" si="27"/>
        <v>0</v>
      </c>
      <c r="Z96" s="31">
        <f t="shared" si="28"/>
        <v>-151396.46</v>
      </c>
      <c r="AA96" s="228">
        <f t="shared" si="29"/>
        <v>0</v>
      </c>
      <c r="AB96" s="228">
        <f t="shared" si="30"/>
        <v>-151396.46</v>
      </c>
      <c r="AC96" s="247">
        <f t="shared" si="32"/>
        <v>-151396.46</v>
      </c>
      <c r="AD96" s="248">
        <f t="shared" si="33"/>
        <v>0</v>
      </c>
    </row>
    <row r="97" spans="1:30" s="47" customFormat="1" x14ac:dyDescent="0.2">
      <c r="A97" t="s">
        <v>1640</v>
      </c>
      <c r="B97" t="s">
        <v>23</v>
      </c>
      <c r="C97"/>
      <c r="D97" s="9">
        <v>-36451</v>
      </c>
      <c r="E97" s="31"/>
      <c r="F97" s="31"/>
      <c r="G97" s="254"/>
      <c r="H97" s="254"/>
      <c r="I97" s="254"/>
      <c r="J97" s="254"/>
      <c r="K97" s="254"/>
      <c r="L97" s="254"/>
      <c r="M97" s="228"/>
      <c r="R97" s="31"/>
      <c r="S97" s="228"/>
      <c r="T97" s="31"/>
      <c r="U97" s="228"/>
      <c r="V97" s="31"/>
      <c r="W97" s="228"/>
      <c r="X97" s="31"/>
      <c r="Y97" s="228"/>
      <c r="Z97" s="31"/>
      <c r="AA97" s="228"/>
      <c r="AB97" s="228"/>
      <c r="AC97" s="228"/>
      <c r="AD97" s="228"/>
    </row>
    <row r="98" spans="1:30" s="47" customFormat="1" x14ac:dyDescent="0.2">
      <c r="A98"/>
      <c r="B98"/>
      <c r="C98"/>
      <c r="D98"/>
      <c r="E98" s="31"/>
      <c r="F98" s="31"/>
      <c r="G98" s="254"/>
      <c r="H98" s="254"/>
      <c r="I98" s="254"/>
      <c r="J98" s="254"/>
      <c r="K98" s="254"/>
      <c r="L98" s="254"/>
      <c r="M98" s="228"/>
      <c r="R98" s="31"/>
      <c r="S98" s="228"/>
      <c r="T98" s="31"/>
      <c r="U98" s="228"/>
      <c r="V98" s="31"/>
      <c r="W98" s="228"/>
      <c r="X98" s="31"/>
      <c r="Y98" s="228"/>
      <c r="Z98" s="31"/>
      <c r="AA98" s="228"/>
      <c r="AB98" s="228"/>
      <c r="AC98" s="228"/>
      <c r="AD98" s="228"/>
    </row>
    <row r="99" spans="1:30" s="47" customFormat="1" x14ac:dyDescent="0.2">
      <c r="A99"/>
      <c r="B99"/>
      <c r="C99"/>
      <c r="D99"/>
      <c r="E99" s="31"/>
      <c r="F99" s="31"/>
      <c r="G99" s="254"/>
      <c r="H99" s="254"/>
      <c r="I99" s="254"/>
      <c r="J99" s="254"/>
      <c r="K99" s="254"/>
      <c r="L99" s="254"/>
      <c r="M99" s="228"/>
      <c r="R99" s="31"/>
      <c r="S99" s="228"/>
      <c r="T99" s="31"/>
      <c r="U99" s="228"/>
      <c r="V99" s="31"/>
      <c r="W99" s="228"/>
      <c r="X99" s="31"/>
      <c r="Y99" s="228"/>
      <c r="Z99" s="31"/>
      <c r="AA99" s="228"/>
      <c r="AB99" s="228"/>
      <c r="AC99" s="228"/>
      <c r="AD99" s="228"/>
    </row>
    <row r="100" spans="1:30" s="47" customFormat="1" x14ac:dyDescent="0.2">
      <c r="A100"/>
      <c r="B100"/>
      <c r="C100"/>
      <c r="D100"/>
      <c r="E100" s="31"/>
      <c r="F100" s="31"/>
      <c r="G100" s="254"/>
      <c r="H100" s="254"/>
      <c r="I100" s="254"/>
      <c r="J100" s="254"/>
      <c r="K100" s="254"/>
      <c r="L100" s="254"/>
      <c r="M100" s="228"/>
      <c r="R100" s="31"/>
      <c r="S100" s="228"/>
      <c r="T100" s="31"/>
      <c r="U100" s="228"/>
      <c r="V100" s="31"/>
      <c r="W100" s="228"/>
      <c r="X100" s="31"/>
      <c r="Y100" s="228"/>
      <c r="Z100" s="31"/>
      <c r="AA100" s="228"/>
      <c r="AB100" s="228"/>
      <c r="AC100" s="228"/>
      <c r="AD100" s="228"/>
    </row>
    <row r="101" spans="1:30" s="47" customFormat="1" x14ac:dyDescent="0.2">
      <c r="A101"/>
      <c r="B101"/>
      <c r="C101"/>
      <c r="D101"/>
      <c r="E101" s="31"/>
      <c r="F101" s="31"/>
      <c r="G101" s="254"/>
      <c r="H101" s="254"/>
      <c r="I101" s="254"/>
      <c r="J101" s="254"/>
      <c r="K101" s="254"/>
      <c r="L101" s="254"/>
      <c r="M101" s="228"/>
      <c r="R101" s="31"/>
      <c r="S101" s="228"/>
      <c r="T101" s="31"/>
      <c r="U101" s="228"/>
      <c r="V101" s="31"/>
      <c r="W101" s="228"/>
      <c r="X101" s="31"/>
      <c r="Y101" s="228"/>
      <c r="Z101" s="31"/>
      <c r="AA101" s="228"/>
      <c r="AB101" s="228"/>
      <c r="AC101" s="228"/>
      <c r="AD101" s="228"/>
    </row>
    <row r="102" spans="1:30" s="47" customFormat="1" x14ac:dyDescent="0.2">
      <c r="E102" s="31"/>
      <c r="F102" s="31"/>
      <c r="G102" s="254"/>
      <c r="H102" s="254"/>
      <c r="I102" s="254"/>
      <c r="J102" s="254"/>
      <c r="K102" s="254"/>
      <c r="L102" s="254"/>
      <c r="M102" s="228"/>
      <c r="R102" s="31"/>
      <c r="S102" s="228"/>
      <c r="T102" s="31"/>
      <c r="U102" s="228"/>
      <c r="V102" s="31"/>
      <c r="W102" s="228"/>
      <c r="X102" s="31"/>
      <c r="Y102" s="228"/>
      <c r="Z102" s="31"/>
      <c r="AA102" s="228"/>
      <c r="AB102" s="228"/>
      <c r="AC102" s="228"/>
      <c r="AD102" s="228"/>
    </row>
    <row r="103" spans="1:30" s="47" customFormat="1" x14ac:dyDescent="0.2">
      <c r="E103" s="31"/>
      <c r="F103" s="31"/>
      <c r="G103" s="254"/>
      <c r="H103" s="254"/>
      <c r="I103" s="254"/>
      <c r="J103" s="254"/>
      <c r="K103" s="254"/>
      <c r="L103" s="254"/>
      <c r="M103" s="228"/>
      <c r="R103" s="31"/>
      <c r="S103" s="228"/>
      <c r="T103" s="31"/>
      <c r="U103" s="228"/>
      <c r="V103" s="31"/>
      <c r="W103" s="228"/>
      <c r="X103" s="31"/>
      <c r="Y103" s="228"/>
      <c r="Z103" s="31"/>
      <c r="AA103" s="228"/>
      <c r="AB103" s="228"/>
      <c r="AC103" s="228"/>
      <c r="AD103" s="228"/>
    </row>
    <row r="104" spans="1:30" s="47" customFormat="1" x14ac:dyDescent="0.2">
      <c r="E104" s="31"/>
      <c r="F104" s="31"/>
      <c r="G104" s="254"/>
      <c r="H104" s="254"/>
      <c r="I104" s="254"/>
      <c r="J104" s="254"/>
      <c r="K104" s="254"/>
      <c r="L104" s="254"/>
      <c r="M104" s="228"/>
      <c r="R104" s="31"/>
      <c r="S104" s="228"/>
      <c r="T104" s="31"/>
      <c r="U104" s="228"/>
      <c r="V104" s="31"/>
      <c r="W104" s="228"/>
      <c r="X104" s="31"/>
      <c r="Y104" s="228"/>
      <c r="Z104" s="31"/>
      <c r="AA104" s="228"/>
      <c r="AB104" s="228"/>
      <c r="AC104" s="228"/>
      <c r="AD104" s="228"/>
    </row>
    <row r="105" spans="1:30" s="47" customFormat="1" x14ac:dyDescent="0.2">
      <c r="E105" s="31"/>
      <c r="F105" s="31"/>
      <c r="G105" s="254"/>
      <c r="H105" s="254"/>
      <c r="I105" s="254"/>
      <c r="J105" s="254"/>
      <c r="K105" s="254"/>
      <c r="L105" s="254"/>
      <c r="M105" s="228"/>
      <c r="R105" s="31"/>
      <c r="S105" s="228"/>
      <c r="T105" s="31"/>
      <c r="U105" s="228"/>
      <c r="V105" s="31"/>
      <c r="W105" s="228"/>
      <c r="X105" s="31"/>
      <c r="Y105" s="228"/>
      <c r="Z105" s="31"/>
      <c r="AA105" s="228"/>
      <c r="AB105" s="228"/>
      <c r="AC105" s="228"/>
      <c r="AD105" s="228"/>
    </row>
    <row r="106" spans="1:30" s="47" customFormat="1" x14ac:dyDescent="0.2">
      <c r="E106" s="31"/>
      <c r="F106" s="31"/>
      <c r="G106" s="254"/>
      <c r="H106" s="254"/>
      <c r="I106" s="254"/>
      <c r="J106" s="254"/>
      <c r="K106" s="254"/>
      <c r="L106" s="254"/>
      <c r="M106" s="228"/>
      <c r="R106" s="31"/>
      <c r="S106" s="228"/>
      <c r="T106" s="31"/>
      <c r="U106" s="228"/>
      <c r="V106" s="31"/>
      <c r="W106" s="228"/>
      <c r="X106" s="31"/>
      <c r="Y106" s="228"/>
      <c r="Z106" s="31"/>
      <c r="AA106" s="228"/>
      <c r="AB106" s="228"/>
      <c r="AC106" s="228"/>
      <c r="AD106" s="228"/>
    </row>
    <row r="107" spans="1:30" s="47" customFormat="1" x14ac:dyDescent="0.2">
      <c r="E107" s="31"/>
      <c r="F107" s="31"/>
      <c r="G107" s="254"/>
      <c r="H107" s="254"/>
      <c r="I107" s="254"/>
      <c r="J107" s="254"/>
      <c r="K107" s="254"/>
      <c r="L107" s="254"/>
      <c r="M107" s="228"/>
      <c r="R107" s="31"/>
      <c r="S107" s="228"/>
      <c r="T107" s="31"/>
      <c r="U107" s="228"/>
      <c r="V107" s="31"/>
      <c r="W107" s="228"/>
      <c r="X107" s="31"/>
      <c r="Y107" s="228"/>
      <c r="Z107" s="31"/>
      <c r="AA107" s="228"/>
      <c r="AB107" s="228"/>
      <c r="AC107" s="228"/>
      <c r="AD107" s="228"/>
    </row>
    <row r="108" spans="1:30" s="47" customFormat="1" x14ac:dyDescent="0.2">
      <c r="E108" s="31"/>
      <c r="F108" s="31"/>
      <c r="G108" s="254"/>
      <c r="H108" s="254"/>
      <c r="I108" s="254"/>
      <c r="J108" s="254"/>
      <c r="K108" s="254"/>
      <c r="L108" s="254"/>
      <c r="M108" s="228"/>
      <c r="R108" s="31"/>
      <c r="S108" s="228"/>
      <c r="T108" s="31"/>
      <c r="U108" s="228"/>
      <c r="V108" s="31"/>
      <c r="W108" s="228"/>
      <c r="X108" s="31"/>
      <c r="Y108" s="228"/>
      <c r="Z108" s="31"/>
      <c r="AA108" s="228"/>
      <c r="AB108" s="228"/>
      <c r="AC108" s="228"/>
      <c r="AD108" s="228"/>
    </row>
    <row r="109" spans="1:30" s="47" customFormat="1" x14ac:dyDescent="0.2">
      <c r="E109" s="31"/>
      <c r="F109" s="31"/>
      <c r="G109" s="254"/>
      <c r="H109" s="254"/>
      <c r="I109" s="254"/>
      <c r="J109" s="254"/>
      <c r="K109" s="254"/>
      <c r="L109" s="254"/>
      <c r="M109" s="228"/>
      <c r="R109" s="31"/>
      <c r="S109" s="228"/>
      <c r="T109" s="31"/>
      <c r="U109" s="228"/>
      <c r="V109" s="31"/>
      <c r="W109" s="228"/>
      <c r="X109" s="31"/>
      <c r="Y109" s="228"/>
      <c r="Z109" s="31"/>
      <c r="AA109" s="228"/>
      <c r="AB109" s="228"/>
      <c r="AC109" s="228"/>
      <c r="AD109" s="228"/>
    </row>
    <row r="110" spans="1:30" s="47" customFormat="1" x14ac:dyDescent="0.2">
      <c r="E110" s="31"/>
      <c r="F110" s="31"/>
      <c r="G110" s="254"/>
      <c r="H110" s="254"/>
      <c r="I110" s="254"/>
      <c r="J110" s="254"/>
      <c r="K110" s="254"/>
      <c r="L110" s="254"/>
      <c r="M110" s="228"/>
      <c r="R110" s="31"/>
      <c r="S110" s="228"/>
      <c r="T110" s="31"/>
      <c r="U110" s="228"/>
      <c r="V110" s="31"/>
      <c r="W110" s="228"/>
      <c r="X110" s="31"/>
      <c r="Y110" s="228"/>
      <c r="Z110" s="31"/>
      <c r="AA110" s="228"/>
      <c r="AB110" s="228"/>
      <c r="AC110" s="228"/>
      <c r="AD110" s="228"/>
    </row>
    <row r="111" spans="1:30" s="47" customFormat="1" x14ac:dyDescent="0.2">
      <c r="E111" s="31"/>
      <c r="F111" s="31"/>
      <c r="G111" s="254"/>
      <c r="H111" s="254"/>
      <c r="I111" s="254"/>
      <c r="J111" s="254"/>
      <c r="K111" s="254"/>
      <c r="L111" s="254"/>
      <c r="M111" s="228"/>
      <c r="R111" s="31"/>
      <c r="S111" s="228"/>
      <c r="T111" s="31"/>
      <c r="U111" s="228"/>
      <c r="V111" s="31"/>
      <c r="W111" s="228"/>
      <c r="X111" s="31"/>
      <c r="Y111" s="228"/>
      <c r="Z111" s="31"/>
      <c r="AA111" s="228"/>
      <c r="AB111" s="228"/>
      <c r="AC111" s="228"/>
      <c r="AD111" s="228"/>
    </row>
    <row r="112" spans="1:30" s="47" customFormat="1" x14ac:dyDescent="0.2">
      <c r="E112" s="31"/>
      <c r="F112" s="31"/>
      <c r="G112" s="254"/>
      <c r="H112" s="254"/>
      <c r="I112" s="254"/>
      <c r="J112" s="254"/>
      <c r="K112" s="254"/>
      <c r="L112" s="254"/>
      <c r="M112" s="228"/>
      <c r="R112" s="31"/>
      <c r="S112" s="228"/>
      <c r="T112" s="31"/>
      <c r="U112" s="228"/>
      <c r="V112" s="31"/>
      <c r="W112" s="228"/>
      <c r="X112" s="31"/>
      <c r="Y112" s="228"/>
      <c r="Z112" s="31"/>
      <c r="AA112" s="228"/>
      <c r="AB112" s="228"/>
      <c r="AC112" s="228"/>
      <c r="AD112" s="228"/>
    </row>
    <row r="113" spans="5:30" s="47" customFormat="1" x14ac:dyDescent="0.2">
      <c r="E113" s="31"/>
      <c r="F113" s="31"/>
      <c r="G113" s="254"/>
      <c r="H113" s="254"/>
      <c r="I113" s="254"/>
      <c r="J113" s="254"/>
      <c r="K113" s="254"/>
      <c r="L113" s="254"/>
      <c r="M113" s="228"/>
      <c r="R113" s="31"/>
      <c r="S113" s="228"/>
      <c r="T113" s="31"/>
      <c r="U113" s="228"/>
      <c r="V113" s="31"/>
      <c r="W113" s="228"/>
      <c r="X113" s="31"/>
      <c r="Y113" s="228"/>
      <c r="Z113" s="31"/>
      <c r="AA113" s="228"/>
      <c r="AB113" s="228"/>
      <c r="AC113" s="228"/>
      <c r="AD113" s="228"/>
    </row>
    <row r="114" spans="5:30" s="47" customFormat="1" x14ac:dyDescent="0.2">
      <c r="E114" s="31"/>
      <c r="F114" s="31"/>
      <c r="G114" s="254"/>
      <c r="H114" s="254"/>
      <c r="I114" s="254"/>
      <c r="J114" s="254"/>
      <c r="K114" s="254"/>
      <c r="L114" s="254"/>
      <c r="M114" s="228"/>
      <c r="R114" s="31"/>
      <c r="S114" s="228"/>
      <c r="T114" s="31"/>
      <c r="U114" s="228"/>
      <c r="V114" s="31"/>
      <c r="W114" s="228"/>
      <c r="X114" s="31"/>
      <c r="Y114" s="228"/>
      <c r="Z114" s="31"/>
      <c r="AA114" s="228"/>
      <c r="AB114" s="228"/>
      <c r="AC114" s="228"/>
      <c r="AD114" s="228"/>
    </row>
    <row r="115" spans="5:30" s="47" customFormat="1" x14ac:dyDescent="0.2">
      <c r="E115" s="31"/>
      <c r="F115" s="31"/>
      <c r="G115" s="254"/>
      <c r="H115" s="254"/>
      <c r="I115" s="254"/>
      <c r="J115" s="254"/>
      <c r="K115" s="254"/>
      <c r="L115" s="254"/>
      <c r="M115" s="228"/>
      <c r="R115" s="31"/>
      <c r="S115" s="228"/>
      <c r="T115" s="31"/>
      <c r="U115" s="228"/>
      <c r="V115" s="31"/>
      <c r="W115" s="228"/>
      <c r="X115" s="31"/>
      <c r="Y115" s="228"/>
      <c r="Z115" s="31"/>
      <c r="AA115" s="228"/>
      <c r="AB115" s="228"/>
      <c r="AC115" s="228"/>
      <c r="AD115" s="228"/>
    </row>
    <row r="116" spans="5:30" s="47" customFormat="1" x14ac:dyDescent="0.2">
      <c r="E116" s="31"/>
      <c r="F116" s="31"/>
      <c r="G116" s="254"/>
      <c r="H116" s="254"/>
      <c r="I116" s="254"/>
      <c r="J116" s="254"/>
      <c r="K116" s="254"/>
      <c r="L116" s="254"/>
      <c r="M116" s="228"/>
      <c r="R116" s="31"/>
      <c r="S116" s="228"/>
      <c r="T116" s="31"/>
      <c r="U116" s="228"/>
      <c r="V116" s="31"/>
      <c r="W116" s="228"/>
      <c r="X116" s="31"/>
      <c r="Y116" s="228"/>
      <c r="Z116" s="31"/>
      <c r="AA116" s="228"/>
      <c r="AB116" s="228"/>
      <c r="AC116" s="228"/>
      <c r="AD116" s="228"/>
    </row>
    <row r="117" spans="5:30" s="47" customFormat="1" x14ac:dyDescent="0.2">
      <c r="E117" s="31"/>
      <c r="F117" s="31"/>
      <c r="G117" s="254"/>
      <c r="H117" s="254"/>
      <c r="I117" s="254"/>
      <c r="J117" s="254"/>
      <c r="K117" s="254"/>
      <c r="L117" s="254"/>
      <c r="M117" s="228"/>
      <c r="R117" s="31"/>
      <c r="S117" s="228"/>
      <c r="T117" s="31"/>
      <c r="U117" s="228"/>
      <c r="V117" s="31"/>
      <c r="W117" s="228"/>
      <c r="X117" s="31"/>
      <c r="Y117" s="228"/>
      <c r="Z117" s="31"/>
      <c r="AA117" s="228"/>
      <c r="AB117" s="228"/>
      <c r="AC117" s="228"/>
      <c r="AD117" s="228"/>
    </row>
    <row r="118" spans="5:30" s="47" customFormat="1" x14ac:dyDescent="0.2">
      <c r="E118" s="31"/>
      <c r="F118" s="31"/>
      <c r="G118" s="254"/>
      <c r="H118" s="254"/>
      <c r="I118" s="254"/>
      <c r="J118" s="254"/>
      <c r="K118" s="254"/>
      <c r="L118" s="254"/>
      <c r="M118" s="228"/>
      <c r="R118" s="31"/>
      <c r="S118" s="228"/>
      <c r="T118" s="31"/>
      <c r="U118" s="228"/>
      <c r="V118" s="31"/>
      <c r="W118" s="228"/>
      <c r="X118" s="31"/>
      <c r="Y118" s="228"/>
      <c r="Z118" s="31"/>
      <c r="AA118" s="228"/>
      <c r="AB118" s="228"/>
      <c r="AC118" s="228"/>
      <c r="AD118" s="228"/>
    </row>
    <row r="119" spans="5:30" s="47" customFormat="1" x14ac:dyDescent="0.2">
      <c r="E119" s="31"/>
      <c r="F119" s="31"/>
      <c r="G119" s="254"/>
      <c r="H119" s="254"/>
      <c r="I119" s="254"/>
      <c r="J119" s="254"/>
      <c r="K119" s="254"/>
      <c r="L119" s="254"/>
      <c r="M119" s="228"/>
      <c r="R119" s="31"/>
      <c r="S119" s="228"/>
      <c r="T119" s="31"/>
      <c r="U119" s="228"/>
      <c r="V119" s="31"/>
      <c r="W119" s="228"/>
      <c r="X119" s="31"/>
      <c r="Y119" s="228"/>
      <c r="Z119" s="31"/>
      <c r="AA119" s="228"/>
      <c r="AB119" s="228"/>
      <c r="AC119" s="228"/>
      <c r="AD119" s="228"/>
    </row>
    <row r="120" spans="5:30" s="47" customFormat="1" x14ac:dyDescent="0.2">
      <c r="E120" s="31"/>
      <c r="F120" s="31"/>
      <c r="G120" s="254"/>
      <c r="H120" s="254"/>
      <c r="I120" s="254"/>
      <c r="J120" s="254"/>
      <c r="K120" s="254"/>
      <c r="L120" s="254"/>
      <c r="M120" s="228"/>
      <c r="R120" s="31"/>
      <c r="S120" s="228"/>
      <c r="T120" s="31"/>
      <c r="U120" s="228"/>
      <c r="V120" s="31"/>
      <c r="W120" s="228"/>
      <c r="X120" s="31"/>
      <c r="Y120" s="228"/>
      <c r="Z120" s="31"/>
      <c r="AA120" s="228"/>
      <c r="AB120" s="228"/>
      <c r="AC120" s="228"/>
      <c r="AD120" s="228"/>
    </row>
    <row r="121" spans="5:30" s="47" customFormat="1" x14ac:dyDescent="0.2">
      <c r="E121" s="31"/>
      <c r="F121" s="31"/>
      <c r="G121" s="254"/>
      <c r="H121" s="254"/>
      <c r="I121" s="254"/>
      <c r="J121" s="254"/>
      <c r="K121" s="254"/>
      <c r="L121" s="254"/>
      <c r="M121" s="228"/>
      <c r="R121" s="31"/>
      <c r="S121" s="228"/>
      <c r="T121" s="31"/>
      <c r="U121" s="228"/>
      <c r="V121" s="31"/>
      <c r="W121" s="228"/>
      <c r="X121" s="31"/>
      <c r="Y121" s="228"/>
      <c r="Z121" s="31"/>
      <c r="AA121" s="228"/>
      <c r="AB121" s="228"/>
      <c r="AC121" s="228"/>
      <c r="AD121" s="228"/>
    </row>
    <row r="122" spans="5:30" s="47" customFormat="1" x14ac:dyDescent="0.2">
      <c r="E122" s="31"/>
      <c r="F122" s="31"/>
      <c r="G122" s="254"/>
      <c r="H122" s="254"/>
      <c r="I122" s="254"/>
      <c r="J122" s="254"/>
      <c r="K122" s="254"/>
      <c r="L122" s="254"/>
      <c r="M122" s="228"/>
      <c r="R122" s="31"/>
      <c r="S122" s="228"/>
      <c r="T122" s="31"/>
      <c r="U122" s="228"/>
      <c r="V122" s="31"/>
      <c r="W122" s="228"/>
      <c r="X122" s="31"/>
      <c r="Y122" s="228"/>
      <c r="Z122" s="31"/>
      <c r="AA122" s="228"/>
      <c r="AB122" s="228"/>
      <c r="AC122" s="228"/>
      <c r="AD122" s="228"/>
    </row>
    <row r="123" spans="5:30" s="47" customFormat="1" x14ac:dyDescent="0.2">
      <c r="E123" s="31"/>
      <c r="F123" s="31"/>
      <c r="G123" s="254"/>
      <c r="H123" s="254"/>
      <c r="I123" s="254"/>
      <c r="J123" s="254"/>
      <c r="K123" s="254"/>
      <c r="L123" s="254"/>
      <c r="M123" s="228"/>
      <c r="R123" s="31"/>
      <c r="S123" s="228"/>
      <c r="T123" s="31"/>
      <c r="U123" s="228"/>
      <c r="V123" s="31"/>
      <c r="W123" s="228"/>
      <c r="X123" s="31"/>
      <c r="Y123" s="228"/>
      <c r="Z123" s="31"/>
      <c r="AA123" s="228"/>
      <c r="AB123" s="228"/>
      <c r="AC123" s="228"/>
      <c r="AD123" s="228"/>
    </row>
    <row r="124" spans="5:30" s="47" customFormat="1" x14ac:dyDescent="0.2">
      <c r="E124" s="31"/>
      <c r="F124" s="31"/>
      <c r="G124" s="254"/>
      <c r="H124" s="254"/>
      <c r="I124" s="254"/>
      <c r="J124" s="254"/>
      <c r="K124" s="254"/>
      <c r="L124" s="254"/>
      <c r="M124" s="228"/>
      <c r="R124" s="31"/>
      <c r="S124" s="228"/>
      <c r="T124" s="31"/>
      <c r="U124" s="228"/>
      <c r="V124" s="31"/>
      <c r="W124" s="228"/>
      <c r="X124" s="31"/>
      <c r="Y124" s="228"/>
      <c r="Z124" s="31"/>
      <c r="AA124" s="228"/>
      <c r="AB124" s="228"/>
      <c r="AC124" s="228"/>
      <c r="AD124" s="228"/>
    </row>
    <row r="125" spans="5:30" s="47" customFormat="1" x14ac:dyDescent="0.2">
      <c r="E125" s="31"/>
      <c r="F125" s="31"/>
      <c r="G125" s="254"/>
      <c r="H125" s="254"/>
      <c r="I125" s="254"/>
      <c r="J125" s="254"/>
      <c r="K125" s="254"/>
      <c r="L125" s="254"/>
      <c r="M125" s="228"/>
      <c r="R125" s="31"/>
      <c r="S125" s="228"/>
      <c r="T125" s="31"/>
      <c r="U125" s="228"/>
      <c r="V125" s="31"/>
      <c r="W125" s="228"/>
      <c r="X125" s="31"/>
      <c r="Y125" s="228"/>
      <c r="Z125" s="31"/>
      <c r="AA125" s="228"/>
      <c r="AB125" s="228"/>
      <c r="AC125" s="228"/>
      <c r="AD125" s="228"/>
    </row>
    <row r="126" spans="5:30" s="47" customFormat="1" x14ac:dyDescent="0.2">
      <c r="E126" s="31"/>
      <c r="F126" s="31"/>
      <c r="G126" s="254"/>
      <c r="H126" s="254"/>
      <c r="I126" s="254"/>
      <c r="J126" s="254"/>
      <c r="K126" s="254"/>
      <c r="L126" s="254"/>
      <c r="M126" s="228"/>
      <c r="R126" s="31"/>
      <c r="S126" s="228"/>
      <c r="T126" s="31"/>
      <c r="U126" s="228"/>
      <c r="V126" s="31"/>
      <c r="W126" s="228"/>
      <c r="X126" s="31"/>
      <c r="Y126" s="228"/>
      <c r="Z126" s="31"/>
      <c r="AA126" s="228"/>
      <c r="AB126" s="228"/>
      <c r="AC126" s="228"/>
      <c r="AD126" s="228"/>
    </row>
    <row r="127" spans="5:30" s="47" customFormat="1" x14ac:dyDescent="0.2">
      <c r="E127" s="31"/>
      <c r="F127" s="31"/>
      <c r="G127" s="254"/>
      <c r="H127" s="254"/>
      <c r="I127" s="254"/>
      <c r="J127" s="254"/>
      <c r="K127" s="254"/>
      <c r="L127" s="254"/>
      <c r="M127" s="228"/>
      <c r="R127" s="31"/>
      <c r="S127" s="228"/>
      <c r="T127" s="31"/>
      <c r="U127" s="228"/>
      <c r="V127" s="31"/>
      <c r="W127" s="228"/>
      <c r="X127" s="31"/>
      <c r="Y127" s="228"/>
      <c r="Z127" s="31"/>
      <c r="AA127" s="228"/>
      <c r="AB127" s="228"/>
      <c r="AC127" s="228"/>
      <c r="AD127" s="228"/>
    </row>
    <row r="128" spans="5:30" s="47" customFormat="1" x14ac:dyDescent="0.2">
      <c r="F128" s="31"/>
      <c r="G128" s="254"/>
      <c r="H128" s="254"/>
      <c r="I128" s="254"/>
      <c r="J128" s="254"/>
      <c r="K128" s="254"/>
      <c r="L128" s="254"/>
      <c r="M128" s="228"/>
      <c r="R128" s="31"/>
      <c r="S128" s="228"/>
      <c r="T128" s="31"/>
      <c r="U128" s="228"/>
      <c r="V128" s="31"/>
      <c r="W128" s="228"/>
      <c r="X128" s="31"/>
      <c r="Y128" s="228"/>
      <c r="Z128" s="31"/>
      <c r="AA128" s="228"/>
      <c r="AB128" s="228"/>
      <c r="AC128" s="228"/>
      <c r="AD128" s="228"/>
    </row>
    <row r="129" spans="6:30" s="47" customFormat="1" x14ac:dyDescent="0.2">
      <c r="F129" s="31"/>
      <c r="G129" s="254"/>
      <c r="H129" s="254"/>
      <c r="I129" s="254"/>
      <c r="J129" s="254"/>
      <c r="K129" s="254"/>
      <c r="L129" s="254"/>
      <c r="M129" s="228"/>
      <c r="R129" s="31"/>
      <c r="S129" s="228"/>
      <c r="T129" s="31"/>
      <c r="U129" s="228"/>
      <c r="V129" s="31"/>
      <c r="W129" s="228"/>
      <c r="X129" s="31"/>
      <c r="Y129" s="228"/>
      <c r="Z129" s="31"/>
      <c r="AA129" s="228"/>
      <c r="AB129" s="228"/>
      <c r="AC129" s="228"/>
      <c r="AD129" s="228"/>
    </row>
    <row r="130" spans="6:30" s="47" customFormat="1" x14ac:dyDescent="0.2">
      <c r="F130" s="31"/>
      <c r="G130" s="254"/>
      <c r="H130" s="254"/>
      <c r="I130" s="254"/>
      <c r="J130" s="254"/>
      <c r="K130" s="254"/>
      <c r="L130" s="254"/>
      <c r="M130" s="228"/>
      <c r="R130" s="31"/>
      <c r="S130" s="228"/>
      <c r="T130" s="31"/>
      <c r="U130" s="228"/>
      <c r="V130" s="31"/>
      <c r="W130" s="228"/>
      <c r="X130" s="31"/>
      <c r="Y130" s="228"/>
      <c r="Z130" s="31"/>
      <c r="AA130" s="228"/>
      <c r="AB130" s="228"/>
      <c r="AC130" s="228"/>
      <c r="AD130" s="228"/>
    </row>
    <row r="131" spans="6:30" s="47" customFormat="1" x14ac:dyDescent="0.2">
      <c r="F131" s="31"/>
      <c r="G131" s="254"/>
      <c r="H131" s="254"/>
      <c r="I131" s="254"/>
      <c r="J131" s="254"/>
      <c r="K131" s="254"/>
      <c r="L131" s="254"/>
      <c r="M131" s="228"/>
      <c r="R131" s="31"/>
      <c r="S131" s="228"/>
      <c r="T131" s="31"/>
      <c r="U131" s="228"/>
      <c r="V131" s="31"/>
      <c r="W131" s="228"/>
      <c r="X131" s="31"/>
      <c r="Y131" s="228"/>
      <c r="Z131" s="31"/>
      <c r="AA131" s="228"/>
      <c r="AB131" s="228"/>
      <c r="AC131" s="228"/>
      <c r="AD131" s="228"/>
    </row>
    <row r="132" spans="6:30" s="47" customFormat="1" x14ac:dyDescent="0.2">
      <c r="F132" s="31"/>
      <c r="G132" s="254"/>
      <c r="H132" s="254"/>
      <c r="I132" s="254"/>
      <c r="J132" s="254"/>
      <c r="K132" s="254"/>
      <c r="L132" s="254"/>
      <c r="M132" s="228"/>
      <c r="R132" s="31"/>
      <c r="S132" s="228"/>
      <c r="T132" s="31"/>
      <c r="U132" s="228"/>
      <c r="V132" s="31"/>
      <c r="W132" s="228"/>
      <c r="X132" s="31"/>
      <c r="Y132" s="228"/>
      <c r="Z132" s="31"/>
      <c r="AA132" s="228"/>
      <c r="AB132" s="228"/>
      <c r="AC132" s="228"/>
      <c r="AD132" s="228"/>
    </row>
    <row r="133" spans="6:30" s="47" customFormat="1" x14ac:dyDescent="0.2">
      <c r="F133" s="31"/>
      <c r="G133" s="254"/>
      <c r="H133" s="254"/>
      <c r="I133" s="254"/>
      <c r="J133" s="254"/>
      <c r="K133" s="254"/>
      <c r="L133" s="254"/>
      <c r="M133" s="228"/>
      <c r="R133" s="31"/>
      <c r="S133" s="228"/>
      <c r="T133" s="31"/>
      <c r="U133" s="228"/>
      <c r="V133" s="31"/>
      <c r="W133" s="228"/>
      <c r="X133" s="31"/>
      <c r="Y133" s="228"/>
      <c r="Z133" s="31"/>
      <c r="AA133" s="228"/>
      <c r="AB133" s="228"/>
      <c r="AC133" s="228"/>
      <c r="AD133" s="228"/>
    </row>
    <row r="134" spans="6:30" s="47" customFormat="1" x14ac:dyDescent="0.2">
      <c r="F134" s="31"/>
      <c r="G134" s="254"/>
      <c r="H134" s="254"/>
      <c r="I134" s="254"/>
      <c r="J134" s="254"/>
      <c r="K134" s="254"/>
      <c r="L134" s="254"/>
      <c r="M134" s="228"/>
      <c r="R134" s="31"/>
      <c r="S134" s="228"/>
      <c r="T134" s="31"/>
      <c r="U134" s="228"/>
      <c r="V134" s="31"/>
      <c r="W134" s="228"/>
      <c r="X134" s="31"/>
      <c r="Y134" s="228"/>
      <c r="Z134" s="31"/>
      <c r="AA134" s="228"/>
      <c r="AB134" s="228"/>
      <c r="AC134" s="228"/>
      <c r="AD134" s="228"/>
    </row>
    <row r="135" spans="6:30" s="47" customFormat="1" x14ac:dyDescent="0.2">
      <c r="F135" s="31"/>
      <c r="G135" s="254"/>
      <c r="H135" s="254"/>
      <c r="I135" s="254"/>
      <c r="J135" s="254"/>
      <c r="K135" s="254"/>
      <c r="L135" s="254"/>
      <c r="M135" s="228"/>
      <c r="R135" s="31"/>
      <c r="S135" s="228"/>
      <c r="T135" s="31"/>
      <c r="U135" s="228"/>
      <c r="V135" s="31"/>
      <c r="W135" s="228"/>
      <c r="X135" s="31"/>
      <c r="Y135" s="228"/>
      <c r="Z135" s="31"/>
      <c r="AA135" s="228"/>
      <c r="AB135" s="228"/>
      <c r="AC135" s="228"/>
      <c r="AD135" s="228"/>
    </row>
    <row r="136" spans="6:30" s="47" customFormat="1" x14ac:dyDescent="0.2">
      <c r="F136" s="31"/>
      <c r="G136" s="254"/>
      <c r="H136" s="254"/>
      <c r="I136" s="254"/>
      <c r="J136" s="254"/>
      <c r="K136" s="254"/>
      <c r="L136" s="254"/>
      <c r="M136" s="228"/>
      <c r="R136" s="31"/>
      <c r="S136" s="228"/>
      <c r="T136" s="31"/>
      <c r="U136" s="228"/>
      <c r="V136" s="31"/>
      <c r="W136" s="228"/>
      <c r="X136" s="31"/>
      <c r="Y136" s="228"/>
      <c r="Z136" s="31"/>
      <c r="AA136" s="228"/>
      <c r="AB136" s="228"/>
      <c r="AC136" s="228"/>
      <c r="AD136" s="228"/>
    </row>
    <row r="137" spans="6:30" s="47" customFormat="1" x14ac:dyDescent="0.2">
      <c r="F137" s="31"/>
      <c r="G137" s="254"/>
      <c r="H137" s="254"/>
      <c r="I137" s="254"/>
      <c r="J137" s="254"/>
      <c r="K137" s="254"/>
      <c r="L137" s="254"/>
      <c r="M137" s="228"/>
      <c r="R137" s="31"/>
      <c r="S137" s="228"/>
      <c r="T137" s="31"/>
      <c r="U137" s="228"/>
      <c r="V137" s="31"/>
      <c r="W137" s="228"/>
      <c r="X137" s="31"/>
      <c r="Y137" s="228"/>
      <c r="Z137" s="31"/>
      <c r="AA137" s="228"/>
      <c r="AB137" s="228"/>
      <c r="AC137" s="228"/>
      <c r="AD137" s="228"/>
    </row>
    <row r="138" spans="6:30" s="47" customFormat="1" x14ac:dyDescent="0.2">
      <c r="F138" s="31"/>
      <c r="G138" s="254"/>
      <c r="H138" s="254"/>
      <c r="I138" s="254"/>
      <c r="J138" s="254"/>
      <c r="K138" s="254"/>
      <c r="L138" s="254"/>
      <c r="M138" s="228"/>
      <c r="R138" s="31"/>
      <c r="S138" s="228"/>
      <c r="T138" s="31"/>
      <c r="U138" s="228"/>
      <c r="V138" s="31"/>
      <c r="W138" s="228"/>
      <c r="X138" s="31"/>
      <c r="Y138" s="228"/>
      <c r="Z138" s="31"/>
      <c r="AA138" s="228"/>
      <c r="AB138" s="228"/>
      <c r="AC138" s="228"/>
      <c r="AD138" s="228"/>
    </row>
    <row r="139" spans="6:30" s="47" customFormat="1" x14ac:dyDescent="0.2">
      <c r="F139" s="31"/>
      <c r="G139" s="254"/>
      <c r="H139" s="254"/>
      <c r="I139" s="254"/>
      <c r="J139" s="254"/>
      <c r="K139" s="254"/>
      <c r="L139" s="254"/>
      <c r="M139" s="228"/>
      <c r="R139" s="31"/>
      <c r="S139" s="228"/>
      <c r="T139" s="31"/>
      <c r="U139" s="228"/>
      <c r="V139" s="31"/>
      <c r="W139" s="228"/>
      <c r="X139" s="31"/>
      <c r="Y139" s="228"/>
      <c r="Z139" s="31"/>
      <c r="AA139" s="228"/>
      <c r="AB139" s="228"/>
      <c r="AC139" s="228"/>
      <c r="AD139" s="228"/>
    </row>
    <row r="140" spans="6:30" s="47" customFormat="1" x14ac:dyDescent="0.2">
      <c r="F140" s="31"/>
      <c r="G140" s="254"/>
      <c r="H140" s="254"/>
      <c r="I140" s="254"/>
      <c r="J140" s="254"/>
      <c r="K140" s="254"/>
      <c r="L140" s="254"/>
      <c r="M140" s="228"/>
      <c r="R140" s="31"/>
      <c r="S140" s="228"/>
      <c r="T140" s="31"/>
      <c r="U140" s="228"/>
      <c r="V140" s="31"/>
      <c r="W140" s="228"/>
      <c r="X140" s="31"/>
      <c r="Y140" s="228"/>
      <c r="Z140" s="31"/>
      <c r="AA140" s="228"/>
      <c r="AB140" s="228"/>
      <c r="AC140" s="228"/>
      <c r="AD140" s="228"/>
    </row>
    <row r="141" spans="6:30" s="47" customFormat="1" x14ac:dyDescent="0.2">
      <c r="F141" s="31"/>
      <c r="G141" s="254"/>
      <c r="H141" s="254"/>
      <c r="I141" s="254"/>
      <c r="J141" s="254"/>
      <c r="K141" s="254"/>
      <c r="L141" s="254"/>
      <c r="M141" s="228"/>
      <c r="R141" s="31"/>
      <c r="S141" s="228"/>
      <c r="T141" s="31"/>
      <c r="U141" s="228"/>
      <c r="V141" s="31"/>
      <c r="W141" s="228"/>
      <c r="X141" s="31"/>
      <c r="Y141" s="228"/>
      <c r="Z141" s="31"/>
      <c r="AA141" s="228"/>
      <c r="AB141" s="228"/>
      <c r="AC141" s="228"/>
      <c r="AD141" s="228"/>
    </row>
    <row r="142" spans="6:30" s="47" customFormat="1" x14ac:dyDescent="0.2">
      <c r="F142" s="31"/>
      <c r="G142" s="254"/>
      <c r="H142" s="254"/>
      <c r="I142" s="254"/>
      <c r="J142" s="254"/>
      <c r="K142" s="254"/>
      <c r="L142" s="254"/>
      <c r="M142" s="228"/>
      <c r="R142" s="31"/>
      <c r="S142" s="228"/>
      <c r="T142" s="31"/>
      <c r="U142" s="228"/>
      <c r="V142" s="31"/>
      <c r="W142" s="228"/>
      <c r="X142" s="31"/>
      <c r="Y142" s="228"/>
      <c r="Z142" s="31"/>
      <c r="AA142" s="228"/>
      <c r="AB142" s="228"/>
      <c r="AC142" s="228"/>
      <c r="AD142" s="228"/>
    </row>
    <row r="143" spans="6:30" s="47" customFormat="1" x14ac:dyDescent="0.2">
      <c r="F143" s="31"/>
      <c r="G143" s="254"/>
      <c r="H143" s="254"/>
      <c r="I143" s="254"/>
      <c r="J143" s="254"/>
      <c r="K143" s="254"/>
      <c r="L143" s="254"/>
      <c r="M143" s="228"/>
      <c r="R143" s="31"/>
      <c r="S143" s="228"/>
      <c r="T143" s="31"/>
      <c r="U143" s="228"/>
      <c r="V143" s="31"/>
      <c r="W143" s="228"/>
      <c r="X143" s="31"/>
      <c r="Y143" s="228"/>
      <c r="Z143" s="31"/>
      <c r="AA143" s="228"/>
      <c r="AB143" s="228"/>
      <c r="AC143" s="228"/>
      <c r="AD143" s="228"/>
    </row>
    <row r="144" spans="6:30" s="47" customFormat="1" x14ac:dyDescent="0.2">
      <c r="F144" s="31"/>
      <c r="G144" s="254"/>
      <c r="H144" s="254"/>
      <c r="I144" s="254"/>
      <c r="J144" s="254"/>
      <c r="K144" s="254"/>
      <c r="L144" s="254"/>
      <c r="M144" s="228"/>
      <c r="R144" s="31"/>
      <c r="S144" s="228"/>
      <c r="T144" s="31"/>
      <c r="U144" s="228"/>
      <c r="V144" s="31"/>
      <c r="W144" s="228"/>
      <c r="X144" s="31"/>
      <c r="Y144" s="228"/>
      <c r="Z144" s="31"/>
      <c r="AA144" s="228"/>
      <c r="AB144" s="228"/>
      <c r="AC144" s="228"/>
      <c r="AD144" s="228"/>
    </row>
    <row r="145" spans="6:30" s="47" customFormat="1" x14ac:dyDescent="0.2">
      <c r="F145" s="31"/>
      <c r="G145" s="254"/>
      <c r="H145" s="254"/>
      <c r="I145" s="254"/>
      <c r="J145" s="254"/>
      <c r="K145" s="254"/>
      <c r="L145" s="254"/>
      <c r="M145" s="228"/>
      <c r="R145" s="31"/>
      <c r="S145" s="228"/>
      <c r="T145" s="31"/>
      <c r="U145" s="228"/>
      <c r="V145" s="31"/>
      <c r="W145" s="228"/>
      <c r="X145" s="31"/>
      <c r="Y145" s="228"/>
      <c r="Z145" s="31"/>
      <c r="AA145" s="228"/>
      <c r="AB145" s="228"/>
      <c r="AC145" s="228"/>
      <c r="AD145" s="228"/>
    </row>
    <row r="146" spans="6:30" s="47" customFormat="1" x14ac:dyDescent="0.2">
      <c r="F146" s="31"/>
      <c r="G146" s="254"/>
      <c r="H146" s="254"/>
      <c r="I146" s="254"/>
      <c r="J146" s="254"/>
      <c r="K146" s="254"/>
      <c r="L146" s="254"/>
      <c r="M146" s="228"/>
      <c r="R146" s="31"/>
      <c r="S146" s="228"/>
      <c r="T146" s="31"/>
      <c r="U146" s="228"/>
      <c r="V146" s="31"/>
      <c r="W146" s="228"/>
      <c r="X146" s="31"/>
      <c r="Y146" s="228"/>
      <c r="Z146" s="31"/>
      <c r="AA146" s="228"/>
      <c r="AB146" s="228"/>
      <c r="AC146" s="228"/>
      <c r="AD146" s="228"/>
    </row>
    <row r="147" spans="6:30" s="47" customFormat="1" x14ac:dyDescent="0.2">
      <c r="F147" s="31"/>
      <c r="G147" s="254"/>
      <c r="H147" s="254"/>
      <c r="I147" s="254"/>
      <c r="J147" s="254"/>
      <c r="K147" s="254"/>
      <c r="L147" s="254"/>
      <c r="M147" s="228"/>
      <c r="R147" s="31"/>
      <c r="S147" s="228"/>
      <c r="T147" s="31"/>
      <c r="U147" s="228"/>
      <c r="V147" s="31"/>
      <c r="W147" s="228"/>
      <c r="X147" s="31"/>
      <c r="Y147" s="228"/>
      <c r="Z147" s="31"/>
      <c r="AA147" s="228"/>
      <c r="AB147" s="228"/>
      <c r="AC147" s="228"/>
      <c r="AD147" s="228"/>
    </row>
    <row r="148" spans="6:30" s="47" customFormat="1" x14ac:dyDescent="0.2">
      <c r="F148" s="31"/>
      <c r="G148" s="254"/>
      <c r="H148" s="254"/>
      <c r="I148" s="254"/>
      <c r="J148" s="254"/>
      <c r="K148" s="254"/>
      <c r="L148" s="254"/>
      <c r="M148" s="228"/>
      <c r="R148" s="31"/>
      <c r="S148" s="228"/>
      <c r="T148" s="31"/>
      <c r="U148" s="228"/>
      <c r="V148" s="31"/>
      <c r="W148" s="228"/>
      <c r="X148" s="31"/>
      <c r="Y148" s="228"/>
      <c r="Z148" s="31"/>
      <c r="AA148" s="228"/>
      <c r="AB148" s="228"/>
      <c r="AC148" s="228"/>
      <c r="AD148" s="228"/>
    </row>
    <row r="149" spans="6:30" s="47" customFormat="1" x14ac:dyDescent="0.2">
      <c r="F149" s="31"/>
      <c r="G149" s="254"/>
      <c r="H149" s="254"/>
      <c r="I149" s="254"/>
      <c r="J149" s="254"/>
      <c r="K149" s="254"/>
      <c r="L149" s="254"/>
      <c r="M149" s="228"/>
      <c r="R149" s="31"/>
      <c r="S149" s="228"/>
      <c r="T149" s="31"/>
      <c r="U149" s="228"/>
      <c r="V149" s="31"/>
      <c r="W149" s="228"/>
      <c r="X149" s="31"/>
      <c r="Y149" s="228"/>
      <c r="Z149" s="31"/>
      <c r="AA149" s="228"/>
      <c r="AB149" s="228"/>
      <c r="AC149" s="228"/>
      <c r="AD149" s="228"/>
    </row>
    <row r="150" spans="6:30" s="47" customFormat="1" x14ac:dyDescent="0.2">
      <c r="F150" s="31"/>
      <c r="G150" s="254"/>
      <c r="H150" s="254"/>
      <c r="I150" s="254"/>
      <c r="J150" s="254"/>
      <c r="K150" s="254"/>
      <c r="L150" s="254"/>
      <c r="M150" s="228"/>
      <c r="R150" s="31"/>
      <c r="S150" s="228"/>
      <c r="T150" s="31"/>
      <c r="U150" s="228"/>
      <c r="V150" s="31"/>
      <c r="W150" s="228"/>
      <c r="X150" s="31"/>
      <c r="Y150" s="228"/>
      <c r="Z150" s="31"/>
      <c r="AA150" s="228"/>
      <c r="AB150" s="228"/>
      <c r="AC150" s="228"/>
      <c r="AD150" s="228"/>
    </row>
    <row r="151" spans="6:30" s="47" customFormat="1" x14ac:dyDescent="0.2">
      <c r="F151" s="31"/>
      <c r="G151" s="254"/>
      <c r="H151" s="254"/>
      <c r="I151" s="254"/>
      <c r="J151" s="254"/>
      <c r="K151" s="254"/>
      <c r="L151" s="254"/>
      <c r="M151" s="228"/>
      <c r="R151" s="31"/>
      <c r="S151" s="228"/>
      <c r="T151" s="31"/>
      <c r="U151" s="228"/>
      <c r="V151" s="31"/>
      <c r="W151" s="228"/>
      <c r="X151" s="31"/>
      <c r="Y151" s="228"/>
      <c r="Z151" s="31"/>
      <c r="AA151" s="228"/>
      <c r="AB151" s="228"/>
      <c r="AC151" s="228"/>
      <c r="AD151" s="228"/>
    </row>
    <row r="152" spans="6:30" s="47" customFormat="1" x14ac:dyDescent="0.2">
      <c r="F152" s="31"/>
      <c r="G152" s="254"/>
      <c r="H152" s="254"/>
      <c r="I152" s="254"/>
      <c r="J152" s="254"/>
      <c r="K152" s="254"/>
      <c r="L152" s="254"/>
      <c r="M152" s="228"/>
      <c r="R152" s="31"/>
      <c r="S152" s="228"/>
      <c r="T152" s="31"/>
      <c r="U152" s="228"/>
      <c r="V152" s="31"/>
      <c r="W152" s="228"/>
      <c r="X152" s="31"/>
      <c r="Y152" s="228"/>
      <c r="Z152" s="31"/>
      <c r="AA152" s="228"/>
      <c r="AB152" s="228"/>
      <c r="AC152" s="228"/>
      <c r="AD152" s="228"/>
    </row>
    <row r="153" spans="6:30" s="47" customFormat="1" x14ac:dyDescent="0.2">
      <c r="F153" s="31"/>
      <c r="G153" s="254"/>
      <c r="H153" s="254"/>
      <c r="I153" s="254"/>
      <c r="J153" s="254"/>
      <c r="K153" s="254"/>
      <c r="L153" s="254"/>
      <c r="M153" s="228"/>
      <c r="R153" s="31"/>
      <c r="S153" s="228"/>
      <c r="T153" s="31"/>
      <c r="U153" s="228"/>
      <c r="V153" s="31"/>
      <c r="W153" s="228"/>
      <c r="X153" s="31"/>
      <c r="Y153" s="228"/>
      <c r="Z153" s="31"/>
      <c r="AA153" s="228"/>
      <c r="AB153" s="228"/>
      <c r="AC153" s="228"/>
      <c r="AD153" s="228"/>
    </row>
    <row r="154" spans="6:30" s="47" customFormat="1" x14ac:dyDescent="0.2">
      <c r="F154" s="31"/>
      <c r="G154" s="254"/>
      <c r="H154" s="254"/>
      <c r="I154" s="254"/>
      <c r="J154" s="254"/>
      <c r="K154" s="254"/>
      <c r="L154" s="254"/>
      <c r="M154" s="228"/>
      <c r="R154" s="31"/>
      <c r="S154" s="228"/>
      <c r="T154" s="31"/>
      <c r="U154" s="228"/>
      <c r="V154" s="31"/>
      <c r="W154" s="228"/>
      <c r="X154" s="31"/>
      <c r="Y154" s="228"/>
      <c r="Z154" s="31"/>
      <c r="AA154" s="228"/>
      <c r="AB154" s="228"/>
      <c r="AC154" s="228"/>
      <c r="AD154" s="228"/>
    </row>
    <row r="155" spans="6:30" s="47" customFormat="1" x14ac:dyDescent="0.2">
      <c r="F155" s="31"/>
      <c r="G155" s="254"/>
      <c r="H155" s="254"/>
      <c r="I155" s="254"/>
      <c r="J155" s="254"/>
      <c r="K155" s="254"/>
      <c r="L155" s="254"/>
      <c r="M155" s="228"/>
      <c r="R155" s="31"/>
      <c r="S155" s="228"/>
      <c r="T155" s="31"/>
      <c r="U155" s="228"/>
      <c r="V155" s="31"/>
      <c r="W155" s="228"/>
      <c r="X155" s="31"/>
      <c r="Y155" s="228"/>
      <c r="Z155" s="31"/>
      <c r="AA155" s="228"/>
      <c r="AB155" s="228"/>
      <c r="AC155" s="228"/>
      <c r="AD155" s="228"/>
    </row>
    <row r="156" spans="6:30" s="47" customFormat="1" x14ac:dyDescent="0.2">
      <c r="F156" s="31"/>
      <c r="G156" s="254"/>
      <c r="H156" s="254"/>
      <c r="I156" s="254"/>
      <c r="J156" s="254"/>
      <c r="K156" s="254"/>
      <c r="L156" s="254"/>
      <c r="M156" s="228"/>
      <c r="R156" s="31"/>
      <c r="S156" s="228"/>
      <c r="T156" s="31"/>
      <c r="U156" s="228"/>
      <c r="V156" s="31"/>
      <c r="W156" s="228"/>
      <c r="X156" s="31"/>
      <c r="Y156" s="228"/>
      <c r="Z156" s="31"/>
      <c r="AA156" s="228"/>
      <c r="AB156" s="228"/>
      <c r="AC156" s="228"/>
      <c r="AD156" s="228"/>
    </row>
    <row r="157" spans="6:30" s="47" customFormat="1" x14ac:dyDescent="0.2">
      <c r="F157" s="31"/>
      <c r="G157" s="254"/>
      <c r="H157" s="254"/>
      <c r="I157" s="254"/>
      <c r="J157" s="254"/>
      <c r="K157" s="254"/>
      <c r="L157" s="254"/>
      <c r="M157" s="228"/>
      <c r="R157" s="31"/>
      <c r="S157" s="228"/>
      <c r="T157" s="31"/>
      <c r="U157" s="228"/>
      <c r="V157" s="31"/>
      <c r="W157" s="228"/>
      <c r="X157" s="31"/>
      <c r="Y157" s="228"/>
      <c r="Z157" s="31"/>
      <c r="AA157" s="228"/>
      <c r="AB157" s="228"/>
      <c r="AC157" s="228"/>
      <c r="AD157" s="228"/>
    </row>
    <row r="158" spans="6:30" s="47" customFormat="1" x14ac:dyDescent="0.2">
      <c r="F158" s="31"/>
      <c r="G158" s="254"/>
      <c r="H158" s="254"/>
      <c r="I158" s="254"/>
      <c r="J158" s="254"/>
      <c r="K158" s="254"/>
      <c r="L158" s="254"/>
      <c r="M158" s="228"/>
      <c r="R158" s="31"/>
      <c r="S158" s="228"/>
      <c r="T158" s="31"/>
      <c r="U158" s="228"/>
      <c r="V158" s="31"/>
      <c r="W158" s="228"/>
      <c r="X158" s="31"/>
      <c r="Y158" s="228"/>
      <c r="Z158" s="31"/>
      <c r="AA158" s="228"/>
      <c r="AB158" s="228"/>
      <c r="AC158" s="228"/>
      <c r="AD158" s="228"/>
    </row>
    <row r="159" spans="6:30" s="47" customFormat="1" x14ac:dyDescent="0.2">
      <c r="F159" s="31"/>
      <c r="G159" s="254"/>
      <c r="H159" s="254"/>
      <c r="I159" s="254"/>
      <c r="J159" s="254"/>
      <c r="K159" s="254"/>
      <c r="L159" s="254"/>
      <c r="M159" s="228"/>
      <c r="R159" s="31"/>
      <c r="S159" s="228"/>
      <c r="T159" s="31"/>
      <c r="U159" s="228"/>
      <c r="V159" s="31"/>
      <c r="W159" s="228"/>
      <c r="X159" s="31"/>
      <c r="Y159" s="228"/>
      <c r="Z159" s="31"/>
      <c r="AA159" s="228"/>
      <c r="AB159" s="228"/>
      <c r="AC159" s="228"/>
      <c r="AD159" s="228"/>
    </row>
    <row r="160" spans="6:30" s="47" customFormat="1" x14ac:dyDescent="0.2">
      <c r="F160" s="31"/>
      <c r="G160" s="254"/>
      <c r="H160" s="254"/>
      <c r="I160" s="254"/>
      <c r="J160" s="254"/>
      <c r="K160" s="254"/>
      <c r="L160" s="254"/>
      <c r="M160" s="228"/>
      <c r="R160" s="31"/>
      <c r="S160" s="228"/>
      <c r="T160" s="31"/>
      <c r="U160" s="228"/>
      <c r="V160" s="31"/>
      <c r="W160" s="228"/>
      <c r="X160" s="31"/>
      <c r="Y160" s="228"/>
      <c r="Z160" s="31"/>
      <c r="AA160" s="228"/>
      <c r="AB160" s="228"/>
      <c r="AC160" s="228"/>
      <c r="AD160" s="228"/>
    </row>
    <row r="161" spans="6:30" s="47" customFormat="1" x14ac:dyDescent="0.2">
      <c r="F161" s="31"/>
      <c r="G161" s="254"/>
      <c r="H161" s="254"/>
      <c r="I161" s="254"/>
      <c r="J161" s="254"/>
      <c r="K161" s="254"/>
      <c r="L161" s="254"/>
      <c r="M161" s="228"/>
      <c r="R161" s="31"/>
      <c r="S161" s="228"/>
      <c r="T161" s="31"/>
      <c r="U161" s="228"/>
      <c r="V161" s="31"/>
      <c r="W161" s="228"/>
      <c r="X161" s="31"/>
      <c r="Y161" s="228"/>
      <c r="Z161" s="31"/>
      <c r="AA161" s="228"/>
      <c r="AB161" s="228"/>
      <c r="AC161" s="228"/>
      <c r="AD161" s="228"/>
    </row>
    <row r="162" spans="6:30" s="47" customFormat="1" x14ac:dyDescent="0.2">
      <c r="F162" s="31"/>
      <c r="G162" s="254"/>
      <c r="H162" s="254"/>
      <c r="I162" s="254"/>
      <c r="J162" s="254"/>
      <c r="K162" s="254"/>
      <c r="L162" s="254"/>
      <c r="M162" s="228"/>
      <c r="R162" s="31"/>
      <c r="S162" s="228"/>
      <c r="T162" s="31"/>
      <c r="U162" s="228"/>
      <c r="V162" s="31"/>
      <c r="W162" s="228"/>
      <c r="X162" s="31"/>
      <c r="Y162" s="228"/>
      <c r="Z162" s="31"/>
      <c r="AA162" s="228"/>
      <c r="AB162" s="228"/>
      <c r="AC162" s="228"/>
      <c r="AD162" s="228"/>
    </row>
    <row r="163" spans="6:30" s="47" customFormat="1" x14ac:dyDescent="0.2">
      <c r="F163" s="31"/>
      <c r="G163" s="254"/>
      <c r="H163" s="254"/>
      <c r="I163" s="254"/>
      <c r="J163" s="254"/>
      <c r="K163" s="254"/>
      <c r="L163" s="254"/>
      <c r="M163" s="228"/>
      <c r="R163" s="31"/>
      <c r="S163" s="228"/>
      <c r="T163" s="31"/>
      <c r="U163" s="228"/>
      <c r="V163" s="31"/>
      <c r="W163" s="228"/>
      <c r="X163" s="31"/>
      <c r="Y163" s="228"/>
      <c r="Z163" s="31"/>
      <c r="AA163" s="228"/>
      <c r="AB163" s="228"/>
      <c r="AC163" s="228"/>
      <c r="AD163" s="228"/>
    </row>
    <row r="164" spans="6:30" s="47" customFormat="1" x14ac:dyDescent="0.2">
      <c r="F164" s="31"/>
      <c r="G164" s="254"/>
      <c r="H164" s="254"/>
      <c r="I164" s="254"/>
      <c r="J164" s="254"/>
      <c r="K164" s="254"/>
      <c r="L164" s="254"/>
      <c r="M164" s="228"/>
      <c r="R164" s="31"/>
      <c r="S164" s="228"/>
      <c r="T164" s="31"/>
      <c r="U164" s="228"/>
      <c r="V164" s="31"/>
      <c r="W164" s="228"/>
      <c r="X164" s="31"/>
      <c r="Y164" s="228"/>
      <c r="Z164" s="31"/>
      <c r="AA164" s="228"/>
      <c r="AB164" s="228"/>
      <c r="AC164" s="228"/>
      <c r="AD164" s="228"/>
    </row>
    <row r="165" spans="6:30" s="47" customFormat="1" x14ac:dyDescent="0.2">
      <c r="F165" s="31"/>
      <c r="G165" s="254"/>
      <c r="H165" s="254"/>
      <c r="I165" s="254"/>
      <c r="J165" s="254"/>
      <c r="K165" s="254"/>
      <c r="L165" s="254"/>
      <c r="M165" s="228"/>
      <c r="R165" s="31"/>
      <c r="S165" s="228"/>
      <c r="T165" s="31"/>
      <c r="U165" s="228"/>
      <c r="V165" s="31"/>
      <c r="W165" s="228"/>
      <c r="X165" s="31"/>
      <c r="Y165" s="228"/>
      <c r="Z165" s="31"/>
      <c r="AA165" s="228"/>
      <c r="AB165" s="228"/>
      <c r="AC165" s="228"/>
      <c r="AD165" s="228"/>
    </row>
    <row r="166" spans="6:30" s="47" customFormat="1" x14ac:dyDescent="0.2">
      <c r="F166" s="31"/>
      <c r="G166" s="254"/>
      <c r="H166" s="254"/>
      <c r="I166" s="254"/>
      <c r="J166" s="254"/>
      <c r="K166" s="254"/>
      <c r="L166" s="254"/>
      <c r="M166" s="228"/>
      <c r="R166" s="31"/>
      <c r="S166" s="228"/>
      <c r="T166" s="31"/>
      <c r="U166" s="228"/>
      <c r="V166" s="31"/>
      <c r="W166" s="228"/>
      <c r="X166" s="31"/>
      <c r="Y166" s="228"/>
      <c r="Z166" s="31"/>
      <c r="AA166" s="228"/>
      <c r="AB166" s="228"/>
      <c r="AC166" s="228"/>
      <c r="AD166" s="228"/>
    </row>
    <row r="167" spans="6:30" s="47" customFormat="1" x14ac:dyDescent="0.2">
      <c r="F167" s="31"/>
      <c r="G167" s="254"/>
      <c r="H167" s="254"/>
      <c r="I167" s="254"/>
      <c r="J167" s="254"/>
      <c r="K167" s="254"/>
      <c r="L167" s="254"/>
      <c r="M167" s="228"/>
      <c r="R167" s="31"/>
      <c r="S167" s="228"/>
      <c r="T167" s="31"/>
      <c r="U167" s="228"/>
      <c r="V167" s="31"/>
      <c r="W167" s="228"/>
      <c r="X167" s="31"/>
      <c r="Y167" s="228"/>
      <c r="Z167" s="31"/>
      <c r="AA167" s="228"/>
      <c r="AB167" s="228"/>
      <c r="AC167" s="228"/>
      <c r="AD167" s="228"/>
    </row>
    <row r="168" spans="6:30" s="47" customFormat="1" x14ac:dyDescent="0.2">
      <c r="F168" s="31"/>
      <c r="G168" s="254"/>
      <c r="H168" s="254"/>
      <c r="I168" s="254"/>
      <c r="J168" s="254"/>
      <c r="K168" s="254"/>
      <c r="L168" s="254"/>
      <c r="M168" s="228"/>
      <c r="R168" s="31"/>
      <c r="S168" s="228"/>
      <c r="T168" s="31"/>
      <c r="U168" s="228"/>
      <c r="V168" s="31"/>
      <c r="W168" s="228"/>
      <c r="X168" s="31"/>
      <c r="Y168" s="228"/>
      <c r="Z168" s="31"/>
      <c r="AA168" s="228"/>
      <c r="AB168" s="228"/>
      <c r="AC168" s="228"/>
      <c r="AD168" s="228"/>
    </row>
    <row r="169" spans="6:30" s="47" customFormat="1" x14ac:dyDescent="0.2">
      <c r="F169" s="31"/>
      <c r="G169" s="254"/>
      <c r="H169" s="254"/>
      <c r="I169" s="254"/>
      <c r="J169" s="254"/>
      <c r="K169" s="254"/>
      <c r="L169" s="254"/>
      <c r="M169" s="228"/>
      <c r="R169" s="31"/>
      <c r="S169" s="228"/>
      <c r="T169" s="31"/>
      <c r="U169" s="228"/>
      <c r="V169" s="31"/>
      <c r="W169" s="228"/>
      <c r="X169" s="31"/>
      <c r="Y169" s="228"/>
      <c r="Z169" s="31"/>
      <c r="AA169" s="228"/>
      <c r="AB169" s="228"/>
      <c r="AC169" s="228"/>
      <c r="AD169" s="228"/>
    </row>
    <row r="170" spans="6:30" s="47" customFormat="1" x14ac:dyDescent="0.2">
      <c r="F170" s="31"/>
      <c r="G170" s="254"/>
      <c r="H170" s="254"/>
      <c r="I170" s="254"/>
      <c r="J170" s="254"/>
      <c r="K170" s="254"/>
      <c r="L170" s="254"/>
      <c r="M170" s="228"/>
      <c r="R170" s="31"/>
      <c r="S170" s="228"/>
      <c r="T170" s="31"/>
      <c r="U170" s="228"/>
      <c r="V170" s="31"/>
      <c r="W170" s="228"/>
      <c r="X170" s="31"/>
      <c r="Y170" s="228"/>
      <c r="Z170" s="31"/>
      <c r="AA170" s="228"/>
      <c r="AB170" s="228"/>
      <c r="AC170" s="228"/>
      <c r="AD170" s="228"/>
    </row>
    <row r="171" spans="6:30" s="47" customFormat="1" x14ac:dyDescent="0.2">
      <c r="F171" s="31"/>
      <c r="G171" s="254"/>
      <c r="H171" s="254"/>
      <c r="I171" s="254"/>
      <c r="J171" s="254"/>
      <c r="K171" s="254"/>
      <c r="L171" s="254"/>
      <c r="M171" s="228"/>
      <c r="R171" s="31"/>
      <c r="S171" s="228"/>
      <c r="T171" s="31"/>
      <c r="U171" s="228"/>
      <c r="V171" s="31"/>
      <c r="W171" s="228"/>
      <c r="X171" s="31"/>
      <c r="Y171" s="228"/>
      <c r="Z171" s="31"/>
      <c r="AA171" s="228"/>
      <c r="AB171" s="228"/>
      <c r="AC171" s="228"/>
      <c r="AD171" s="228"/>
    </row>
    <row r="172" spans="6:30" s="47" customFormat="1" x14ac:dyDescent="0.2">
      <c r="F172" s="31"/>
      <c r="G172" s="254"/>
      <c r="H172" s="254"/>
      <c r="I172" s="254"/>
      <c r="J172" s="254"/>
      <c r="K172" s="254"/>
      <c r="L172" s="254"/>
      <c r="M172" s="228"/>
      <c r="R172" s="31"/>
      <c r="S172" s="228"/>
      <c r="T172" s="31"/>
      <c r="U172" s="228"/>
      <c r="V172" s="31"/>
      <c r="W172" s="228"/>
      <c r="X172" s="31"/>
      <c r="Y172" s="228"/>
      <c r="Z172" s="31"/>
      <c r="AA172" s="228"/>
      <c r="AB172" s="228"/>
      <c r="AC172" s="228"/>
      <c r="AD172" s="228"/>
    </row>
    <row r="173" spans="6:30" s="47" customFormat="1" x14ac:dyDescent="0.2">
      <c r="F173" s="31"/>
      <c r="G173" s="254"/>
      <c r="H173" s="254"/>
      <c r="I173" s="254"/>
      <c r="J173" s="254"/>
      <c r="K173" s="254"/>
      <c r="L173" s="254"/>
      <c r="M173" s="228"/>
      <c r="R173" s="31"/>
      <c r="S173" s="228"/>
      <c r="T173" s="31"/>
      <c r="U173" s="228"/>
      <c r="V173" s="31"/>
      <c r="W173" s="228"/>
      <c r="X173" s="31"/>
      <c r="Y173" s="228"/>
      <c r="Z173" s="31"/>
      <c r="AA173" s="228"/>
      <c r="AB173" s="228"/>
      <c r="AC173" s="228"/>
      <c r="AD173" s="228"/>
    </row>
    <row r="174" spans="6:30" s="47" customFormat="1" x14ac:dyDescent="0.2">
      <c r="F174" s="31"/>
      <c r="G174" s="254"/>
      <c r="H174" s="254"/>
      <c r="I174" s="254"/>
      <c r="J174" s="254"/>
      <c r="K174" s="254"/>
      <c r="L174" s="254"/>
      <c r="M174" s="228"/>
      <c r="R174" s="31"/>
      <c r="S174" s="228"/>
      <c r="T174" s="31"/>
      <c r="U174" s="228"/>
      <c r="V174" s="31"/>
      <c r="W174" s="228"/>
      <c r="X174" s="31"/>
      <c r="Y174" s="228"/>
      <c r="Z174" s="31"/>
      <c r="AA174" s="228"/>
      <c r="AB174" s="228"/>
      <c r="AC174" s="228"/>
      <c r="AD174" s="228"/>
    </row>
    <row r="175" spans="6:30" s="47" customFormat="1" x14ac:dyDescent="0.2">
      <c r="F175" s="31"/>
      <c r="G175" s="254"/>
      <c r="H175" s="254"/>
      <c r="I175" s="254"/>
      <c r="J175" s="254"/>
      <c r="K175" s="254"/>
      <c r="L175" s="254"/>
      <c r="M175" s="228"/>
      <c r="R175" s="31"/>
      <c r="S175" s="228"/>
      <c r="T175" s="31"/>
      <c r="U175" s="228"/>
      <c r="V175" s="31"/>
      <c r="W175" s="228"/>
      <c r="X175" s="31"/>
      <c r="Y175" s="228"/>
      <c r="Z175" s="31"/>
      <c r="AA175" s="228"/>
      <c r="AB175" s="228"/>
      <c r="AC175" s="228"/>
      <c r="AD175" s="228"/>
    </row>
    <row r="176" spans="6:30" s="47" customFormat="1" x14ac:dyDescent="0.2">
      <c r="F176" s="31"/>
      <c r="G176" s="254"/>
      <c r="H176" s="254"/>
      <c r="I176" s="254"/>
      <c r="J176" s="254"/>
      <c r="K176" s="254"/>
      <c r="L176" s="254"/>
      <c r="M176" s="228"/>
      <c r="R176" s="31"/>
      <c r="S176" s="228"/>
      <c r="T176" s="31"/>
      <c r="U176" s="228"/>
      <c r="V176" s="31"/>
      <c r="W176" s="228"/>
      <c r="X176" s="31"/>
      <c r="Y176" s="228"/>
      <c r="Z176" s="31"/>
      <c r="AA176" s="228"/>
      <c r="AB176" s="228"/>
      <c r="AC176" s="228"/>
      <c r="AD176" s="228"/>
    </row>
    <row r="177" spans="6:30" s="47" customFormat="1" x14ac:dyDescent="0.2">
      <c r="F177" s="31"/>
      <c r="G177" s="254"/>
      <c r="H177" s="254"/>
      <c r="I177" s="254"/>
      <c r="J177" s="254"/>
      <c r="K177" s="254"/>
      <c r="L177" s="254"/>
      <c r="M177" s="228"/>
      <c r="R177" s="31"/>
      <c r="S177" s="228"/>
      <c r="T177" s="31"/>
      <c r="U177" s="228"/>
      <c r="V177" s="31"/>
      <c r="W177" s="228"/>
      <c r="X177" s="31"/>
      <c r="Y177" s="228"/>
      <c r="Z177" s="31"/>
      <c r="AA177" s="228"/>
      <c r="AB177" s="228"/>
      <c r="AC177" s="228"/>
      <c r="AD177" s="228"/>
    </row>
    <row r="178" spans="6:30" s="47" customFormat="1" x14ac:dyDescent="0.2">
      <c r="F178" s="31"/>
      <c r="G178" s="254"/>
      <c r="H178" s="254"/>
      <c r="I178" s="254"/>
      <c r="J178" s="254"/>
      <c r="K178" s="254"/>
      <c r="L178" s="254"/>
      <c r="M178" s="228"/>
      <c r="R178" s="31"/>
      <c r="S178" s="228"/>
      <c r="T178" s="31"/>
      <c r="U178" s="228"/>
      <c r="V178" s="31"/>
      <c r="W178" s="228"/>
      <c r="X178" s="31"/>
      <c r="Y178" s="228"/>
      <c r="Z178" s="31"/>
      <c r="AA178" s="228"/>
      <c r="AB178" s="228"/>
      <c r="AC178" s="228"/>
      <c r="AD178" s="228"/>
    </row>
    <row r="179" spans="6:30" s="47" customFormat="1" x14ac:dyDescent="0.2">
      <c r="F179" s="31"/>
      <c r="G179" s="228"/>
      <c r="H179" s="228"/>
      <c r="I179" s="228"/>
      <c r="J179" s="228"/>
      <c r="K179" s="228"/>
      <c r="L179" s="228"/>
      <c r="M179" s="228"/>
      <c r="S179" s="228"/>
      <c r="U179" s="228"/>
      <c r="W179" s="228"/>
      <c r="Y179" s="228"/>
      <c r="AA179" s="228"/>
      <c r="AB179" s="228"/>
      <c r="AC179" s="228"/>
      <c r="AD179" s="228"/>
    </row>
    <row r="180" spans="6:30" s="47" customFormat="1" x14ac:dyDescent="0.2">
      <c r="G180" s="228"/>
      <c r="H180" s="228"/>
      <c r="I180" s="228"/>
      <c r="J180" s="228"/>
      <c r="K180" s="228"/>
      <c r="L180" s="228"/>
      <c r="M180" s="228"/>
      <c r="S180" s="228"/>
      <c r="U180" s="228"/>
      <c r="W180" s="228"/>
      <c r="Y180" s="228"/>
      <c r="AA180" s="228"/>
      <c r="AB180" s="228"/>
      <c r="AC180" s="228"/>
      <c r="AD180" s="228"/>
    </row>
    <row r="181" spans="6:30" s="47" customFormat="1" x14ac:dyDescent="0.2">
      <c r="G181" s="228"/>
      <c r="H181" s="228"/>
      <c r="I181" s="228"/>
      <c r="J181" s="228"/>
      <c r="K181" s="228"/>
      <c r="L181" s="228"/>
      <c r="M181" s="228"/>
      <c r="S181" s="228"/>
      <c r="U181" s="228"/>
      <c r="W181" s="228"/>
      <c r="Y181" s="228"/>
      <c r="AA181" s="228"/>
      <c r="AB181" s="228"/>
      <c r="AC181" s="228"/>
      <c r="AD181" s="228"/>
    </row>
    <row r="182" spans="6:30" s="47" customFormat="1" x14ac:dyDescent="0.2">
      <c r="G182" s="228"/>
      <c r="H182" s="228"/>
      <c r="I182" s="228"/>
      <c r="J182" s="228"/>
      <c r="K182" s="228"/>
      <c r="L182" s="228"/>
      <c r="M182" s="228"/>
      <c r="S182" s="228"/>
      <c r="U182" s="228"/>
      <c r="W182" s="228"/>
      <c r="Y182" s="228"/>
      <c r="AA182" s="228"/>
      <c r="AB182" s="228"/>
      <c r="AC182" s="228"/>
      <c r="AD182" s="228"/>
    </row>
    <row r="183" spans="6:30" s="47" customFormat="1" x14ac:dyDescent="0.2">
      <c r="G183" s="228"/>
      <c r="H183" s="228"/>
      <c r="I183" s="228"/>
      <c r="J183" s="228"/>
      <c r="K183" s="228"/>
      <c r="L183" s="228"/>
      <c r="M183" s="228"/>
      <c r="S183" s="228"/>
      <c r="U183" s="228"/>
      <c r="W183" s="228"/>
      <c r="Y183" s="228"/>
      <c r="AA183" s="228"/>
      <c r="AB183" s="228"/>
      <c r="AC183" s="228"/>
      <c r="AD183" s="228"/>
    </row>
    <row r="184" spans="6:30" s="47" customFormat="1" x14ac:dyDescent="0.2">
      <c r="G184" s="228"/>
      <c r="H184" s="228"/>
      <c r="I184" s="228"/>
      <c r="J184" s="228"/>
      <c r="K184" s="228"/>
      <c r="L184" s="228"/>
      <c r="M184" s="228"/>
      <c r="S184" s="228"/>
      <c r="U184" s="228"/>
      <c r="W184" s="228"/>
      <c r="Y184" s="228"/>
      <c r="AA184" s="228"/>
      <c r="AB184" s="228"/>
      <c r="AC184" s="228"/>
      <c r="AD184" s="228"/>
    </row>
    <row r="185" spans="6:30" s="47" customFormat="1" x14ac:dyDescent="0.2">
      <c r="G185" s="228"/>
      <c r="H185" s="228"/>
      <c r="I185" s="228"/>
      <c r="J185" s="228"/>
      <c r="K185" s="228"/>
      <c r="L185" s="228"/>
      <c r="M185" s="228"/>
      <c r="S185" s="228"/>
      <c r="U185" s="228"/>
      <c r="W185" s="228"/>
      <c r="Y185" s="228"/>
      <c r="AA185" s="228"/>
      <c r="AB185" s="228"/>
      <c r="AC185" s="228"/>
      <c r="AD185" s="228"/>
    </row>
    <row r="186" spans="6:30" s="47" customFormat="1" x14ac:dyDescent="0.2">
      <c r="G186" s="228"/>
      <c r="H186" s="228"/>
      <c r="I186" s="228"/>
      <c r="J186" s="228"/>
      <c r="K186" s="228"/>
      <c r="L186" s="228"/>
      <c r="M186" s="228"/>
      <c r="S186" s="228"/>
      <c r="U186" s="228"/>
      <c r="W186" s="228"/>
      <c r="Y186" s="228"/>
      <c r="AA186" s="228"/>
      <c r="AB186" s="228"/>
      <c r="AC186" s="228"/>
      <c r="AD186" s="228"/>
    </row>
    <row r="187" spans="6:30" s="47" customFormat="1" x14ac:dyDescent="0.2">
      <c r="G187" s="228"/>
      <c r="H187" s="228"/>
      <c r="I187" s="228"/>
      <c r="J187" s="228"/>
      <c r="K187" s="228"/>
      <c r="L187" s="228"/>
      <c r="M187" s="228"/>
      <c r="S187" s="228"/>
      <c r="U187" s="228"/>
      <c r="W187" s="228"/>
      <c r="Y187" s="228"/>
      <c r="AA187" s="228"/>
      <c r="AB187" s="228"/>
      <c r="AC187" s="228"/>
      <c r="AD187" s="228"/>
    </row>
    <row r="188" spans="6:30" s="47" customFormat="1" x14ac:dyDescent="0.2">
      <c r="G188" s="228"/>
      <c r="H188" s="228"/>
      <c r="I188" s="228"/>
      <c r="J188" s="228"/>
      <c r="K188" s="228"/>
      <c r="L188" s="228"/>
      <c r="M188" s="228"/>
      <c r="S188" s="228"/>
      <c r="U188" s="228"/>
      <c r="W188" s="228"/>
      <c r="Y188" s="228"/>
      <c r="AA188" s="228"/>
      <c r="AB188" s="228"/>
      <c r="AC188" s="228"/>
      <c r="AD188" s="228"/>
    </row>
    <row r="189" spans="6:30" s="47" customFormat="1" x14ac:dyDescent="0.2">
      <c r="G189" s="228"/>
      <c r="H189" s="228"/>
      <c r="I189" s="228"/>
      <c r="J189" s="228"/>
      <c r="K189" s="228"/>
      <c r="L189" s="228"/>
      <c r="M189" s="228"/>
      <c r="S189" s="228"/>
      <c r="U189" s="228"/>
      <c r="W189" s="228"/>
      <c r="Y189" s="228"/>
      <c r="AA189" s="228"/>
      <c r="AB189" s="228"/>
      <c r="AC189" s="228"/>
      <c r="AD189" s="228"/>
    </row>
    <row r="190" spans="6:30" s="47" customFormat="1" x14ac:dyDescent="0.2">
      <c r="G190" s="228"/>
      <c r="H190" s="228"/>
      <c r="I190" s="228"/>
      <c r="J190" s="228"/>
      <c r="K190" s="228"/>
      <c r="L190" s="228"/>
      <c r="M190" s="228"/>
      <c r="S190" s="228"/>
      <c r="U190" s="228"/>
      <c r="W190" s="228"/>
      <c r="Y190" s="228"/>
      <c r="AA190" s="228"/>
      <c r="AB190" s="228"/>
      <c r="AC190" s="228"/>
      <c r="AD190" s="228"/>
    </row>
    <row r="191" spans="6:30" s="47" customFormat="1" x14ac:dyDescent="0.2">
      <c r="G191" s="228"/>
      <c r="H191" s="228"/>
      <c r="I191" s="228"/>
      <c r="J191" s="228"/>
      <c r="K191" s="228"/>
      <c r="L191" s="228"/>
      <c r="M191" s="228"/>
      <c r="S191" s="228"/>
      <c r="U191" s="228"/>
      <c r="W191" s="228"/>
      <c r="Y191" s="228"/>
      <c r="AA191" s="228"/>
      <c r="AB191" s="228"/>
      <c r="AC191" s="228"/>
      <c r="AD191" s="228"/>
    </row>
    <row r="192" spans="6:30" s="47" customFormat="1" x14ac:dyDescent="0.2">
      <c r="G192" s="228"/>
      <c r="H192" s="228"/>
      <c r="I192" s="228"/>
      <c r="J192" s="228"/>
      <c r="K192" s="228"/>
      <c r="L192" s="228"/>
      <c r="M192" s="228"/>
      <c r="S192" s="228"/>
      <c r="U192" s="228"/>
      <c r="W192" s="228"/>
      <c r="Y192" s="228"/>
      <c r="AA192" s="228"/>
      <c r="AB192" s="228"/>
      <c r="AC192" s="228"/>
      <c r="AD192" s="228"/>
    </row>
    <row r="193" spans="7:30" s="47" customFormat="1" x14ac:dyDescent="0.2">
      <c r="G193" s="228"/>
      <c r="H193" s="228"/>
      <c r="I193" s="228"/>
      <c r="J193" s="228"/>
      <c r="K193" s="228"/>
      <c r="L193" s="228"/>
      <c r="M193" s="228"/>
      <c r="S193" s="228"/>
      <c r="U193" s="228"/>
      <c r="W193" s="228"/>
      <c r="Y193" s="228"/>
      <c r="AA193" s="228"/>
      <c r="AB193" s="228"/>
      <c r="AC193" s="228"/>
      <c r="AD193" s="228"/>
    </row>
    <row r="194" spans="7:30" s="47" customFormat="1" x14ac:dyDescent="0.2">
      <c r="G194" s="228"/>
      <c r="H194" s="228"/>
      <c r="I194" s="228"/>
      <c r="J194" s="228"/>
      <c r="K194" s="228"/>
      <c r="L194" s="228"/>
      <c r="M194" s="228"/>
      <c r="S194" s="228"/>
      <c r="U194" s="228"/>
      <c r="W194" s="228"/>
      <c r="Y194" s="228"/>
      <c r="AA194" s="228"/>
      <c r="AB194" s="228"/>
      <c r="AC194" s="228"/>
      <c r="AD194" s="228"/>
    </row>
    <row r="195" spans="7:30" s="47" customFormat="1" x14ac:dyDescent="0.2">
      <c r="G195" s="228"/>
      <c r="H195" s="228"/>
      <c r="I195" s="228"/>
      <c r="J195" s="228"/>
      <c r="K195" s="228"/>
      <c r="L195" s="228"/>
      <c r="M195" s="228"/>
      <c r="S195" s="228"/>
      <c r="U195" s="228"/>
      <c r="W195" s="228"/>
      <c r="Y195" s="228"/>
      <c r="AA195" s="228"/>
      <c r="AB195" s="228"/>
      <c r="AC195" s="228"/>
      <c r="AD195" s="228"/>
    </row>
    <row r="196" spans="7:30" s="47" customFormat="1" x14ac:dyDescent="0.2">
      <c r="G196" s="228"/>
      <c r="H196" s="228"/>
      <c r="I196" s="228"/>
      <c r="J196" s="228"/>
      <c r="K196" s="228"/>
      <c r="L196" s="228"/>
      <c r="M196" s="228"/>
      <c r="S196" s="228"/>
      <c r="U196" s="228"/>
      <c r="W196" s="228"/>
      <c r="Y196" s="228"/>
      <c r="AA196" s="228"/>
      <c r="AB196" s="228"/>
      <c r="AC196" s="228"/>
      <c r="AD196" s="228"/>
    </row>
    <row r="197" spans="7:30" s="47" customFormat="1" x14ac:dyDescent="0.2">
      <c r="G197" s="228"/>
      <c r="H197" s="228"/>
      <c r="I197" s="228"/>
      <c r="J197" s="228"/>
      <c r="K197" s="228"/>
      <c r="L197" s="228"/>
      <c r="M197" s="228"/>
      <c r="S197" s="228"/>
      <c r="U197" s="228"/>
      <c r="W197" s="228"/>
      <c r="Y197" s="228"/>
      <c r="AA197" s="228"/>
      <c r="AB197" s="228"/>
      <c r="AC197" s="228"/>
      <c r="AD197" s="228"/>
    </row>
    <row r="198" spans="7:30" s="47" customFormat="1" x14ac:dyDescent="0.2">
      <c r="G198" s="228"/>
      <c r="H198" s="228"/>
      <c r="I198" s="228"/>
      <c r="J198" s="228"/>
      <c r="K198" s="228"/>
      <c r="L198" s="228"/>
      <c r="M198" s="228"/>
      <c r="S198" s="228"/>
      <c r="U198" s="228"/>
      <c r="W198" s="228"/>
      <c r="Y198" s="228"/>
      <c r="AA198" s="228"/>
      <c r="AB198" s="228"/>
      <c r="AC198" s="228"/>
      <c r="AD198" s="228"/>
    </row>
    <row r="199" spans="7:30" s="47" customFormat="1" x14ac:dyDescent="0.2">
      <c r="G199" s="228"/>
      <c r="H199" s="228"/>
      <c r="I199" s="228"/>
      <c r="J199" s="228"/>
      <c r="K199" s="228"/>
      <c r="L199" s="228"/>
      <c r="M199" s="228"/>
      <c r="S199" s="228"/>
      <c r="U199" s="228"/>
      <c r="W199" s="228"/>
      <c r="Y199" s="228"/>
      <c r="AA199" s="228"/>
      <c r="AB199" s="228"/>
      <c r="AC199" s="228"/>
      <c r="AD199" s="228"/>
    </row>
    <row r="200" spans="7:30" s="47" customFormat="1" x14ac:dyDescent="0.2">
      <c r="G200" s="228"/>
      <c r="H200" s="228"/>
      <c r="I200" s="228"/>
      <c r="J200" s="228"/>
      <c r="K200" s="228"/>
      <c r="L200" s="228"/>
      <c r="M200" s="228"/>
      <c r="S200" s="228"/>
      <c r="U200" s="228"/>
      <c r="W200" s="228"/>
      <c r="Y200" s="228"/>
      <c r="AA200" s="228"/>
      <c r="AB200" s="228"/>
      <c r="AC200" s="228"/>
      <c r="AD200" s="228"/>
    </row>
    <row r="201" spans="7:30" s="47" customFormat="1" x14ac:dyDescent="0.2">
      <c r="G201" s="228"/>
      <c r="H201" s="228"/>
      <c r="I201" s="228"/>
      <c r="J201" s="228"/>
      <c r="K201" s="228"/>
      <c r="L201" s="228"/>
      <c r="M201" s="228"/>
      <c r="S201" s="228"/>
      <c r="U201" s="228"/>
      <c r="W201" s="228"/>
      <c r="Y201" s="228"/>
      <c r="AA201" s="228"/>
      <c r="AB201" s="228"/>
      <c r="AC201" s="228"/>
      <c r="AD201" s="228"/>
    </row>
    <row r="202" spans="7:30" s="47" customFormat="1" x14ac:dyDescent="0.2">
      <c r="G202" s="228"/>
      <c r="H202" s="228"/>
      <c r="I202" s="228"/>
      <c r="J202" s="228"/>
      <c r="K202" s="228"/>
      <c r="L202" s="228"/>
      <c r="M202" s="228"/>
      <c r="S202" s="228"/>
      <c r="U202" s="228"/>
      <c r="W202" s="228"/>
      <c r="Y202" s="228"/>
      <c r="AA202" s="228"/>
      <c r="AB202" s="228"/>
      <c r="AC202" s="228"/>
      <c r="AD202" s="228"/>
    </row>
    <row r="203" spans="7:30" s="47" customFormat="1" x14ac:dyDescent="0.2">
      <c r="G203" s="228"/>
      <c r="H203" s="228"/>
      <c r="I203" s="228"/>
      <c r="J203" s="228"/>
      <c r="K203" s="228"/>
      <c r="L203" s="228"/>
      <c r="M203" s="228"/>
      <c r="S203" s="228"/>
      <c r="U203" s="228"/>
      <c r="W203" s="228"/>
      <c r="Y203" s="228"/>
      <c r="AA203" s="228"/>
      <c r="AB203" s="228"/>
      <c r="AC203" s="228"/>
      <c r="AD203" s="228"/>
    </row>
    <row r="204" spans="7:30" s="47" customFormat="1" x14ac:dyDescent="0.2">
      <c r="G204" s="228"/>
      <c r="H204" s="228"/>
      <c r="I204" s="228"/>
      <c r="J204" s="228"/>
      <c r="K204" s="228"/>
      <c r="L204" s="228"/>
      <c r="M204" s="228"/>
      <c r="S204" s="228"/>
      <c r="U204" s="228"/>
      <c r="W204" s="228"/>
      <c r="Y204" s="228"/>
      <c r="AA204" s="228"/>
      <c r="AB204" s="228"/>
      <c r="AC204" s="228"/>
      <c r="AD204" s="228"/>
    </row>
    <row r="205" spans="7:30" s="47" customFormat="1" x14ac:dyDescent="0.2">
      <c r="G205" s="228"/>
      <c r="H205" s="228"/>
      <c r="I205" s="228"/>
      <c r="J205" s="228"/>
      <c r="K205" s="228"/>
      <c r="L205" s="228"/>
      <c r="M205" s="228"/>
      <c r="S205" s="228"/>
      <c r="U205" s="228"/>
      <c r="W205" s="228"/>
      <c r="Y205" s="228"/>
      <c r="AA205" s="228"/>
      <c r="AB205" s="228"/>
      <c r="AC205" s="228"/>
      <c r="AD205" s="228"/>
    </row>
    <row r="206" spans="7:30" s="47" customFormat="1" x14ac:dyDescent="0.2">
      <c r="G206" s="228"/>
      <c r="H206" s="228"/>
      <c r="I206" s="228"/>
      <c r="J206" s="228"/>
      <c r="K206" s="228"/>
      <c r="L206" s="228"/>
      <c r="M206" s="228"/>
      <c r="S206" s="228"/>
      <c r="U206" s="228"/>
      <c r="W206" s="228"/>
      <c r="Y206" s="228"/>
      <c r="AA206" s="228"/>
      <c r="AB206" s="228"/>
      <c r="AC206" s="228"/>
      <c r="AD206" s="228"/>
    </row>
    <row r="207" spans="7:30" s="47" customFormat="1" x14ac:dyDescent="0.2">
      <c r="G207" s="228"/>
      <c r="H207" s="228"/>
      <c r="I207" s="228"/>
      <c r="J207" s="228"/>
      <c r="K207" s="228"/>
      <c r="L207" s="228"/>
      <c r="M207" s="228"/>
      <c r="S207" s="228"/>
      <c r="U207" s="228"/>
      <c r="W207" s="228"/>
      <c r="Y207" s="228"/>
      <c r="AA207" s="228"/>
      <c r="AB207" s="228"/>
      <c r="AC207" s="228"/>
      <c r="AD207" s="228"/>
    </row>
    <row r="208" spans="7:30" s="47" customFormat="1" x14ac:dyDescent="0.2">
      <c r="G208" s="228"/>
      <c r="H208" s="228"/>
      <c r="I208" s="228"/>
      <c r="J208" s="228"/>
      <c r="K208" s="228"/>
      <c r="L208" s="228"/>
      <c r="M208" s="228"/>
      <c r="S208" s="228"/>
      <c r="U208" s="228"/>
      <c r="W208" s="228"/>
      <c r="Y208" s="228"/>
      <c r="AA208" s="228"/>
      <c r="AB208" s="228"/>
      <c r="AC208" s="228"/>
      <c r="AD208" s="228"/>
    </row>
    <row r="209" spans="7:30" s="47" customFormat="1" x14ac:dyDescent="0.2">
      <c r="G209" s="228"/>
      <c r="H209" s="228"/>
      <c r="I209" s="228"/>
      <c r="J209" s="228"/>
      <c r="K209" s="228"/>
      <c r="L209" s="228"/>
      <c r="M209" s="228"/>
      <c r="S209" s="228"/>
      <c r="U209" s="228"/>
      <c r="W209" s="228"/>
      <c r="Y209" s="228"/>
      <c r="AA209" s="228"/>
      <c r="AB209" s="228"/>
      <c r="AC209" s="228"/>
      <c r="AD209" s="228"/>
    </row>
    <row r="210" spans="7:30" s="47" customFormat="1" x14ac:dyDescent="0.2">
      <c r="G210" s="228"/>
      <c r="H210" s="228"/>
      <c r="I210" s="228"/>
      <c r="J210" s="228"/>
      <c r="K210" s="228"/>
      <c r="L210" s="228"/>
      <c r="M210" s="228"/>
      <c r="S210" s="228"/>
      <c r="U210" s="228"/>
      <c r="W210" s="228"/>
      <c r="Y210" s="228"/>
      <c r="AA210" s="228"/>
      <c r="AB210" s="228"/>
      <c r="AC210" s="228"/>
      <c r="AD210" s="228"/>
    </row>
    <row r="211" spans="7:30" s="47" customFormat="1" x14ac:dyDescent="0.2">
      <c r="G211" s="228"/>
      <c r="H211" s="228"/>
      <c r="I211" s="228"/>
      <c r="J211" s="228"/>
      <c r="K211" s="228"/>
      <c r="L211" s="228"/>
      <c r="M211" s="228"/>
      <c r="S211" s="228"/>
      <c r="U211" s="228"/>
      <c r="W211" s="228"/>
      <c r="Y211" s="228"/>
      <c r="AA211" s="228"/>
      <c r="AB211" s="228"/>
      <c r="AC211" s="228"/>
      <c r="AD211" s="228"/>
    </row>
    <row r="212" spans="7:30" s="47" customFormat="1" x14ac:dyDescent="0.2">
      <c r="G212" s="228"/>
      <c r="H212" s="228"/>
      <c r="I212" s="228"/>
      <c r="J212" s="228"/>
      <c r="K212" s="228"/>
      <c r="L212" s="228"/>
      <c r="M212" s="228"/>
      <c r="S212" s="228"/>
      <c r="U212" s="228"/>
      <c r="W212" s="228"/>
      <c r="Y212" s="228"/>
      <c r="AA212" s="228"/>
      <c r="AB212" s="228"/>
      <c r="AC212" s="228"/>
      <c r="AD212" s="228"/>
    </row>
    <row r="213" spans="7:30" s="47" customFormat="1" x14ac:dyDescent="0.2">
      <c r="G213" s="228"/>
      <c r="H213" s="228"/>
      <c r="I213" s="228"/>
      <c r="J213" s="228"/>
      <c r="K213" s="228"/>
      <c r="L213" s="228"/>
      <c r="M213" s="228"/>
      <c r="S213" s="228"/>
      <c r="U213" s="228"/>
      <c r="W213" s="228"/>
      <c r="Y213" s="228"/>
      <c r="AA213" s="228"/>
      <c r="AB213" s="228"/>
      <c r="AC213" s="228"/>
      <c r="AD213" s="228"/>
    </row>
    <row r="214" spans="7:30" s="47" customFormat="1" x14ac:dyDescent="0.2">
      <c r="G214" s="228"/>
      <c r="H214" s="228"/>
      <c r="I214" s="228"/>
      <c r="J214" s="228"/>
      <c r="K214" s="228"/>
      <c r="L214" s="228"/>
      <c r="M214" s="228"/>
      <c r="S214" s="228"/>
      <c r="U214" s="228"/>
      <c r="W214" s="228"/>
      <c r="Y214" s="228"/>
      <c r="AA214" s="228"/>
      <c r="AB214" s="228"/>
      <c r="AC214" s="228"/>
      <c r="AD214" s="228"/>
    </row>
    <row r="215" spans="7:30" s="47" customFormat="1" x14ac:dyDescent="0.2">
      <c r="G215" s="228"/>
      <c r="H215" s="228"/>
      <c r="I215" s="228"/>
      <c r="J215" s="228"/>
      <c r="K215" s="228"/>
      <c r="L215" s="228"/>
      <c r="M215" s="228"/>
      <c r="S215" s="228"/>
      <c r="U215" s="228"/>
      <c r="W215" s="228"/>
      <c r="Y215" s="228"/>
      <c r="AA215" s="228"/>
      <c r="AB215" s="228"/>
      <c r="AC215" s="228"/>
      <c r="AD215" s="228"/>
    </row>
    <row r="216" spans="7:30" s="47" customFormat="1" x14ac:dyDescent="0.2">
      <c r="G216" s="228"/>
      <c r="H216" s="228"/>
      <c r="I216" s="228"/>
      <c r="J216" s="228"/>
      <c r="K216" s="228"/>
      <c r="L216" s="228"/>
      <c r="M216" s="228"/>
      <c r="S216" s="228"/>
      <c r="U216" s="228"/>
      <c r="W216" s="228"/>
      <c r="Y216" s="228"/>
      <c r="AA216" s="228"/>
      <c r="AB216" s="228"/>
      <c r="AC216" s="228"/>
      <c r="AD216" s="228"/>
    </row>
    <row r="217" spans="7:30" s="47" customFormat="1" x14ac:dyDescent="0.2">
      <c r="G217" s="228"/>
      <c r="H217" s="228"/>
      <c r="I217" s="228"/>
      <c r="J217" s="228"/>
      <c r="K217" s="228"/>
      <c r="L217" s="228"/>
      <c r="M217" s="228"/>
      <c r="S217" s="228"/>
      <c r="U217" s="228"/>
      <c r="W217" s="228"/>
      <c r="Y217" s="228"/>
      <c r="AA217" s="228"/>
      <c r="AB217" s="228"/>
      <c r="AC217" s="228"/>
      <c r="AD217" s="228"/>
    </row>
    <row r="218" spans="7:30" s="47" customFormat="1" x14ac:dyDescent="0.2">
      <c r="G218" s="228"/>
      <c r="H218" s="228"/>
      <c r="I218" s="228"/>
      <c r="J218" s="228"/>
      <c r="K218" s="228"/>
      <c r="L218" s="228"/>
      <c r="M218" s="228"/>
      <c r="S218" s="228"/>
      <c r="U218" s="228"/>
      <c r="W218" s="228"/>
      <c r="Y218" s="228"/>
      <c r="AA218" s="228"/>
      <c r="AB218" s="228"/>
      <c r="AC218" s="228"/>
      <c r="AD218" s="228"/>
    </row>
    <row r="219" spans="7:30" s="47" customFormat="1" x14ac:dyDescent="0.2">
      <c r="G219" s="228"/>
      <c r="H219" s="228"/>
      <c r="I219" s="228"/>
      <c r="J219" s="228"/>
      <c r="K219" s="228"/>
      <c r="L219" s="228"/>
      <c r="M219" s="228"/>
      <c r="S219" s="228"/>
      <c r="U219" s="228"/>
      <c r="W219" s="228"/>
      <c r="Y219" s="228"/>
      <c r="AA219" s="228"/>
      <c r="AB219" s="228"/>
      <c r="AC219" s="228"/>
      <c r="AD219" s="228"/>
    </row>
    <row r="220" spans="7:30" s="47" customFormat="1" x14ac:dyDescent="0.2">
      <c r="G220" s="228"/>
      <c r="H220" s="228"/>
      <c r="I220" s="228"/>
      <c r="J220" s="228"/>
      <c r="K220" s="228"/>
      <c r="L220" s="228"/>
      <c r="M220" s="228"/>
      <c r="S220" s="228"/>
      <c r="U220" s="228"/>
      <c r="W220" s="228"/>
      <c r="Y220" s="228"/>
      <c r="AA220" s="228"/>
      <c r="AB220" s="228"/>
      <c r="AC220" s="228"/>
      <c r="AD220" s="228"/>
    </row>
    <row r="221" spans="7:30" s="47" customFormat="1" x14ac:dyDescent="0.2">
      <c r="G221" s="228"/>
      <c r="H221" s="228"/>
      <c r="I221" s="228"/>
      <c r="J221" s="228"/>
      <c r="K221" s="228"/>
      <c r="L221" s="228"/>
      <c r="M221" s="228"/>
      <c r="S221" s="228"/>
      <c r="U221" s="228"/>
      <c r="W221" s="228"/>
      <c r="Y221" s="228"/>
      <c r="AA221" s="228"/>
      <c r="AB221" s="228"/>
      <c r="AC221" s="228"/>
      <c r="AD221" s="228"/>
    </row>
    <row r="222" spans="7:30" s="47" customFormat="1" x14ac:dyDescent="0.2">
      <c r="G222" s="228"/>
      <c r="H222" s="228"/>
      <c r="I222" s="228"/>
      <c r="J222" s="228"/>
      <c r="K222" s="228"/>
      <c r="L222" s="228"/>
      <c r="M222" s="228"/>
      <c r="S222" s="228"/>
      <c r="U222" s="228"/>
      <c r="W222" s="228"/>
      <c r="Y222" s="228"/>
      <c r="AA222" s="228"/>
      <c r="AB222" s="228"/>
      <c r="AC222" s="228"/>
      <c r="AD222" s="228"/>
    </row>
    <row r="223" spans="7:30" s="47" customFormat="1" x14ac:dyDescent="0.2">
      <c r="G223" s="228"/>
      <c r="H223" s="228"/>
      <c r="I223" s="228"/>
      <c r="J223" s="228"/>
      <c r="K223" s="228"/>
      <c r="L223" s="228"/>
      <c r="M223" s="228"/>
      <c r="S223" s="228"/>
      <c r="U223" s="228"/>
      <c r="W223" s="228"/>
      <c r="Y223" s="228"/>
      <c r="AA223" s="228"/>
      <c r="AB223" s="228"/>
      <c r="AC223" s="228"/>
      <c r="AD223" s="228"/>
    </row>
    <row r="224" spans="7:30" s="47" customFormat="1" x14ac:dyDescent="0.2">
      <c r="G224" s="228"/>
      <c r="H224" s="228"/>
      <c r="I224" s="228"/>
      <c r="J224" s="228"/>
      <c r="K224" s="228"/>
      <c r="L224" s="228"/>
      <c r="M224" s="228"/>
      <c r="S224" s="228"/>
      <c r="U224" s="228"/>
      <c r="W224" s="228"/>
      <c r="Y224" s="228"/>
      <c r="AA224" s="228"/>
      <c r="AB224" s="228"/>
      <c r="AC224" s="228"/>
      <c r="AD224" s="228"/>
    </row>
    <row r="225" spans="7:30" s="47" customFormat="1" x14ac:dyDescent="0.2">
      <c r="G225" s="228"/>
      <c r="H225" s="228"/>
      <c r="I225" s="228"/>
      <c r="J225" s="228"/>
      <c r="K225" s="228"/>
      <c r="L225" s="228"/>
      <c r="M225" s="228"/>
      <c r="S225" s="228"/>
      <c r="U225" s="228"/>
      <c r="W225" s="228"/>
      <c r="Y225" s="228"/>
      <c r="AA225" s="228"/>
      <c r="AB225" s="228"/>
      <c r="AC225" s="228"/>
      <c r="AD225" s="228"/>
    </row>
    <row r="226" spans="7:30" s="47" customFormat="1" x14ac:dyDescent="0.2">
      <c r="G226" s="228"/>
      <c r="H226" s="228"/>
      <c r="I226" s="228"/>
      <c r="J226" s="228"/>
      <c r="K226" s="228"/>
      <c r="L226" s="228"/>
      <c r="M226" s="228"/>
      <c r="S226" s="228"/>
      <c r="U226" s="228"/>
      <c r="W226" s="228"/>
      <c r="Y226" s="228"/>
      <c r="AA226" s="228"/>
      <c r="AB226" s="228"/>
      <c r="AC226" s="228"/>
      <c r="AD226" s="228"/>
    </row>
    <row r="227" spans="7:30" s="47" customFormat="1" x14ac:dyDescent="0.2">
      <c r="G227" s="228"/>
      <c r="H227" s="228"/>
      <c r="I227" s="228"/>
      <c r="J227" s="228"/>
      <c r="K227" s="228"/>
      <c r="L227" s="228"/>
      <c r="M227" s="228"/>
      <c r="S227" s="228"/>
      <c r="U227" s="228"/>
      <c r="W227" s="228"/>
      <c r="Y227" s="228"/>
      <c r="AA227" s="228"/>
      <c r="AB227" s="228"/>
      <c r="AC227" s="228"/>
      <c r="AD227" s="228"/>
    </row>
    <row r="228" spans="7:30" s="47" customFormat="1" x14ac:dyDescent="0.2">
      <c r="G228" s="228"/>
      <c r="H228" s="228"/>
      <c r="I228" s="228"/>
      <c r="J228" s="228"/>
      <c r="K228" s="228"/>
      <c r="L228" s="228"/>
      <c r="M228" s="228"/>
      <c r="S228" s="228"/>
      <c r="U228" s="228"/>
      <c r="W228" s="228"/>
      <c r="Y228" s="228"/>
      <c r="AA228" s="228"/>
      <c r="AB228" s="228"/>
      <c r="AC228" s="228"/>
      <c r="AD228" s="228"/>
    </row>
    <row r="229" spans="7:30" s="47" customFormat="1" x14ac:dyDescent="0.2">
      <c r="G229" s="228"/>
      <c r="H229" s="228"/>
      <c r="I229" s="228"/>
      <c r="J229" s="228"/>
      <c r="K229" s="228"/>
      <c r="L229" s="228"/>
      <c r="M229" s="228"/>
      <c r="S229" s="228"/>
      <c r="U229" s="228"/>
      <c r="W229" s="228"/>
      <c r="Y229" s="228"/>
      <c r="AA229" s="228"/>
      <c r="AB229" s="228"/>
      <c r="AC229" s="228"/>
      <c r="AD229" s="228"/>
    </row>
    <row r="230" spans="7:30" s="47" customFormat="1" x14ac:dyDescent="0.2">
      <c r="G230" s="228"/>
      <c r="H230" s="228"/>
      <c r="I230" s="228"/>
      <c r="J230" s="228"/>
      <c r="K230" s="228"/>
      <c r="L230" s="228"/>
      <c r="M230" s="228"/>
      <c r="S230" s="228"/>
      <c r="U230" s="228"/>
      <c r="W230" s="228"/>
      <c r="Y230" s="228"/>
      <c r="AA230" s="228"/>
      <c r="AB230" s="228"/>
      <c r="AC230" s="228"/>
      <c r="AD230" s="228"/>
    </row>
    <row r="231" spans="7:30" x14ac:dyDescent="0.2">
      <c r="S231" s="228"/>
      <c r="AA231" s="228"/>
    </row>
    <row r="232" spans="7:30" x14ac:dyDescent="0.2">
      <c r="S232" s="228"/>
      <c r="AA232" s="228"/>
    </row>
    <row r="233" spans="7:30" x14ac:dyDescent="0.2">
      <c r="S233" s="228"/>
      <c r="AA233" s="228"/>
    </row>
    <row r="234" spans="7:30" x14ac:dyDescent="0.2">
      <c r="S234" s="228"/>
      <c r="AA234" s="228"/>
    </row>
    <row r="235" spans="7:30" x14ac:dyDescent="0.2">
      <c r="S235" s="228"/>
      <c r="AA235" s="228"/>
    </row>
    <row r="236" spans="7:30" x14ac:dyDescent="0.2">
      <c r="S236" s="228"/>
      <c r="AA236" s="228"/>
    </row>
    <row r="237" spans="7:30" x14ac:dyDescent="0.2">
      <c r="S237" s="228"/>
      <c r="AA237" s="228"/>
    </row>
    <row r="238" spans="7:30" x14ac:dyDescent="0.2">
      <c r="S238" s="228"/>
      <c r="AA238" s="228"/>
    </row>
    <row r="239" spans="7:30" x14ac:dyDescent="0.2">
      <c r="S239" s="228"/>
      <c r="AA239" s="228"/>
    </row>
    <row r="240" spans="7:30" x14ac:dyDescent="0.2">
      <c r="S240" s="228"/>
      <c r="AA240" s="228"/>
    </row>
    <row r="241" spans="19:27" x14ac:dyDescent="0.2">
      <c r="S241" s="228"/>
      <c r="AA241" s="228"/>
    </row>
    <row r="242" spans="19:27" x14ac:dyDescent="0.2">
      <c r="S242" s="228"/>
      <c r="AA242" s="228"/>
    </row>
    <row r="243" spans="19:27" x14ac:dyDescent="0.2">
      <c r="S243" s="228"/>
      <c r="AA243" s="228"/>
    </row>
    <row r="244" spans="19:27" x14ac:dyDescent="0.2">
      <c r="S244" s="228"/>
      <c r="AA244" s="228"/>
    </row>
    <row r="245" spans="19:27" x14ac:dyDescent="0.2">
      <c r="S245" s="228"/>
      <c r="AA245" s="228"/>
    </row>
    <row r="246" spans="19:27" x14ac:dyDescent="0.2">
      <c r="S246" s="228"/>
      <c r="AA246" s="228"/>
    </row>
    <row r="247" spans="19:27" x14ac:dyDescent="0.2">
      <c r="S247" s="228"/>
      <c r="AA247" s="228"/>
    </row>
    <row r="248" spans="19:27" x14ac:dyDescent="0.2">
      <c r="S248" s="228"/>
      <c r="AA248" s="228"/>
    </row>
    <row r="249" spans="19:27" x14ac:dyDescent="0.2">
      <c r="S249" s="228"/>
      <c r="AA249" s="228"/>
    </row>
    <row r="250" spans="19:27" x14ac:dyDescent="0.2">
      <c r="S250" s="228"/>
      <c r="AA250" s="228"/>
    </row>
    <row r="251" spans="19:27" x14ac:dyDescent="0.2">
      <c r="S251" s="228"/>
      <c r="AA251" s="228"/>
    </row>
    <row r="252" spans="19:27" x14ac:dyDescent="0.2">
      <c r="S252" s="228"/>
      <c r="AA252" s="228"/>
    </row>
    <row r="253" spans="19:27" x14ac:dyDescent="0.2">
      <c r="S253" s="228"/>
      <c r="AA253" s="228"/>
    </row>
    <row r="254" spans="19:27" x14ac:dyDescent="0.2">
      <c r="S254" s="228"/>
      <c r="AA254" s="228"/>
    </row>
    <row r="255" spans="19:27" x14ac:dyDescent="0.2">
      <c r="S255" s="228"/>
      <c r="AA255" s="228"/>
    </row>
    <row r="256" spans="19:27" x14ac:dyDescent="0.2">
      <c r="S256" s="228"/>
      <c r="AA256" s="228"/>
    </row>
    <row r="257" spans="19:27" x14ac:dyDescent="0.2">
      <c r="S257" s="228"/>
      <c r="AA257" s="228"/>
    </row>
    <row r="258" spans="19:27" x14ac:dyDescent="0.2">
      <c r="S258" s="228"/>
      <c r="AA258" s="228"/>
    </row>
    <row r="259" spans="19:27" x14ac:dyDescent="0.2">
      <c r="S259" s="228"/>
      <c r="AA259" s="228"/>
    </row>
    <row r="260" spans="19:27" x14ac:dyDescent="0.2">
      <c r="S260" s="228"/>
      <c r="AA260" s="228"/>
    </row>
    <row r="261" spans="19:27" x14ac:dyDescent="0.2">
      <c r="S261" s="228"/>
      <c r="AA261" s="228"/>
    </row>
    <row r="262" spans="19:27" x14ac:dyDescent="0.2">
      <c r="S262" s="228"/>
      <c r="AA262" s="228"/>
    </row>
    <row r="263" spans="19:27" x14ac:dyDescent="0.2">
      <c r="S263" s="228"/>
      <c r="AA263" s="228"/>
    </row>
    <row r="264" spans="19:27" x14ac:dyDescent="0.2">
      <c r="S264" s="228"/>
      <c r="AA264" s="228"/>
    </row>
    <row r="265" spans="19:27" x14ac:dyDescent="0.2">
      <c r="S265" s="228"/>
      <c r="AA265" s="228"/>
    </row>
    <row r="266" spans="19:27" x14ac:dyDescent="0.2">
      <c r="S266" s="228"/>
      <c r="AA266" s="228"/>
    </row>
    <row r="267" spans="19:27" x14ac:dyDescent="0.2">
      <c r="S267" s="228"/>
      <c r="AA267" s="228"/>
    </row>
    <row r="268" spans="19:27" x14ac:dyDescent="0.2">
      <c r="S268" s="228"/>
      <c r="AA268" s="228"/>
    </row>
    <row r="269" spans="19:27" x14ac:dyDescent="0.2">
      <c r="S269" s="228"/>
      <c r="AA269" s="228"/>
    </row>
    <row r="270" spans="19:27" x14ac:dyDescent="0.2">
      <c r="S270" s="228"/>
      <c r="AA270" s="228"/>
    </row>
    <row r="271" spans="19:27" x14ac:dyDescent="0.2">
      <c r="S271" s="228"/>
      <c r="AA271" s="228"/>
    </row>
    <row r="272" spans="19:27" x14ac:dyDescent="0.2">
      <c r="S272" s="228"/>
      <c r="AA272" s="228"/>
    </row>
    <row r="273" spans="19:27" x14ac:dyDescent="0.2">
      <c r="S273" s="228"/>
      <c r="AA273" s="228"/>
    </row>
    <row r="274" spans="19:27" x14ac:dyDescent="0.2">
      <c r="S274" s="228"/>
      <c r="AA274" s="228"/>
    </row>
    <row r="275" spans="19:27" x14ac:dyDescent="0.2">
      <c r="S275" s="228"/>
      <c r="AA275" s="228"/>
    </row>
    <row r="276" spans="19:27" x14ac:dyDescent="0.2">
      <c r="S276" s="228"/>
      <c r="AA276" s="228"/>
    </row>
    <row r="277" spans="19:27" x14ac:dyDescent="0.2">
      <c r="S277" s="228"/>
      <c r="AA277" s="228"/>
    </row>
    <row r="278" spans="19:27" x14ac:dyDescent="0.2">
      <c r="S278" s="228"/>
      <c r="AA278" s="228"/>
    </row>
    <row r="279" spans="19:27" x14ac:dyDescent="0.2">
      <c r="S279" s="228"/>
      <c r="AA279" s="228"/>
    </row>
    <row r="280" spans="19:27" x14ac:dyDescent="0.2">
      <c r="S280" s="228"/>
      <c r="AA280" s="228"/>
    </row>
    <row r="281" spans="19:27" x14ac:dyDescent="0.2">
      <c r="S281" s="228"/>
      <c r="AA281" s="228"/>
    </row>
    <row r="282" spans="19:27" x14ac:dyDescent="0.2">
      <c r="S282" s="228"/>
      <c r="AA282" s="228"/>
    </row>
    <row r="283" spans="19:27" x14ac:dyDescent="0.2">
      <c r="S283" s="228"/>
      <c r="AA283" s="228"/>
    </row>
    <row r="284" spans="19:27" x14ac:dyDescent="0.2">
      <c r="S284" s="228"/>
      <c r="AA284" s="228"/>
    </row>
    <row r="285" spans="19:27" x14ac:dyDescent="0.2">
      <c r="S285" s="228"/>
      <c r="AA285" s="228"/>
    </row>
    <row r="286" spans="19:27" x14ac:dyDescent="0.2">
      <c r="S286" s="228"/>
      <c r="AA286" s="228"/>
    </row>
    <row r="287" spans="19:27" x14ac:dyDescent="0.2">
      <c r="S287" s="228"/>
      <c r="AA287" s="228"/>
    </row>
    <row r="288" spans="19:27" x14ac:dyDescent="0.2">
      <c r="S288" s="228"/>
      <c r="AA288" s="228"/>
    </row>
    <row r="289" spans="19:27" x14ac:dyDescent="0.2">
      <c r="S289" s="228"/>
      <c r="AA289" s="228"/>
    </row>
    <row r="290" spans="19:27" x14ac:dyDescent="0.2">
      <c r="S290" s="228"/>
      <c r="AA290" s="228"/>
    </row>
    <row r="291" spans="19:27" x14ac:dyDescent="0.2">
      <c r="S291" s="228"/>
      <c r="AA291" s="228"/>
    </row>
    <row r="292" spans="19:27" x14ac:dyDescent="0.2">
      <c r="S292" s="228"/>
      <c r="AA292" s="228"/>
    </row>
    <row r="293" spans="19:27" x14ac:dyDescent="0.2">
      <c r="S293" s="228"/>
      <c r="AA293" s="228"/>
    </row>
    <row r="294" spans="19:27" x14ac:dyDescent="0.2">
      <c r="S294" s="228"/>
      <c r="AA294" s="228"/>
    </row>
    <row r="295" spans="19:27" x14ac:dyDescent="0.2">
      <c r="S295" s="228"/>
      <c r="AA295" s="228"/>
    </row>
    <row r="296" spans="19:27" x14ac:dyDescent="0.2">
      <c r="S296" s="228"/>
      <c r="AA296" s="228"/>
    </row>
    <row r="297" spans="19:27" x14ac:dyDescent="0.2">
      <c r="S297" s="228"/>
      <c r="AA297" s="228"/>
    </row>
    <row r="298" spans="19:27" x14ac:dyDescent="0.2">
      <c r="S298" s="228"/>
      <c r="AA298" s="228"/>
    </row>
    <row r="299" spans="19:27" x14ac:dyDescent="0.2">
      <c r="S299" s="228"/>
      <c r="AA299" s="228"/>
    </row>
    <row r="300" spans="19:27" x14ac:dyDescent="0.2">
      <c r="S300" s="228"/>
      <c r="AA300" s="228"/>
    </row>
    <row r="301" spans="19:27" x14ac:dyDescent="0.2">
      <c r="S301" s="228"/>
      <c r="AA301" s="228"/>
    </row>
    <row r="302" spans="19:27" x14ac:dyDescent="0.2">
      <c r="S302" s="228"/>
      <c r="AA302" s="228"/>
    </row>
    <row r="303" spans="19:27" x14ac:dyDescent="0.2">
      <c r="S303" s="228"/>
      <c r="AA303" s="228"/>
    </row>
    <row r="304" spans="19:27" x14ac:dyDescent="0.2">
      <c r="S304" s="228"/>
      <c r="AA304" s="228"/>
    </row>
    <row r="305" spans="19:27" x14ac:dyDescent="0.2">
      <c r="S305" s="228"/>
      <c r="AA305" s="228"/>
    </row>
    <row r="306" spans="19:27" x14ac:dyDescent="0.2">
      <c r="S306" s="228"/>
      <c r="AA306" s="228"/>
    </row>
    <row r="307" spans="19:27" x14ac:dyDescent="0.2">
      <c r="S307" s="228"/>
      <c r="AA307" s="228"/>
    </row>
    <row r="308" spans="19:27" x14ac:dyDescent="0.2">
      <c r="S308" s="228"/>
      <c r="AA308" s="228"/>
    </row>
    <row r="309" spans="19:27" x14ac:dyDescent="0.2">
      <c r="S309" s="228"/>
      <c r="AA309" s="228"/>
    </row>
    <row r="310" spans="19:27" x14ac:dyDescent="0.2">
      <c r="S310" s="228"/>
      <c r="AA310" s="228"/>
    </row>
    <row r="311" spans="19:27" x14ac:dyDescent="0.2">
      <c r="S311" s="228"/>
      <c r="AA311" s="228"/>
    </row>
    <row r="312" spans="19:27" x14ac:dyDescent="0.2">
      <c r="S312" s="228"/>
      <c r="AA312" s="228"/>
    </row>
    <row r="313" spans="19:27" x14ac:dyDescent="0.2">
      <c r="S313" s="228"/>
      <c r="AA313" s="228"/>
    </row>
    <row r="314" spans="19:27" x14ac:dyDescent="0.2">
      <c r="S314" s="228"/>
      <c r="AA314" s="228"/>
    </row>
    <row r="315" spans="19:27" x14ac:dyDescent="0.2">
      <c r="S315" s="228"/>
      <c r="AA315" s="228"/>
    </row>
    <row r="316" spans="19:27" x14ac:dyDescent="0.2">
      <c r="S316" s="228"/>
      <c r="AA316" s="228"/>
    </row>
    <row r="317" spans="19:27" x14ac:dyDescent="0.2">
      <c r="S317" s="228"/>
      <c r="AA317" s="228"/>
    </row>
    <row r="318" spans="19:27" x14ac:dyDescent="0.2">
      <c r="S318" s="228"/>
      <c r="AA318" s="228"/>
    </row>
    <row r="319" spans="19:27" x14ac:dyDescent="0.2">
      <c r="S319" s="228"/>
      <c r="AA319" s="228"/>
    </row>
    <row r="320" spans="19:27" x14ac:dyDescent="0.2">
      <c r="S320" s="228"/>
      <c r="AA320" s="228"/>
    </row>
    <row r="321" spans="19:27" x14ac:dyDescent="0.2">
      <c r="S321" s="228"/>
      <c r="AA321" s="228"/>
    </row>
    <row r="322" spans="19:27" x14ac:dyDescent="0.2">
      <c r="S322" s="228"/>
      <c r="AA322" s="228"/>
    </row>
    <row r="323" spans="19:27" x14ac:dyDescent="0.2">
      <c r="S323" s="228"/>
      <c r="AA323" s="228"/>
    </row>
    <row r="324" spans="19:27" x14ac:dyDescent="0.2">
      <c r="S324" s="228"/>
      <c r="AA324" s="228"/>
    </row>
    <row r="325" spans="19:27" x14ac:dyDescent="0.2">
      <c r="S325" s="228"/>
      <c r="AA325" s="228"/>
    </row>
    <row r="326" spans="19:27" x14ac:dyDescent="0.2">
      <c r="S326" s="228"/>
      <c r="AA326" s="228"/>
    </row>
    <row r="327" spans="19:27" x14ac:dyDescent="0.2">
      <c r="S327" s="228"/>
      <c r="AA327" s="228"/>
    </row>
    <row r="328" spans="19:27" x14ac:dyDescent="0.2">
      <c r="S328" s="228"/>
      <c r="AA328" s="228"/>
    </row>
    <row r="329" spans="19:27" x14ac:dyDescent="0.2">
      <c r="S329" s="228"/>
      <c r="AA329" s="228"/>
    </row>
    <row r="330" spans="19:27" x14ac:dyDescent="0.2">
      <c r="S330" s="228"/>
      <c r="AA330" s="228"/>
    </row>
    <row r="331" spans="19:27" x14ac:dyDescent="0.2">
      <c r="S331" s="228"/>
      <c r="AA331" s="228"/>
    </row>
    <row r="332" spans="19:27" x14ac:dyDescent="0.2">
      <c r="S332" s="228"/>
      <c r="AA332" s="228"/>
    </row>
    <row r="333" spans="19:27" x14ac:dyDescent="0.2">
      <c r="S333" s="228"/>
      <c r="AA333" s="228"/>
    </row>
    <row r="334" spans="19:27" x14ac:dyDescent="0.2">
      <c r="S334" s="228"/>
      <c r="AA334" s="228"/>
    </row>
    <row r="335" spans="19:27" x14ac:dyDescent="0.2">
      <c r="S335" s="228"/>
      <c r="AA335" s="228"/>
    </row>
    <row r="336" spans="19:27" x14ac:dyDescent="0.2">
      <c r="S336" s="228"/>
      <c r="AA336" s="228"/>
    </row>
    <row r="337" spans="19:27" x14ac:dyDescent="0.2">
      <c r="S337" s="228"/>
      <c r="AA337" s="228"/>
    </row>
    <row r="338" spans="19:27" x14ac:dyDescent="0.2">
      <c r="S338" s="228"/>
      <c r="AA338" s="228"/>
    </row>
    <row r="339" spans="19:27" x14ac:dyDescent="0.2">
      <c r="S339" s="228"/>
      <c r="AA339" s="228"/>
    </row>
    <row r="340" spans="19:27" x14ac:dyDescent="0.2">
      <c r="S340" s="228"/>
      <c r="AA340" s="228"/>
    </row>
    <row r="341" spans="19:27" x14ac:dyDescent="0.2">
      <c r="S341" s="228"/>
      <c r="AA341" s="228"/>
    </row>
    <row r="342" spans="19:27" x14ac:dyDescent="0.2">
      <c r="S342" s="228"/>
      <c r="AA342" s="228"/>
    </row>
    <row r="343" spans="19:27" x14ac:dyDescent="0.2">
      <c r="S343" s="228"/>
      <c r="AA343" s="228"/>
    </row>
    <row r="344" spans="19:27" x14ac:dyDescent="0.2">
      <c r="S344" s="228"/>
      <c r="AA344" s="228"/>
    </row>
    <row r="345" spans="19:27" x14ac:dyDescent="0.2">
      <c r="S345" s="228"/>
      <c r="AA345" s="228"/>
    </row>
    <row r="346" spans="19:27" x14ac:dyDescent="0.2">
      <c r="S346" s="228"/>
      <c r="AA346" s="228"/>
    </row>
    <row r="347" spans="19:27" x14ac:dyDescent="0.2">
      <c r="S347" s="228"/>
      <c r="AA347" s="228"/>
    </row>
    <row r="348" spans="19:27" x14ac:dyDescent="0.2">
      <c r="S348" s="228"/>
      <c r="AA348" s="228"/>
    </row>
    <row r="349" spans="19:27" x14ac:dyDescent="0.2">
      <c r="S349" s="228"/>
      <c r="AA349" s="228"/>
    </row>
    <row r="350" spans="19:27" x14ac:dyDescent="0.2">
      <c r="S350" s="228"/>
      <c r="AA350" s="228"/>
    </row>
    <row r="351" spans="19:27" x14ac:dyDescent="0.2">
      <c r="S351" s="228"/>
      <c r="AA351" s="228"/>
    </row>
    <row r="352" spans="19:27" x14ac:dyDescent="0.2">
      <c r="S352" s="228"/>
      <c r="AA352" s="228"/>
    </row>
    <row r="353" spans="19:27" x14ac:dyDescent="0.2">
      <c r="S353" s="228"/>
      <c r="AA353" s="228"/>
    </row>
    <row r="354" spans="19:27" x14ac:dyDescent="0.2">
      <c r="S354" s="228"/>
      <c r="AA354" s="228"/>
    </row>
    <row r="355" spans="19:27" x14ac:dyDescent="0.2">
      <c r="S355" s="228"/>
      <c r="AA355" s="228"/>
    </row>
    <row r="356" spans="19:27" x14ac:dyDescent="0.2">
      <c r="S356" s="228"/>
      <c r="AA356" s="228"/>
    </row>
    <row r="357" spans="19:27" x14ac:dyDescent="0.2">
      <c r="S357" s="228"/>
      <c r="AA357" s="228"/>
    </row>
    <row r="358" spans="19:27" x14ac:dyDescent="0.2">
      <c r="S358" s="228"/>
      <c r="AA358" s="228"/>
    </row>
    <row r="359" spans="19:27" x14ac:dyDescent="0.2">
      <c r="S359" s="228"/>
      <c r="AA359" s="228"/>
    </row>
    <row r="360" spans="19:27" x14ac:dyDescent="0.2">
      <c r="S360" s="228"/>
      <c r="AA360" s="228"/>
    </row>
    <row r="361" spans="19:27" x14ac:dyDescent="0.2">
      <c r="S361" s="228"/>
      <c r="AA361" s="228"/>
    </row>
    <row r="362" spans="19:27" x14ac:dyDescent="0.2">
      <c r="S362" s="228"/>
      <c r="AA362" s="228"/>
    </row>
    <row r="363" spans="19:27" x14ac:dyDescent="0.2">
      <c r="S363" s="228"/>
      <c r="AA363" s="228"/>
    </row>
    <row r="364" spans="19:27" x14ac:dyDescent="0.2">
      <c r="S364" s="228"/>
      <c r="AA364" s="228"/>
    </row>
    <row r="365" spans="19:27" x14ac:dyDescent="0.2">
      <c r="S365" s="228"/>
      <c r="AA365" s="228"/>
    </row>
    <row r="366" spans="19:27" x14ac:dyDescent="0.2">
      <c r="S366" s="228"/>
      <c r="AA366" s="228"/>
    </row>
    <row r="367" spans="19:27" x14ac:dyDescent="0.2">
      <c r="S367" s="228"/>
      <c r="AA367" s="228"/>
    </row>
    <row r="368" spans="19:27" x14ac:dyDescent="0.2">
      <c r="S368" s="228"/>
      <c r="AA368" s="228"/>
    </row>
    <row r="369" spans="19:27" x14ac:dyDescent="0.2">
      <c r="S369" s="228"/>
      <c r="AA369" s="228"/>
    </row>
    <row r="370" spans="19:27" x14ac:dyDescent="0.2">
      <c r="S370" s="228"/>
      <c r="AA370" s="228"/>
    </row>
    <row r="371" spans="19:27" x14ac:dyDescent="0.2">
      <c r="S371" s="228"/>
      <c r="AA371" s="228"/>
    </row>
    <row r="372" spans="19:27" x14ac:dyDescent="0.2">
      <c r="S372" s="228"/>
      <c r="AA372" s="228"/>
    </row>
    <row r="373" spans="19:27" x14ac:dyDescent="0.2">
      <c r="S373" s="228"/>
      <c r="AA373" s="228"/>
    </row>
    <row r="374" spans="19:27" x14ac:dyDescent="0.2">
      <c r="S374" s="228"/>
      <c r="AA374" s="228"/>
    </row>
    <row r="375" spans="19:27" x14ac:dyDescent="0.2">
      <c r="S375" s="228"/>
      <c r="AA375" s="228"/>
    </row>
    <row r="376" spans="19:27" x14ac:dyDescent="0.2">
      <c r="S376" s="228"/>
      <c r="AA376" s="228"/>
    </row>
    <row r="377" spans="19:27" x14ac:dyDescent="0.2">
      <c r="S377" s="228"/>
      <c r="AA377" s="228"/>
    </row>
    <row r="378" spans="19:27" x14ac:dyDescent="0.2">
      <c r="S378" s="228"/>
      <c r="AA378" s="228"/>
    </row>
    <row r="379" spans="19:27" x14ac:dyDescent="0.2">
      <c r="S379" s="228"/>
      <c r="AA379" s="228"/>
    </row>
    <row r="380" spans="19:27" x14ac:dyDescent="0.2">
      <c r="S380" s="228"/>
      <c r="AA380" s="228"/>
    </row>
    <row r="381" spans="19:27" x14ac:dyDescent="0.2">
      <c r="S381" s="228"/>
      <c r="AA381" s="228"/>
    </row>
    <row r="382" spans="19:27" x14ac:dyDescent="0.2">
      <c r="S382" s="228"/>
      <c r="AA382" s="228"/>
    </row>
    <row r="383" spans="19:27" x14ac:dyDescent="0.2">
      <c r="S383" s="228"/>
      <c r="AA383" s="228"/>
    </row>
    <row r="384" spans="19:27" x14ac:dyDescent="0.2">
      <c r="S384" s="228"/>
      <c r="AA384" s="228"/>
    </row>
    <row r="385" spans="19:27" x14ac:dyDescent="0.2">
      <c r="S385" s="228"/>
      <c r="AA385" s="228"/>
    </row>
    <row r="386" spans="19:27" x14ac:dyDescent="0.2">
      <c r="S386" s="228"/>
      <c r="AA386" s="228"/>
    </row>
    <row r="387" spans="19:27" x14ac:dyDescent="0.2">
      <c r="S387" s="228"/>
      <c r="AA387" s="228"/>
    </row>
    <row r="388" spans="19:27" x14ac:dyDescent="0.2">
      <c r="S388" s="228"/>
      <c r="AA388" s="228"/>
    </row>
    <row r="389" spans="19:27" x14ac:dyDescent="0.2">
      <c r="S389" s="228"/>
      <c r="AA389" s="228"/>
    </row>
    <row r="390" spans="19:27" x14ac:dyDescent="0.2">
      <c r="S390" s="228"/>
      <c r="AA390" s="228"/>
    </row>
    <row r="391" spans="19:27" x14ac:dyDescent="0.2">
      <c r="S391" s="228"/>
      <c r="AA391" s="228"/>
    </row>
    <row r="392" spans="19:27" x14ac:dyDescent="0.2">
      <c r="S392" s="228"/>
      <c r="AA392" s="228"/>
    </row>
    <row r="393" spans="19:27" x14ac:dyDescent="0.2">
      <c r="S393" s="228"/>
      <c r="AA393" s="228"/>
    </row>
    <row r="394" spans="19:27" x14ac:dyDescent="0.2">
      <c r="S394" s="228"/>
      <c r="AA394" s="228"/>
    </row>
    <row r="395" spans="19:27" x14ac:dyDescent="0.2">
      <c r="S395" s="228"/>
      <c r="AA395" s="228"/>
    </row>
    <row r="396" spans="19:27" x14ac:dyDescent="0.2">
      <c r="S396" s="228"/>
      <c r="AA396" s="228"/>
    </row>
    <row r="397" spans="19:27" x14ac:dyDescent="0.2">
      <c r="S397" s="228"/>
      <c r="AA397" s="228"/>
    </row>
    <row r="398" spans="19:27" x14ac:dyDescent="0.2">
      <c r="S398" s="228"/>
      <c r="AA398" s="228"/>
    </row>
    <row r="399" spans="19:27" x14ac:dyDescent="0.2">
      <c r="S399" s="228"/>
      <c r="AA399" s="228"/>
    </row>
    <row r="400" spans="19:27" x14ac:dyDescent="0.2">
      <c r="S400" s="228"/>
      <c r="AA400" s="228"/>
    </row>
    <row r="401" spans="19:27" x14ac:dyDescent="0.2">
      <c r="S401" s="228"/>
      <c r="AA401" s="228"/>
    </row>
    <row r="402" spans="19:27" x14ac:dyDescent="0.2">
      <c r="S402" s="228"/>
      <c r="AA402" s="228"/>
    </row>
    <row r="403" spans="19:27" x14ac:dyDescent="0.2">
      <c r="S403" s="228"/>
      <c r="AA403" s="228"/>
    </row>
    <row r="404" spans="19:27" x14ac:dyDescent="0.2">
      <c r="S404" s="228"/>
      <c r="AA404" s="228"/>
    </row>
    <row r="405" spans="19:27" x14ac:dyDescent="0.2">
      <c r="S405" s="228"/>
      <c r="AA405" s="228"/>
    </row>
    <row r="406" spans="19:27" x14ac:dyDescent="0.2">
      <c r="S406" s="228"/>
      <c r="AA406" s="228"/>
    </row>
    <row r="407" spans="19:27" x14ac:dyDescent="0.2">
      <c r="S407" s="228"/>
      <c r="AA407" s="228"/>
    </row>
    <row r="408" spans="19:27" x14ac:dyDescent="0.2">
      <c r="S408" s="228"/>
      <c r="AA408" s="228"/>
    </row>
    <row r="409" spans="19:27" x14ac:dyDescent="0.2">
      <c r="S409" s="228"/>
      <c r="AA409" s="228"/>
    </row>
    <row r="410" spans="19:27" x14ac:dyDescent="0.2">
      <c r="S410" s="228"/>
      <c r="AA410" s="228"/>
    </row>
    <row r="411" spans="19:27" x14ac:dyDescent="0.2">
      <c r="S411" s="228"/>
      <c r="AA411" s="228"/>
    </row>
    <row r="412" spans="19:27" x14ac:dyDescent="0.2">
      <c r="S412" s="228"/>
      <c r="AA412" s="228"/>
    </row>
    <row r="413" spans="19:27" x14ac:dyDescent="0.2">
      <c r="S413" s="228"/>
      <c r="AA413" s="228"/>
    </row>
    <row r="414" spans="19:27" x14ac:dyDescent="0.2">
      <c r="S414" s="228"/>
      <c r="AA414" s="228"/>
    </row>
    <row r="415" spans="19:27" x14ac:dyDescent="0.2">
      <c r="S415" s="228"/>
      <c r="AA415" s="228"/>
    </row>
    <row r="416" spans="19:27" x14ac:dyDescent="0.2">
      <c r="S416" s="228"/>
      <c r="AA416" s="228"/>
    </row>
    <row r="417" spans="19:27" x14ac:dyDescent="0.2">
      <c r="S417" s="228"/>
      <c r="AA417" s="228"/>
    </row>
    <row r="418" spans="19:27" x14ac:dyDescent="0.2">
      <c r="S418" s="228"/>
      <c r="AA418" s="228"/>
    </row>
    <row r="419" spans="19:27" x14ac:dyDescent="0.2">
      <c r="S419" s="228"/>
      <c r="AA419" s="228"/>
    </row>
    <row r="420" spans="19:27" x14ac:dyDescent="0.2">
      <c r="S420" s="228"/>
      <c r="AA420" s="228"/>
    </row>
    <row r="421" spans="19:27" x14ac:dyDescent="0.2">
      <c r="S421" s="228"/>
      <c r="AA421" s="228"/>
    </row>
    <row r="422" spans="19:27" x14ac:dyDescent="0.2">
      <c r="S422" s="228"/>
      <c r="AA422" s="228"/>
    </row>
    <row r="423" spans="19:27" x14ac:dyDescent="0.2">
      <c r="S423" s="228"/>
      <c r="AA423" s="228"/>
    </row>
    <row r="424" spans="19:27" x14ac:dyDescent="0.2">
      <c r="S424" s="228"/>
      <c r="AA424" s="228"/>
    </row>
    <row r="425" spans="19:27" x14ac:dyDescent="0.2">
      <c r="S425" s="228"/>
      <c r="AA425" s="228"/>
    </row>
    <row r="426" spans="19:27" x14ac:dyDescent="0.2">
      <c r="S426" s="228"/>
      <c r="AA426" s="228"/>
    </row>
    <row r="427" spans="19:27" x14ac:dyDescent="0.2">
      <c r="S427" s="228"/>
      <c r="AA427" s="228"/>
    </row>
    <row r="428" spans="19:27" x14ac:dyDescent="0.2">
      <c r="S428" s="228"/>
      <c r="AA428" s="228"/>
    </row>
    <row r="429" spans="19:27" x14ac:dyDescent="0.2">
      <c r="S429" s="228"/>
      <c r="AA429" s="228"/>
    </row>
    <row r="430" spans="19:27" x14ac:dyDescent="0.2">
      <c r="S430" s="228"/>
      <c r="AA430" s="228"/>
    </row>
    <row r="431" spans="19:27" x14ac:dyDescent="0.2">
      <c r="S431" s="228"/>
      <c r="AA431" s="228"/>
    </row>
    <row r="432" spans="19:27" x14ac:dyDescent="0.2">
      <c r="S432" s="228"/>
      <c r="AA432" s="228"/>
    </row>
    <row r="433" spans="19:27" x14ac:dyDescent="0.2">
      <c r="S433" s="228"/>
      <c r="AA433" s="228"/>
    </row>
    <row r="434" spans="19:27" x14ac:dyDescent="0.2">
      <c r="S434" s="228"/>
      <c r="AA434" s="228"/>
    </row>
    <row r="435" spans="19:27" x14ac:dyDescent="0.2">
      <c r="S435" s="228"/>
      <c r="AA435" s="228"/>
    </row>
    <row r="436" spans="19:27" x14ac:dyDescent="0.2">
      <c r="S436" s="228"/>
      <c r="AA436" s="228"/>
    </row>
    <row r="437" spans="19:27" x14ac:dyDescent="0.2">
      <c r="S437" s="228"/>
      <c r="AA437" s="228"/>
    </row>
    <row r="438" spans="19:27" x14ac:dyDescent="0.2">
      <c r="S438" s="228"/>
      <c r="AA438" s="228"/>
    </row>
    <row r="439" spans="19:27" x14ac:dyDescent="0.2">
      <c r="S439" s="228"/>
      <c r="AA439" s="228"/>
    </row>
    <row r="440" spans="19:27" x14ac:dyDescent="0.2">
      <c r="S440" s="228"/>
      <c r="AA440" s="228"/>
    </row>
    <row r="441" spans="19:27" x14ac:dyDescent="0.2">
      <c r="S441" s="228"/>
      <c r="AA441" s="228"/>
    </row>
    <row r="442" spans="19:27" x14ac:dyDescent="0.2">
      <c r="S442" s="228"/>
      <c r="AA442" s="228"/>
    </row>
    <row r="443" spans="19:27" x14ac:dyDescent="0.2">
      <c r="S443" s="228"/>
      <c r="AA443" s="228"/>
    </row>
    <row r="444" spans="19:27" x14ac:dyDescent="0.2">
      <c r="S444" s="228"/>
      <c r="AA444" s="228"/>
    </row>
    <row r="445" spans="19:27" x14ac:dyDescent="0.2">
      <c r="S445" s="228"/>
      <c r="AA445" s="228"/>
    </row>
    <row r="446" spans="19:27" x14ac:dyDescent="0.2">
      <c r="S446" s="228"/>
      <c r="AA446" s="228"/>
    </row>
    <row r="447" spans="19:27" x14ac:dyDescent="0.2">
      <c r="S447" s="228"/>
      <c r="AA447" s="228"/>
    </row>
    <row r="448" spans="19:27" x14ac:dyDescent="0.2">
      <c r="S448" s="228"/>
      <c r="AA448" s="228"/>
    </row>
    <row r="449" spans="19:27" x14ac:dyDescent="0.2">
      <c r="S449" s="228"/>
      <c r="AA449" s="228"/>
    </row>
    <row r="450" spans="19:27" x14ac:dyDescent="0.2">
      <c r="S450" s="228"/>
      <c r="AA450" s="228"/>
    </row>
    <row r="451" spans="19:27" x14ac:dyDescent="0.2">
      <c r="S451" s="228"/>
      <c r="AA451" s="228"/>
    </row>
    <row r="452" spans="19:27" x14ac:dyDescent="0.2">
      <c r="S452" s="228"/>
      <c r="AA452" s="228"/>
    </row>
    <row r="453" spans="19:27" x14ac:dyDescent="0.2">
      <c r="S453" s="228"/>
      <c r="AA453" s="228"/>
    </row>
    <row r="454" spans="19:27" x14ac:dyDescent="0.2">
      <c r="S454" s="228"/>
      <c r="AA454" s="228"/>
    </row>
    <row r="455" spans="19:27" x14ac:dyDescent="0.2">
      <c r="S455" s="228"/>
      <c r="AA455" s="228"/>
    </row>
    <row r="456" spans="19:27" x14ac:dyDescent="0.2">
      <c r="S456" s="228"/>
      <c r="AA456" s="228"/>
    </row>
    <row r="457" spans="19:27" x14ac:dyDescent="0.2">
      <c r="S457" s="228"/>
      <c r="AA457" s="228"/>
    </row>
    <row r="458" spans="19:27" x14ac:dyDescent="0.2">
      <c r="S458" s="228"/>
      <c r="AA458" s="228"/>
    </row>
    <row r="459" spans="19:27" x14ac:dyDescent="0.2">
      <c r="S459" s="228"/>
      <c r="AA459" s="228"/>
    </row>
    <row r="460" spans="19:27" x14ac:dyDescent="0.2">
      <c r="S460" s="228"/>
      <c r="AA460" s="228"/>
    </row>
    <row r="461" spans="19:27" x14ac:dyDescent="0.2">
      <c r="S461" s="228"/>
      <c r="AA461" s="228"/>
    </row>
    <row r="462" spans="19:27" x14ac:dyDescent="0.2">
      <c r="S462" s="228"/>
      <c r="AA462" s="228"/>
    </row>
    <row r="463" spans="19:27" x14ac:dyDescent="0.2">
      <c r="S463" s="228"/>
      <c r="AA463" s="228"/>
    </row>
    <row r="464" spans="19:27" x14ac:dyDescent="0.2">
      <c r="S464" s="228"/>
      <c r="AA464" s="228"/>
    </row>
    <row r="465" spans="19:27" x14ac:dyDescent="0.2">
      <c r="S465" s="228"/>
      <c r="AA465" s="228"/>
    </row>
    <row r="466" spans="19:27" x14ac:dyDescent="0.2">
      <c r="S466" s="228"/>
      <c r="AA466" s="228"/>
    </row>
    <row r="467" spans="19:27" x14ac:dyDescent="0.2">
      <c r="S467" s="228"/>
      <c r="AA467" s="228"/>
    </row>
    <row r="468" spans="19:27" x14ac:dyDescent="0.2">
      <c r="S468" s="228"/>
      <c r="AA468" s="228"/>
    </row>
    <row r="469" spans="19:27" x14ac:dyDescent="0.2">
      <c r="S469" s="228"/>
      <c r="AA469" s="228"/>
    </row>
    <row r="470" spans="19:27" x14ac:dyDescent="0.2">
      <c r="S470" s="228"/>
      <c r="AA470" s="228"/>
    </row>
    <row r="471" spans="19:27" x14ac:dyDescent="0.2">
      <c r="S471" s="228"/>
      <c r="AA471" s="228"/>
    </row>
    <row r="472" spans="19:27" x14ac:dyDescent="0.2">
      <c r="S472" s="228"/>
      <c r="AA472" s="228"/>
    </row>
    <row r="473" spans="19:27" x14ac:dyDescent="0.2">
      <c r="S473" s="228"/>
      <c r="AA473" s="228"/>
    </row>
    <row r="474" spans="19:27" x14ac:dyDescent="0.2">
      <c r="S474" s="228"/>
      <c r="AA474" s="228"/>
    </row>
    <row r="475" spans="19:27" x14ac:dyDescent="0.2">
      <c r="S475" s="228"/>
      <c r="AA475" s="228"/>
    </row>
    <row r="476" spans="19:27" x14ac:dyDescent="0.2">
      <c r="S476" s="228"/>
      <c r="AA476" s="228"/>
    </row>
    <row r="477" spans="19:27" x14ac:dyDescent="0.2">
      <c r="S477" s="228"/>
      <c r="AA477" s="228"/>
    </row>
    <row r="478" spans="19:27" x14ac:dyDescent="0.2">
      <c r="S478" s="228"/>
      <c r="AA478" s="228"/>
    </row>
    <row r="479" spans="19:27" x14ac:dyDescent="0.2">
      <c r="S479" s="228"/>
      <c r="AA479" s="228"/>
    </row>
    <row r="480" spans="19:27" x14ac:dyDescent="0.2">
      <c r="S480" s="228"/>
      <c r="AA480" s="228"/>
    </row>
    <row r="481" spans="19:27" x14ac:dyDescent="0.2">
      <c r="S481" s="228"/>
      <c r="AA481" s="228"/>
    </row>
    <row r="482" spans="19:27" x14ac:dyDescent="0.2">
      <c r="S482" s="228"/>
      <c r="AA482" s="228"/>
    </row>
    <row r="483" spans="19:27" x14ac:dyDescent="0.2">
      <c r="S483" s="228"/>
      <c r="AA483" s="228"/>
    </row>
    <row r="484" spans="19:27" x14ac:dyDescent="0.2">
      <c r="S484" s="228"/>
      <c r="AA484" s="228"/>
    </row>
    <row r="485" spans="19:27" x14ac:dyDescent="0.2">
      <c r="S485" s="228"/>
      <c r="AA485" s="228"/>
    </row>
    <row r="486" spans="19:27" x14ac:dyDescent="0.2">
      <c r="S486" s="228"/>
      <c r="AA486" s="228"/>
    </row>
    <row r="487" spans="19:27" x14ac:dyDescent="0.2">
      <c r="S487" s="228"/>
      <c r="AA487" s="228"/>
    </row>
    <row r="488" spans="19:27" x14ac:dyDescent="0.2">
      <c r="S488" s="228"/>
      <c r="AA488" s="228"/>
    </row>
    <row r="489" spans="19:27" x14ac:dyDescent="0.2">
      <c r="S489" s="228"/>
      <c r="AA489" s="228"/>
    </row>
    <row r="490" spans="19:27" x14ac:dyDescent="0.2">
      <c r="S490" s="228"/>
      <c r="AA490" s="228"/>
    </row>
    <row r="491" spans="19:27" x14ac:dyDescent="0.2">
      <c r="S491" s="228"/>
      <c r="AA491" s="228"/>
    </row>
    <row r="492" spans="19:27" x14ac:dyDescent="0.2">
      <c r="S492" s="228"/>
      <c r="AA492" s="228"/>
    </row>
    <row r="493" spans="19:27" x14ac:dyDescent="0.2">
      <c r="S493" s="228"/>
      <c r="AA493" s="228"/>
    </row>
    <row r="494" spans="19:27" x14ac:dyDescent="0.2">
      <c r="S494" s="228"/>
      <c r="AA494" s="228"/>
    </row>
    <row r="495" spans="19:27" x14ac:dyDescent="0.2">
      <c r="S495" s="228"/>
      <c r="AA495" s="228"/>
    </row>
    <row r="496" spans="19:27" x14ac:dyDescent="0.2">
      <c r="S496" s="228"/>
      <c r="AA496" s="228"/>
    </row>
    <row r="497" spans="19:27" x14ac:dyDescent="0.2">
      <c r="S497" s="228"/>
      <c r="AA497" s="228"/>
    </row>
    <row r="498" spans="19:27" x14ac:dyDescent="0.2">
      <c r="S498" s="228"/>
      <c r="AA498" s="228"/>
    </row>
    <row r="499" spans="19:27" x14ac:dyDescent="0.2">
      <c r="S499" s="228"/>
      <c r="AA499" s="228"/>
    </row>
    <row r="500" spans="19:27" x14ac:dyDescent="0.2">
      <c r="S500" s="228"/>
      <c r="AA500" s="228"/>
    </row>
    <row r="501" spans="19:27" x14ac:dyDescent="0.2">
      <c r="S501" s="228"/>
      <c r="AA501" s="228"/>
    </row>
    <row r="502" spans="19:27" x14ac:dyDescent="0.2">
      <c r="S502" s="228"/>
      <c r="AA502" s="228"/>
    </row>
    <row r="503" spans="19:27" x14ac:dyDescent="0.2">
      <c r="S503" s="228"/>
      <c r="AA503" s="228"/>
    </row>
    <row r="504" spans="19:27" x14ac:dyDescent="0.2">
      <c r="S504" s="228"/>
      <c r="AA504" s="228"/>
    </row>
    <row r="505" spans="19:27" x14ac:dyDescent="0.2">
      <c r="S505" s="228"/>
      <c r="AA505" s="228"/>
    </row>
    <row r="506" spans="19:27" x14ac:dyDescent="0.2">
      <c r="S506" s="228"/>
      <c r="AA506" s="228"/>
    </row>
    <row r="507" spans="19:27" x14ac:dyDescent="0.2">
      <c r="S507" s="228"/>
      <c r="AA507" s="228"/>
    </row>
    <row r="508" spans="19:27" x14ac:dyDescent="0.2">
      <c r="S508" s="228"/>
      <c r="AA508" s="228"/>
    </row>
    <row r="509" spans="19:27" x14ac:dyDescent="0.2">
      <c r="S509" s="228"/>
      <c r="AA509" s="228"/>
    </row>
    <row r="510" spans="19:27" x14ac:dyDescent="0.2">
      <c r="S510" s="228"/>
      <c r="AA510" s="228"/>
    </row>
    <row r="511" spans="19:27" x14ac:dyDescent="0.2">
      <c r="S511" s="228"/>
      <c r="AA511" s="228"/>
    </row>
    <row r="512" spans="19:27" x14ac:dyDescent="0.2">
      <c r="S512" s="228"/>
      <c r="AA512" s="228"/>
    </row>
    <row r="513" spans="19:27" x14ac:dyDescent="0.2">
      <c r="S513" s="228"/>
      <c r="AA513" s="228"/>
    </row>
    <row r="514" spans="19:27" x14ac:dyDescent="0.2">
      <c r="S514" s="228"/>
      <c r="AA514" s="228"/>
    </row>
    <row r="515" spans="19:27" x14ac:dyDescent="0.2">
      <c r="S515" s="228"/>
      <c r="AA515" s="228"/>
    </row>
    <row r="516" spans="19:27" x14ac:dyDescent="0.2">
      <c r="S516" s="228"/>
      <c r="AA516" s="228"/>
    </row>
    <row r="517" spans="19:27" x14ac:dyDescent="0.2">
      <c r="S517" s="228"/>
      <c r="AA517" s="228"/>
    </row>
    <row r="518" spans="19:27" x14ac:dyDescent="0.2">
      <c r="S518" s="228"/>
      <c r="AA518" s="228"/>
    </row>
    <row r="519" spans="19:27" x14ac:dyDescent="0.2">
      <c r="S519" s="228"/>
      <c r="AA519" s="228"/>
    </row>
    <row r="520" spans="19:27" x14ac:dyDescent="0.2">
      <c r="S520" s="228"/>
      <c r="AA520" s="228"/>
    </row>
    <row r="521" spans="19:27" x14ac:dyDescent="0.2">
      <c r="S521" s="228"/>
      <c r="AA521" s="228"/>
    </row>
    <row r="522" spans="19:27" x14ac:dyDescent="0.2">
      <c r="S522" s="228"/>
      <c r="AA522" s="228"/>
    </row>
    <row r="523" spans="19:27" x14ac:dyDescent="0.2">
      <c r="S523" s="228"/>
      <c r="AA523" s="228"/>
    </row>
    <row r="524" spans="19:27" x14ac:dyDescent="0.2">
      <c r="S524" s="228"/>
      <c r="AA524" s="228"/>
    </row>
    <row r="525" spans="19:27" x14ac:dyDescent="0.2">
      <c r="S525" s="228"/>
      <c r="AA525" s="228"/>
    </row>
    <row r="526" spans="19:27" x14ac:dyDescent="0.2">
      <c r="S526" s="228"/>
      <c r="AA526" s="228"/>
    </row>
    <row r="527" spans="19:27" x14ac:dyDescent="0.2">
      <c r="S527" s="228"/>
      <c r="AA527" s="228"/>
    </row>
    <row r="528" spans="19:27" x14ac:dyDescent="0.2">
      <c r="S528" s="228"/>
      <c r="AA528" s="228"/>
    </row>
    <row r="529" spans="19:27" x14ac:dyDescent="0.2">
      <c r="S529" s="228"/>
      <c r="AA529" s="228"/>
    </row>
    <row r="530" spans="19:27" x14ac:dyDescent="0.2">
      <c r="S530" s="228"/>
      <c r="AA530" s="228"/>
    </row>
    <row r="531" spans="19:27" x14ac:dyDescent="0.2">
      <c r="S531" s="228"/>
      <c r="AA531" s="228"/>
    </row>
    <row r="532" spans="19:27" x14ac:dyDescent="0.2">
      <c r="S532" s="228"/>
      <c r="AA532" s="228"/>
    </row>
    <row r="533" spans="19:27" x14ac:dyDescent="0.2">
      <c r="S533" s="228"/>
      <c r="AA533" s="228"/>
    </row>
    <row r="534" spans="19:27" x14ac:dyDescent="0.2">
      <c r="S534" s="228"/>
      <c r="AA534" s="228"/>
    </row>
    <row r="535" spans="19:27" x14ac:dyDescent="0.2">
      <c r="S535" s="228"/>
      <c r="AA535" s="228"/>
    </row>
    <row r="536" spans="19:27" x14ac:dyDescent="0.2">
      <c r="S536" s="228"/>
      <c r="AA536" s="228"/>
    </row>
    <row r="537" spans="19:27" x14ac:dyDescent="0.2">
      <c r="S537" s="228"/>
      <c r="AA537" s="228"/>
    </row>
    <row r="538" spans="19:27" x14ac:dyDescent="0.2">
      <c r="S538" s="228"/>
      <c r="AA538" s="228"/>
    </row>
    <row r="539" spans="19:27" x14ac:dyDescent="0.2">
      <c r="S539" s="228"/>
      <c r="AA539" s="228"/>
    </row>
    <row r="540" spans="19:27" x14ac:dyDescent="0.2">
      <c r="S540" s="228"/>
      <c r="AA540" s="228"/>
    </row>
    <row r="541" spans="19:27" x14ac:dyDescent="0.2">
      <c r="S541" s="228"/>
      <c r="AA541" s="228"/>
    </row>
    <row r="542" spans="19:27" x14ac:dyDescent="0.2">
      <c r="S542" s="228"/>
      <c r="AA542" s="228"/>
    </row>
    <row r="543" spans="19:27" x14ac:dyDescent="0.2">
      <c r="S543" s="228"/>
      <c r="AA543" s="228"/>
    </row>
    <row r="544" spans="19:27" x14ac:dyDescent="0.2">
      <c r="S544" s="228"/>
      <c r="AA544" s="228"/>
    </row>
    <row r="545" spans="19:27" x14ac:dyDescent="0.2">
      <c r="S545" s="228"/>
      <c r="AA545" s="228"/>
    </row>
    <row r="546" spans="19:27" x14ac:dyDescent="0.2">
      <c r="S546" s="228"/>
      <c r="AA546" s="228"/>
    </row>
    <row r="547" spans="19:27" x14ac:dyDescent="0.2">
      <c r="S547" s="228"/>
      <c r="AA547" s="228"/>
    </row>
    <row r="548" spans="19:27" x14ac:dyDescent="0.2">
      <c r="S548" s="228"/>
      <c r="AA548" s="228"/>
    </row>
    <row r="549" spans="19:27" x14ac:dyDescent="0.2">
      <c r="S549" s="228"/>
      <c r="AA549" s="228"/>
    </row>
    <row r="550" spans="19:27" x14ac:dyDescent="0.2">
      <c r="S550" s="228"/>
      <c r="AA550" s="228"/>
    </row>
    <row r="551" spans="19:27" x14ac:dyDescent="0.2">
      <c r="S551" s="228"/>
      <c r="AA551" s="228"/>
    </row>
    <row r="552" spans="19:27" x14ac:dyDescent="0.2">
      <c r="S552" s="228"/>
      <c r="AA552" s="228"/>
    </row>
    <row r="553" spans="19:27" x14ac:dyDescent="0.2">
      <c r="S553" s="228"/>
      <c r="AA553" s="228"/>
    </row>
    <row r="554" spans="19:27" x14ac:dyDescent="0.2">
      <c r="S554" s="228"/>
      <c r="AA554" s="228"/>
    </row>
    <row r="555" spans="19:27" x14ac:dyDescent="0.2">
      <c r="S555" s="228"/>
      <c r="AA555" s="228"/>
    </row>
    <row r="556" spans="19:27" x14ac:dyDescent="0.2">
      <c r="S556" s="228"/>
      <c r="AA556" s="228"/>
    </row>
    <row r="557" spans="19:27" x14ac:dyDescent="0.2">
      <c r="S557" s="228"/>
      <c r="AA557" s="228"/>
    </row>
    <row r="558" spans="19:27" x14ac:dyDescent="0.2">
      <c r="S558" s="228"/>
      <c r="AA558" s="228"/>
    </row>
    <row r="559" spans="19:27" x14ac:dyDescent="0.2">
      <c r="S559" s="228"/>
      <c r="AA559" s="228"/>
    </row>
    <row r="560" spans="19:27" x14ac:dyDescent="0.2">
      <c r="S560" s="228"/>
      <c r="AA560" s="228"/>
    </row>
    <row r="561" spans="19:27" x14ac:dyDescent="0.2">
      <c r="S561" s="228"/>
      <c r="AA561" s="228"/>
    </row>
    <row r="562" spans="19:27" x14ac:dyDescent="0.2">
      <c r="S562" s="228"/>
      <c r="AA562" s="228"/>
    </row>
    <row r="563" spans="19:27" x14ac:dyDescent="0.2">
      <c r="S563" s="228"/>
      <c r="AA563" s="228"/>
    </row>
    <row r="564" spans="19:27" x14ac:dyDescent="0.2">
      <c r="S564" s="228"/>
      <c r="AA564" s="228"/>
    </row>
    <row r="565" spans="19:27" x14ac:dyDescent="0.2">
      <c r="S565" s="228"/>
      <c r="AA565" s="228"/>
    </row>
    <row r="566" spans="19:27" x14ac:dyDescent="0.2">
      <c r="S566" s="228"/>
      <c r="AA566" s="228"/>
    </row>
    <row r="567" spans="19:27" x14ac:dyDescent="0.2">
      <c r="S567" s="228"/>
      <c r="AA567" s="228"/>
    </row>
    <row r="568" spans="19:27" x14ac:dyDescent="0.2">
      <c r="S568" s="228"/>
      <c r="AA568" s="228"/>
    </row>
    <row r="569" spans="19:27" x14ac:dyDescent="0.2">
      <c r="S569" s="228"/>
      <c r="AA569" s="228"/>
    </row>
    <row r="570" spans="19:27" x14ac:dyDescent="0.2">
      <c r="S570" s="228"/>
      <c r="AA570" s="228"/>
    </row>
    <row r="571" spans="19:27" x14ac:dyDescent="0.2">
      <c r="S571" s="228"/>
      <c r="AA571" s="228"/>
    </row>
    <row r="572" spans="19:27" x14ac:dyDescent="0.2">
      <c r="S572" s="228"/>
      <c r="AA572" s="228"/>
    </row>
    <row r="573" spans="19:27" x14ac:dyDescent="0.2">
      <c r="S573" s="228"/>
      <c r="AA573" s="228"/>
    </row>
    <row r="574" spans="19:27" x14ac:dyDescent="0.2">
      <c r="S574" s="228"/>
      <c r="AA574" s="228"/>
    </row>
    <row r="575" spans="19:27" x14ac:dyDescent="0.2">
      <c r="S575" s="228"/>
      <c r="AA575" s="228"/>
    </row>
    <row r="576" spans="19:27" x14ac:dyDescent="0.2">
      <c r="S576" s="228"/>
      <c r="AA576" s="228"/>
    </row>
    <row r="577" spans="19:27" x14ac:dyDescent="0.2">
      <c r="S577" s="228"/>
      <c r="AA577" s="228"/>
    </row>
    <row r="578" spans="19:27" x14ac:dyDescent="0.2">
      <c r="S578" s="228"/>
      <c r="AA578" s="228"/>
    </row>
    <row r="579" spans="19:27" x14ac:dyDescent="0.2">
      <c r="S579" s="228"/>
      <c r="AA579" s="228"/>
    </row>
    <row r="580" spans="19:27" x14ac:dyDescent="0.2">
      <c r="S580" s="228"/>
      <c r="AA580" s="228"/>
    </row>
    <row r="581" spans="19:27" x14ac:dyDescent="0.2">
      <c r="S581" s="228"/>
      <c r="AA581" s="228"/>
    </row>
    <row r="582" spans="19:27" x14ac:dyDescent="0.2">
      <c r="S582" s="228"/>
      <c r="AA582" s="228"/>
    </row>
    <row r="583" spans="19:27" x14ac:dyDescent="0.2">
      <c r="S583" s="228"/>
      <c r="AA583" s="228"/>
    </row>
    <row r="584" spans="19:27" x14ac:dyDescent="0.2">
      <c r="S584" s="228"/>
      <c r="AA584" s="228"/>
    </row>
    <row r="585" spans="19:27" x14ac:dyDescent="0.2">
      <c r="S585" s="228"/>
      <c r="AA585" s="228"/>
    </row>
    <row r="586" spans="19:27" x14ac:dyDescent="0.2">
      <c r="S586" s="228"/>
      <c r="AA586" s="228"/>
    </row>
    <row r="587" spans="19:27" x14ac:dyDescent="0.2">
      <c r="S587" s="228"/>
      <c r="AA587" s="228"/>
    </row>
    <row r="588" spans="19:27" x14ac:dyDescent="0.2">
      <c r="S588" s="228"/>
      <c r="AA588" s="228"/>
    </row>
    <row r="589" spans="19:27" x14ac:dyDescent="0.2">
      <c r="S589" s="228"/>
      <c r="AA589" s="228"/>
    </row>
    <row r="590" spans="19:27" x14ac:dyDescent="0.2">
      <c r="S590" s="228"/>
      <c r="AA590" s="228"/>
    </row>
    <row r="591" spans="19:27" x14ac:dyDescent="0.2">
      <c r="S591" s="228"/>
      <c r="AA591" s="228"/>
    </row>
    <row r="592" spans="19:27" x14ac:dyDescent="0.2">
      <c r="S592" s="228"/>
      <c r="AA592" s="228"/>
    </row>
    <row r="593" spans="19:27" x14ac:dyDescent="0.2">
      <c r="S593" s="228"/>
      <c r="AA593" s="228"/>
    </row>
    <row r="594" spans="19:27" x14ac:dyDescent="0.2">
      <c r="S594" s="228"/>
      <c r="AA594" s="228"/>
    </row>
    <row r="595" spans="19:27" x14ac:dyDescent="0.2">
      <c r="S595" s="228"/>
      <c r="AA595" s="228"/>
    </row>
    <row r="596" spans="19:27" x14ac:dyDescent="0.2">
      <c r="S596" s="228"/>
      <c r="AA596" s="228"/>
    </row>
    <row r="597" spans="19:27" x14ac:dyDescent="0.2">
      <c r="S597" s="228"/>
      <c r="AA597" s="228"/>
    </row>
    <row r="598" spans="19:27" x14ac:dyDescent="0.2">
      <c r="S598" s="228"/>
      <c r="AA598" s="228"/>
    </row>
    <row r="599" spans="19:27" x14ac:dyDescent="0.2">
      <c r="S599" s="228"/>
      <c r="AA599" s="228"/>
    </row>
    <row r="600" spans="19:27" x14ac:dyDescent="0.2">
      <c r="S600" s="228"/>
      <c r="AA600" s="228"/>
    </row>
    <row r="601" spans="19:27" x14ac:dyDescent="0.2">
      <c r="S601" s="228"/>
      <c r="AA601" s="228"/>
    </row>
    <row r="602" spans="19:27" x14ac:dyDescent="0.2">
      <c r="S602" s="228"/>
      <c r="AA602" s="228"/>
    </row>
    <row r="603" spans="19:27" x14ac:dyDescent="0.2">
      <c r="S603" s="228"/>
      <c r="AA603" s="228"/>
    </row>
    <row r="604" spans="19:27" x14ac:dyDescent="0.2">
      <c r="S604" s="228"/>
      <c r="AA604" s="228"/>
    </row>
    <row r="605" spans="19:27" x14ac:dyDescent="0.2">
      <c r="S605" s="228"/>
      <c r="AA605" s="228"/>
    </row>
    <row r="606" spans="19:27" x14ac:dyDescent="0.2">
      <c r="S606" s="228"/>
      <c r="AA606" s="228"/>
    </row>
    <row r="607" spans="19:27" x14ac:dyDescent="0.2">
      <c r="S607" s="228"/>
      <c r="AA607" s="228"/>
    </row>
    <row r="608" spans="19:27" x14ac:dyDescent="0.2">
      <c r="S608" s="228"/>
      <c r="AA608" s="228"/>
    </row>
    <row r="609" spans="19:27" x14ac:dyDescent="0.2">
      <c r="S609" s="228"/>
      <c r="AA609" s="228"/>
    </row>
    <row r="610" spans="19:27" x14ac:dyDescent="0.2">
      <c r="S610" s="228"/>
      <c r="AA610" s="228"/>
    </row>
    <row r="611" spans="19:27" x14ac:dyDescent="0.2">
      <c r="S611" s="228"/>
      <c r="AA611" s="228"/>
    </row>
    <row r="612" spans="19:27" x14ac:dyDescent="0.2">
      <c r="S612" s="228"/>
      <c r="AA612" s="228"/>
    </row>
    <row r="613" spans="19:27" x14ac:dyDescent="0.2">
      <c r="S613" s="228"/>
      <c r="AA613" s="228"/>
    </row>
    <row r="614" spans="19:27" x14ac:dyDescent="0.2">
      <c r="S614" s="228"/>
      <c r="AA614" s="228"/>
    </row>
    <row r="615" spans="19:27" x14ac:dyDescent="0.2">
      <c r="S615" s="228"/>
      <c r="AA615" s="228"/>
    </row>
    <row r="616" spans="19:27" x14ac:dyDescent="0.2">
      <c r="S616" s="228"/>
      <c r="AA616" s="228"/>
    </row>
    <row r="617" spans="19:27" x14ac:dyDescent="0.2">
      <c r="S617" s="228"/>
      <c r="AA617" s="228"/>
    </row>
    <row r="618" spans="19:27" x14ac:dyDescent="0.2">
      <c r="S618" s="228"/>
      <c r="AA618" s="228"/>
    </row>
    <row r="619" spans="19:27" x14ac:dyDescent="0.2">
      <c r="S619" s="228"/>
      <c r="AA619" s="228"/>
    </row>
    <row r="620" spans="19:27" x14ac:dyDescent="0.2">
      <c r="S620" s="228"/>
      <c r="AA620" s="228"/>
    </row>
    <row r="621" spans="19:27" x14ac:dyDescent="0.2">
      <c r="S621" s="228"/>
      <c r="AA621" s="228"/>
    </row>
    <row r="622" spans="19:27" x14ac:dyDescent="0.2">
      <c r="S622" s="228"/>
      <c r="AA622" s="228"/>
    </row>
    <row r="623" spans="19:27" x14ac:dyDescent="0.2">
      <c r="S623" s="228"/>
      <c r="AA623" s="228"/>
    </row>
    <row r="624" spans="19:27" x14ac:dyDescent="0.2">
      <c r="S624" s="228"/>
      <c r="AA624" s="228"/>
    </row>
    <row r="625" spans="19:27" x14ac:dyDescent="0.2">
      <c r="S625" s="228"/>
      <c r="AA625" s="228"/>
    </row>
    <row r="626" spans="19:27" x14ac:dyDescent="0.2">
      <c r="S626" s="228"/>
      <c r="AA626" s="228"/>
    </row>
    <row r="627" spans="19:27" x14ac:dyDescent="0.2">
      <c r="S627" s="228"/>
      <c r="AA627" s="228"/>
    </row>
    <row r="628" spans="19:27" x14ac:dyDescent="0.2">
      <c r="S628" s="228"/>
      <c r="AA628" s="228"/>
    </row>
    <row r="629" spans="19:27" x14ac:dyDescent="0.2">
      <c r="S629" s="228"/>
      <c r="AA629" s="228"/>
    </row>
    <row r="630" spans="19:27" x14ac:dyDescent="0.2">
      <c r="S630" s="228"/>
      <c r="AA630" s="228"/>
    </row>
    <row r="631" spans="19:27" x14ac:dyDescent="0.2">
      <c r="S631" s="228"/>
      <c r="AA631" s="228"/>
    </row>
    <row r="632" spans="19:27" x14ac:dyDescent="0.2">
      <c r="S632" s="228"/>
      <c r="AA632" s="228"/>
    </row>
    <row r="633" spans="19:27" x14ac:dyDescent="0.2">
      <c r="S633" s="228"/>
      <c r="AA633" s="228"/>
    </row>
    <row r="634" spans="19:27" x14ac:dyDescent="0.2">
      <c r="S634" s="228"/>
      <c r="AA634" s="228"/>
    </row>
    <row r="635" spans="19:27" x14ac:dyDescent="0.2">
      <c r="S635" s="228"/>
      <c r="AA635" s="228"/>
    </row>
    <row r="636" spans="19:27" x14ac:dyDescent="0.2">
      <c r="S636" s="228"/>
      <c r="AA636" s="228"/>
    </row>
    <row r="637" spans="19:27" x14ac:dyDescent="0.2">
      <c r="S637" s="228"/>
      <c r="AA637" s="228"/>
    </row>
    <row r="638" spans="19:27" x14ac:dyDescent="0.2">
      <c r="S638" s="228"/>
      <c r="AA638" s="228"/>
    </row>
    <row r="639" spans="19:27" x14ac:dyDescent="0.2">
      <c r="S639" s="228"/>
      <c r="AA639" s="228"/>
    </row>
    <row r="640" spans="19:27" x14ac:dyDescent="0.2">
      <c r="S640" s="228"/>
      <c r="AA640" s="228"/>
    </row>
    <row r="641" spans="19:27" x14ac:dyDescent="0.2">
      <c r="S641" s="228"/>
      <c r="AA641" s="228"/>
    </row>
    <row r="642" spans="19:27" x14ac:dyDescent="0.2">
      <c r="S642" s="228"/>
      <c r="AA642" s="228"/>
    </row>
    <row r="643" spans="19:27" x14ac:dyDescent="0.2">
      <c r="S643" s="228"/>
      <c r="AA643" s="228"/>
    </row>
    <row r="644" spans="19:27" x14ac:dyDescent="0.2">
      <c r="S644" s="228"/>
      <c r="AA644" s="228"/>
    </row>
    <row r="645" spans="19:27" x14ac:dyDescent="0.2">
      <c r="S645" s="228"/>
      <c r="AA645" s="228"/>
    </row>
    <row r="646" spans="19:27" x14ac:dyDescent="0.2">
      <c r="S646" s="228"/>
      <c r="AA646" s="228"/>
    </row>
    <row r="647" spans="19:27" x14ac:dyDescent="0.2">
      <c r="S647" s="228"/>
      <c r="AA647" s="228"/>
    </row>
    <row r="648" spans="19:27" x14ac:dyDescent="0.2">
      <c r="S648" s="228"/>
      <c r="AA648" s="228"/>
    </row>
    <row r="649" spans="19:27" x14ac:dyDescent="0.2">
      <c r="S649" s="228"/>
      <c r="AA649" s="228"/>
    </row>
    <row r="650" spans="19:27" x14ac:dyDescent="0.2">
      <c r="S650" s="228"/>
      <c r="AA650" s="228"/>
    </row>
    <row r="651" spans="19:27" x14ac:dyDescent="0.2">
      <c r="S651" s="228"/>
      <c r="AA651" s="228"/>
    </row>
    <row r="652" spans="19:27" x14ac:dyDescent="0.2">
      <c r="S652" s="228"/>
      <c r="AA652" s="228"/>
    </row>
    <row r="653" spans="19:27" x14ac:dyDescent="0.2">
      <c r="S653" s="228"/>
      <c r="AA653" s="228"/>
    </row>
    <row r="654" spans="19:27" x14ac:dyDescent="0.2">
      <c r="S654" s="228"/>
      <c r="AA654" s="228"/>
    </row>
    <row r="655" spans="19:27" x14ac:dyDescent="0.2">
      <c r="S655" s="228"/>
      <c r="AA655" s="228"/>
    </row>
    <row r="656" spans="19:27" x14ac:dyDescent="0.2">
      <c r="S656" s="228"/>
      <c r="AA656" s="228"/>
    </row>
    <row r="657" spans="19:27" x14ac:dyDescent="0.2">
      <c r="S657" s="228"/>
      <c r="AA657" s="228"/>
    </row>
    <row r="658" spans="19:27" x14ac:dyDescent="0.2">
      <c r="S658" s="228"/>
      <c r="AA658" s="228"/>
    </row>
    <row r="659" spans="19:27" x14ac:dyDescent="0.2">
      <c r="S659" s="228"/>
      <c r="AA659" s="228"/>
    </row>
    <row r="660" spans="19:27" x14ac:dyDescent="0.2">
      <c r="S660" s="228"/>
      <c r="AA660" s="228"/>
    </row>
    <row r="661" spans="19:27" x14ac:dyDescent="0.2">
      <c r="S661" s="228"/>
      <c r="AA661" s="228"/>
    </row>
    <row r="662" spans="19:27" x14ac:dyDescent="0.2">
      <c r="S662" s="228"/>
      <c r="AA662" s="228"/>
    </row>
    <row r="663" spans="19:27" x14ac:dyDescent="0.2">
      <c r="S663" s="228"/>
      <c r="AA663" s="228"/>
    </row>
    <row r="664" spans="19:27" x14ac:dyDescent="0.2">
      <c r="S664" s="228"/>
      <c r="AA664" s="228"/>
    </row>
    <row r="665" spans="19:27" x14ac:dyDescent="0.2">
      <c r="S665" s="228"/>
      <c r="AA665" s="228"/>
    </row>
    <row r="666" spans="19:27" x14ac:dyDescent="0.2">
      <c r="S666" s="228"/>
      <c r="AA666" s="228"/>
    </row>
    <row r="667" spans="19:27" x14ac:dyDescent="0.2">
      <c r="S667" s="228"/>
      <c r="AA667" s="228"/>
    </row>
    <row r="668" spans="19:27" x14ac:dyDescent="0.2">
      <c r="S668" s="228"/>
      <c r="AA668" s="228"/>
    </row>
    <row r="669" spans="19:27" x14ac:dyDescent="0.2">
      <c r="S669" s="228"/>
      <c r="AA669" s="228"/>
    </row>
    <row r="670" spans="19:27" x14ac:dyDescent="0.2">
      <c r="S670" s="228"/>
      <c r="AA670" s="228"/>
    </row>
    <row r="671" spans="19:27" x14ac:dyDescent="0.2">
      <c r="S671" s="228"/>
      <c r="AA671" s="228"/>
    </row>
    <row r="672" spans="19:27" x14ac:dyDescent="0.2">
      <c r="S672" s="228"/>
      <c r="AA672" s="228"/>
    </row>
    <row r="673" spans="19:27" x14ac:dyDescent="0.2">
      <c r="S673" s="228"/>
      <c r="AA673" s="228"/>
    </row>
    <row r="674" spans="19:27" x14ac:dyDescent="0.2">
      <c r="S674" s="228"/>
      <c r="AA674" s="228"/>
    </row>
    <row r="675" spans="19:27" x14ac:dyDescent="0.2">
      <c r="S675" s="228"/>
      <c r="AA675" s="228"/>
    </row>
    <row r="676" spans="19:27" x14ac:dyDescent="0.2">
      <c r="S676" s="228"/>
      <c r="AA676" s="228"/>
    </row>
    <row r="677" spans="19:27" x14ac:dyDescent="0.2">
      <c r="S677" s="228"/>
      <c r="AA677" s="228"/>
    </row>
    <row r="678" spans="19:27" x14ac:dyDescent="0.2">
      <c r="S678" s="228"/>
      <c r="AA678" s="228"/>
    </row>
    <row r="679" spans="19:27" x14ac:dyDescent="0.2">
      <c r="S679" s="228"/>
      <c r="AA679" s="228"/>
    </row>
    <row r="680" spans="19:27" x14ac:dyDescent="0.2">
      <c r="S680" s="228"/>
      <c r="AA680" s="228"/>
    </row>
    <row r="681" spans="19:27" x14ac:dyDescent="0.2">
      <c r="S681" s="228"/>
      <c r="AA681" s="228"/>
    </row>
    <row r="682" spans="19:27" x14ac:dyDescent="0.2">
      <c r="S682" s="228"/>
      <c r="AA682" s="228"/>
    </row>
    <row r="683" spans="19:27" x14ac:dyDescent="0.2">
      <c r="S683" s="228"/>
      <c r="AA683" s="228"/>
    </row>
    <row r="684" spans="19:27" x14ac:dyDescent="0.2">
      <c r="S684" s="228"/>
      <c r="AA684" s="228"/>
    </row>
    <row r="685" spans="19:27" x14ac:dyDescent="0.2">
      <c r="S685" s="228"/>
      <c r="AA685" s="228"/>
    </row>
    <row r="686" spans="19:27" x14ac:dyDescent="0.2">
      <c r="S686" s="228"/>
      <c r="AA686" s="228"/>
    </row>
    <row r="687" spans="19:27" x14ac:dyDescent="0.2">
      <c r="S687" s="228"/>
      <c r="AA687" s="228"/>
    </row>
    <row r="688" spans="19:27" x14ac:dyDescent="0.2">
      <c r="S688" s="228"/>
      <c r="AA688" s="228"/>
    </row>
    <row r="689" spans="19:27" x14ac:dyDescent="0.2">
      <c r="S689" s="228"/>
      <c r="AA689" s="228"/>
    </row>
    <row r="690" spans="19:27" x14ac:dyDescent="0.2">
      <c r="S690" s="228"/>
      <c r="AA690" s="228"/>
    </row>
    <row r="691" spans="19:27" x14ac:dyDescent="0.2">
      <c r="S691" s="228"/>
      <c r="AA691" s="228"/>
    </row>
    <row r="692" spans="19:27" x14ac:dyDescent="0.2">
      <c r="S692" s="228"/>
      <c r="AA692" s="228"/>
    </row>
    <row r="693" spans="19:27" x14ac:dyDescent="0.2">
      <c r="S693" s="228"/>
      <c r="AA693" s="228"/>
    </row>
    <row r="694" spans="19:27" x14ac:dyDescent="0.2">
      <c r="S694" s="228"/>
      <c r="AA694" s="228"/>
    </row>
    <row r="695" spans="19:27" x14ac:dyDescent="0.2">
      <c r="S695" s="228"/>
      <c r="AA695" s="228"/>
    </row>
    <row r="696" spans="19:27" x14ac:dyDescent="0.2">
      <c r="S696" s="228"/>
      <c r="AA696" s="228"/>
    </row>
    <row r="697" spans="19:27" x14ac:dyDescent="0.2">
      <c r="S697" s="228"/>
      <c r="AA697" s="228"/>
    </row>
    <row r="698" spans="19:27" x14ac:dyDescent="0.2">
      <c r="S698" s="228"/>
      <c r="AA698" s="228"/>
    </row>
    <row r="699" spans="19:27" x14ac:dyDescent="0.2">
      <c r="S699" s="228"/>
      <c r="AA699" s="228"/>
    </row>
    <row r="700" spans="19:27" x14ac:dyDescent="0.2">
      <c r="S700" s="228"/>
      <c r="AA700" s="228"/>
    </row>
    <row r="701" spans="19:27" x14ac:dyDescent="0.2">
      <c r="S701" s="228"/>
      <c r="AA701" s="228"/>
    </row>
    <row r="702" spans="19:27" x14ac:dyDescent="0.2">
      <c r="S702" s="228"/>
      <c r="AA702" s="228"/>
    </row>
    <row r="703" spans="19:27" x14ac:dyDescent="0.2">
      <c r="S703" s="228"/>
      <c r="AA703" s="228"/>
    </row>
    <row r="704" spans="19:27" x14ac:dyDescent="0.2">
      <c r="S704" s="228"/>
      <c r="AA704" s="228"/>
    </row>
    <row r="705" spans="19:27" x14ac:dyDescent="0.2">
      <c r="S705" s="228"/>
      <c r="AA705" s="228"/>
    </row>
    <row r="706" spans="19:27" x14ac:dyDescent="0.2">
      <c r="S706" s="228"/>
      <c r="AA706" s="228"/>
    </row>
    <row r="707" spans="19:27" x14ac:dyDescent="0.2">
      <c r="S707" s="228"/>
      <c r="AA707" s="228"/>
    </row>
    <row r="708" spans="19:27" x14ac:dyDescent="0.2">
      <c r="S708" s="228"/>
      <c r="AA708" s="228"/>
    </row>
    <row r="709" spans="19:27" x14ac:dyDescent="0.2">
      <c r="S709" s="228"/>
      <c r="AA709" s="228"/>
    </row>
    <row r="710" spans="19:27" x14ac:dyDescent="0.2">
      <c r="S710" s="228"/>
      <c r="AA710" s="228"/>
    </row>
    <row r="711" spans="19:27" x14ac:dyDescent="0.2">
      <c r="S711" s="228"/>
      <c r="AA711" s="228"/>
    </row>
    <row r="712" spans="19:27" x14ac:dyDescent="0.2">
      <c r="S712" s="228"/>
      <c r="AA712" s="228"/>
    </row>
    <row r="713" spans="19:27" x14ac:dyDescent="0.2">
      <c r="S713" s="228"/>
      <c r="AA713" s="228"/>
    </row>
    <row r="714" spans="19:27" x14ac:dyDescent="0.2">
      <c r="S714" s="228"/>
      <c r="AA714" s="228"/>
    </row>
    <row r="715" spans="19:27" x14ac:dyDescent="0.2">
      <c r="S715" s="228"/>
      <c r="AA715" s="228"/>
    </row>
    <row r="716" spans="19:27" x14ac:dyDescent="0.2">
      <c r="S716" s="228"/>
      <c r="AA716" s="228"/>
    </row>
    <row r="717" spans="19:27" x14ac:dyDescent="0.2">
      <c r="S717" s="228"/>
      <c r="AA717" s="228"/>
    </row>
    <row r="718" spans="19:27" x14ac:dyDescent="0.2">
      <c r="S718" s="228"/>
      <c r="AA718" s="228"/>
    </row>
    <row r="719" spans="19:27" x14ac:dyDescent="0.2">
      <c r="S719" s="228"/>
      <c r="AA719" s="228"/>
    </row>
    <row r="720" spans="19:27" x14ac:dyDescent="0.2">
      <c r="S720" s="228"/>
      <c r="AA720" s="228"/>
    </row>
    <row r="721" spans="19:27" x14ac:dyDescent="0.2">
      <c r="S721" s="228"/>
      <c r="AA721" s="228"/>
    </row>
    <row r="722" spans="19:27" x14ac:dyDescent="0.2">
      <c r="S722" s="228"/>
      <c r="AA722" s="228"/>
    </row>
    <row r="723" spans="19:27" x14ac:dyDescent="0.2">
      <c r="S723" s="228"/>
      <c r="AA723" s="228"/>
    </row>
    <row r="724" spans="19:27" x14ac:dyDescent="0.2">
      <c r="S724" s="228"/>
      <c r="AA724" s="228"/>
    </row>
    <row r="725" spans="19:27" x14ac:dyDescent="0.2">
      <c r="S725" s="228"/>
      <c r="AA725" s="228"/>
    </row>
    <row r="726" spans="19:27" x14ac:dyDescent="0.2">
      <c r="S726" s="228"/>
      <c r="AA726" s="228"/>
    </row>
    <row r="727" spans="19:27" x14ac:dyDescent="0.2">
      <c r="S727" s="228"/>
      <c r="AA727" s="228"/>
    </row>
    <row r="728" spans="19:27" x14ac:dyDescent="0.2">
      <c r="S728" s="228"/>
      <c r="AA728" s="228"/>
    </row>
    <row r="729" spans="19:27" x14ac:dyDescent="0.2">
      <c r="S729" s="228"/>
      <c r="AA729" s="228"/>
    </row>
    <row r="730" spans="19:27" x14ac:dyDescent="0.2">
      <c r="S730" s="228"/>
      <c r="AA730" s="228"/>
    </row>
    <row r="731" spans="19:27" x14ac:dyDescent="0.2">
      <c r="S731" s="228"/>
      <c r="AA731" s="228"/>
    </row>
    <row r="732" spans="19:27" x14ac:dyDescent="0.2">
      <c r="S732" s="228"/>
      <c r="AA732" s="228"/>
    </row>
    <row r="733" spans="19:27" x14ac:dyDescent="0.2">
      <c r="S733" s="228"/>
      <c r="AA733" s="228"/>
    </row>
    <row r="734" spans="19:27" x14ac:dyDescent="0.2">
      <c r="S734" s="228"/>
      <c r="AA734" s="228"/>
    </row>
    <row r="735" spans="19:27" x14ac:dyDescent="0.2">
      <c r="S735" s="228"/>
      <c r="AA735" s="228"/>
    </row>
    <row r="736" spans="19:27" x14ac:dyDescent="0.2">
      <c r="S736" s="228"/>
      <c r="AA736" s="228"/>
    </row>
    <row r="737" spans="19:27" x14ac:dyDescent="0.2">
      <c r="S737" s="228"/>
      <c r="AA737" s="228"/>
    </row>
    <row r="738" spans="19:27" x14ac:dyDescent="0.2">
      <c r="S738" s="228"/>
      <c r="AA738" s="228"/>
    </row>
    <row r="739" spans="19:27" x14ac:dyDescent="0.2">
      <c r="S739" s="228"/>
      <c r="AA739" s="228"/>
    </row>
    <row r="740" spans="19:27" x14ac:dyDescent="0.2">
      <c r="S740" s="228"/>
      <c r="AA740" s="228"/>
    </row>
    <row r="741" spans="19:27" x14ac:dyDescent="0.2">
      <c r="S741" s="228"/>
      <c r="AA741" s="228"/>
    </row>
    <row r="742" spans="19:27" x14ac:dyDescent="0.2">
      <c r="S742" s="228"/>
      <c r="AA742" s="228"/>
    </row>
    <row r="743" spans="19:27" x14ac:dyDescent="0.2">
      <c r="S743" s="228"/>
      <c r="AA743" s="228"/>
    </row>
    <row r="744" spans="19:27" x14ac:dyDescent="0.2">
      <c r="S744" s="228"/>
      <c r="AA744" s="228"/>
    </row>
    <row r="745" spans="19:27" x14ac:dyDescent="0.2">
      <c r="S745" s="228"/>
      <c r="AA745" s="228"/>
    </row>
    <row r="746" spans="19:27" x14ac:dyDescent="0.2">
      <c r="S746" s="228"/>
      <c r="AA746" s="228"/>
    </row>
    <row r="747" spans="19:27" x14ac:dyDescent="0.2">
      <c r="S747" s="228"/>
      <c r="AA747" s="228"/>
    </row>
    <row r="748" spans="19:27" x14ac:dyDescent="0.2">
      <c r="S748" s="228"/>
      <c r="AA748" s="228"/>
    </row>
    <row r="749" spans="19:27" x14ac:dyDescent="0.2">
      <c r="S749" s="228"/>
      <c r="AA749" s="228"/>
    </row>
    <row r="750" spans="19:27" x14ac:dyDescent="0.2">
      <c r="S750" s="228"/>
      <c r="AA750" s="228"/>
    </row>
    <row r="751" spans="19:27" x14ac:dyDescent="0.2">
      <c r="S751" s="228"/>
      <c r="AA751" s="228"/>
    </row>
    <row r="752" spans="19:27" x14ac:dyDescent="0.2">
      <c r="S752" s="228"/>
      <c r="AA752" s="228"/>
    </row>
    <row r="753" spans="19:27" x14ac:dyDescent="0.2">
      <c r="S753" s="228"/>
      <c r="AA753" s="228"/>
    </row>
    <row r="754" spans="19:27" x14ac:dyDescent="0.2">
      <c r="S754" s="228"/>
      <c r="AA754" s="228"/>
    </row>
    <row r="755" spans="19:27" x14ac:dyDescent="0.2">
      <c r="S755" s="228"/>
      <c r="AA755" s="228"/>
    </row>
    <row r="756" spans="19:27" x14ac:dyDescent="0.2">
      <c r="S756" s="228"/>
      <c r="AA756" s="228"/>
    </row>
    <row r="757" spans="19:27" x14ac:dyDescent="0.2">
      <c r="S757" s="228"/>
      <c r="AA757" s="228"/>
    </row>
    <row r="758" spans="19:27" x14ac:dyDescent="0.2">
      <c r="S758" s="228"/>
      <c r="AA758" s="228"/>
    </row>
    <row r="759" spans="19:27" x14ac:dyDescent="0.2">
      <c r="S759" s="228"/>
      <c r="AA759" s="228"/>
    </row>
    <row r="760" spans="19:27" x14ac:dyDescent="0.2">
      <c r="S760" s="228"/>
      <c r="AA760" s="228"/>
    </row>
    <row r="761" spans="19:27" x14ac:dyDescent="0.2">
      <c r="S761" s="228"/>
      <c r="AA761" s="228"/>
    </row>
    <row r="762" spans="19:27" x14ac:dyDescent="0.2">
      <c r="S762" s="228"/>
      <c r="AA762" s="228"/>
    </row>
    <row r="763" spans="19:27" x14ac:dyDescent="0.2">
      <c r="S763" s="228"/>
      <c r="AA763" s="228"/>
    </row>
    <row r="764" spans="19:27" x14ac:dyDescent="0.2">
      <c r="S764" s="228"/>
      <c r="AA764" s="228"/>
    </row>
    <row r="765" spans="19:27" x14ac:dyDescent="0.2">
      <c r="S765" s="228"/>
      <c r="AA765" s="228"/>
    </row>
    <row r="766" spans="19:27" x14ac:dyDescent="0.2">
      <c r="S766" s="228"/>
      <c r="AA766" s="228"/>
    </row>
    <row r="767" spans="19:27" x14ac:dyDescent="0.2">
      <c r="S767" s="228"/>
      <c r="AA767" s="228"/>
    </row>
    <row r="768" spans="19:27" x14ac:dyDescent="0.2">
      <c r="S768" s="228"/>
      <c r="AA768" s="228"/>
    </row>
    <row r="769" spans="19:27" x14ac:dyDescent="0.2">
      <c r="S769" s="228"/>
      <c r="AA769" s="228"/>
    </row>
    <row r="770" spans="19:27" x14ac:dyDescent="0.2">
      <c r="S770" s="228"/>
      <c r="AA770" s="228"/>
    </row>
    <row r="771" spans="19:27" x14ac:dyDescent="0.2">
      <c r="S771" s="228"/>
      <c r="AA771" s="228"/>
    </row>
    <row r="772" spans="19:27" x14ac:dyDescent="0.2">
      <c r="S772" s="228"/>
      <c r="AA772" s="228"/>
    </row>
    <row r="773" spans="19:27" x14ac:dyDescent="0.2">
      <c r="S773" s="228"/>
      <c r="AA773" s="228"/>
    </row>
    <row r="774" spans="19:27" x14ac:dyDescent="0.2">
      <c r="S774" s="228"/>
      <c r="AA774" s="228"/>
    </row>
    <row r="775" spans="19:27" x14ac:dyDescent="0.2">
      <c r="S775" s="228"/>
      <c r="AA775" s="228"/>
    </row>
    <row r="776" spans="19:27" x14ac:dyDescent="0.2">
      <c r="S776" s="228"/>
      <c r="AA776" s="228"/>
    </row>
    <row r="777" spans="19:27" x14ac:dyDescent="0.2">
      <c r="S777" s="228"/>
      <c r="AA777" s="228"/>
    </row>
    <row r="778" spans="19:27" x14ac:dyDescent="0.2">
      <c r="S778" s="228"/>
      <c r="AA778" s="228"/>
    </row>
    <row r="779" spans="19:27" x14ac:dyDescent="0.2">
      <c r="S779" s="228"/>
      <c r="AA779" s="228"/>
    </row>
    <row r="780" spans="19:27" x14ac:dyDescent="0.2">
      <c r="S780" s="228"/>
      <c r="AA780" s="228"/>
    </row>
    <row r="781" spans="19:27" x14ac:dyDescent="0.2">
      <c r="S781" s="228"/>
      <c r="AA781" s="228"/>
    </row>
    <row r="782" spans="19:27" x14ac:dyDescent="0.2">
      <c r="S782" s="228"/>
      <c r="AA782" s="228"/>
    </row>
    <row r="783" spans="19:27" x14ac:dyDescent="0.2">
      <c r="S783" s="228"/>
      <c r="AA783" s="228"/>
    </row>
    <row r="784" spans="19:27" x14ac:dyDescent="0.2">
      <c r="S784" s="228"/>
      <c r="AA784" s="228"/>
    </row>
    <row r="785" spans="19:27" x14ac:dyDescent="0.2">
      <c r="S785" s="228"/>
      <c r="AA785" s="228"/>
    </row>
    <row r="786" spans="19:27" x14ac:dyDescent="0.2">
      <c r="S786" s="228"/>
      <c r="AA786" s="228"/>
    </row>
    <row r="787" spans="19:27" x14ac:dyDescent="0.2">
      <c r="S787" s="228"/>
      <c r="AA787" s="228"/>
    </row>
    <row r="788" spans="19:27" x14ac:dyDescent="0.2">
      <c r="S788" s="228"/>
      <c r="AA788" s="228"/>
    </row>
    <row r="789" spans="19:27" x14ac:dyDescent="0.2">
      <c r="S789" s="228"/>
      <c r="AA789" s="228"/>
    </row>
    <row r="790" spans="19:27" x14ac:dyDescent="0.2">
      <c r="S790" s="228"/>
      <c r="AA790" s="228"/>
    </row>
    <row r="791" spans="19:27" x14ac:dyDescent="0.2">
      <c r="S791" s="228"/>
      <c r="AA791" s="228"/>
    </row>
    <row r="792" spans="19:27" x14ac:dyDescent="0.2">
      <c r="S792" s="228"/>
      <c r="AA792" s="228"/>
    </row>
    <row r="793" spans="19:27" x14ac:dyDescent="0.2">
      <c r="S793" s="228"/>
      <c r="AA793" s="228"/>
    </row>
    <row r="794" spans="19:27" x14ac:dyDescent="0.2">
      <c r="S794" s="228"/>
      <c r="AA794" s="228"/>
    </row>
    <row r="795" spans="19:27" x14ac:dyDescent="0.2">
      <c r="S795" s="228"/>
      <c r="AA795" s="228"/>
    </row>
    <row r="796" spans="19:27" x14ac:dyDescent="0.2">
      <c r="S796" s="228"/>
      <c r="AA796" s="228"/>
    </row>
    <row r="797" spans="19:27" x14ac:dyDescent="0.2">
      <c r="S797" s="228"/>
      <c r="AA797" s="228"/>
    </row>
    <row r="798" spans="19:27" x14ac:dyDescent="0.2">
      <c r="S798" s="228"/>
      <c r="AA798" s="228"/>
    </row>
    <row r="799" spans="19:27" x14ac:dyDescent="0.2">
      <c r="S799" s="228"/>
      <c r="AA799" s="228"/>
    </row>
    <row r="800" spans="19:27" x14ac:dyDescent="0.2">
      <c r="S800" s="228"/>
      <c r="AA800" s="228"/>
    </row>
    <row r="801" spans="19:27" x14ac:dyDescent="0.2">
      <c r="S801" s="228"/>
      <c r="AA801" s="228"/>
    </row>
    <row r="802" spans="19:27" x14ac:dyDescent="0.2">
      <c r="S802" s="228"/>
      <c r="AA802" s="228"/>
    </row>
    <row r="803" spans="19:27" x14ac:dyDescent="0.2">
      <c r="S803" s="228"/>
      <c r="AA803" s="228"/>
    </row>
    <row r="804" spans="19:27" x14ac:dyDescent="0.2">
      <c r="S804" s="228"/>
      <c r="AA804" s="228"/>
    </row>
    <row r="805" spans="19:27" x14ac:dyDescent="0.2">
      <c r="S805" s="228"/>
      <c r="AA805" s="228"/>
    </row>
    <row r="806" spans="19:27" x14ac:dyDescent="0.2">
      <c r="S806" s="228"/>
      <c r="AA806" s="228"/>
    </row>
    <row r="807" spans="19:27" x14ac:dyDescent="0.2">
      <c r="S807" s="228"/>
      <c r="AA807" s="228"/>
    </row>
    <row r="808" spans="19:27" x14ac:dyDescent="0.2">
      <c r="S808" s="228"/>
      <c r="AA808" s="228"/>
    </row>
    <row r="809" spans="19:27" x14ac:dyDescent="0.2">
      <c r="S809" s="228"/>
      <c r="AA809" s="228"/>
    </row>
    <row r="810" spans="19:27" x14ac:dyDescent="0.2">
      <c r="S810" s="228"/>
      <c r="AA810" s="228"/>
    </row>
    <row r="811" spans="19:27" x14ac:dyDescent="0.2">
      <c r="S811" s="228"/>
      <c r="AA811" s="228"/>
    </row>
    <row r="812" spans="19:27" x14ac:dyDescent="0.2">
      <c r="S812" s="228"/>
      <c r="AA812" s="228"/>
    </row>
    <row r="813" spans="19:27" x14ac:dyDescent="0.2">
      <c r="S813" s="228"/>
      <c r="AA813" s="228"/>
    </row>
    <row r="814" spans="19:27" x14ac:dyDescent="0.2">
      <c r="S814" s="228"/>
      <c r="AA814" s="228"/>
    </row>
    <row r="815" spans="19:27" x14ac:dyDescent="0.2">
      <c r="S815" s="228"/>
      <c r="AA815" s="228"/>
    </row>
    <row r="816" spans="19:27" x14ac:dyDescent="0.2">
      <c r="S816" s="228"/>
      <c r="AA816" s="228"/>
    </row>
    <row r="817" spans="19:27" x14ac:dyDescent="0.2">
      <c r="S817" s="228"/>
      <c r="AA817" s="228"/>
    </row>
    <row r="818" spans="19:27" x14ac:dyDescent="0.2">
      <c r="S818" s="228"/>
      <c r="AA818" s="228"/>
    </row>
    <row r="819" spans="19:27" x14ac:dyDescent="0.2">
      <c r="S819" s="228"/>
      <c r="AA819" s="228"/>
    </row>
    <row r="820" spans="19:27" x14ac:dyDescent="0.2">
      <c r="S820" s="228"/>
      <c r="AA820" s="228"/>
    </row>
    <row r="821" spans="19:27" x14ac:dyDescent="0.2">
      <c r="S821" s="228"/>
      <c r="AA821" s="228"/>
    </row>
    <row r="822" spans="19:27" x14ac:dyDescent="0.2">
      <c r="S822" s="228"/>
      <c r="AA822" s="228"/>
    </row>
    <row r="823" spans="19:27" x14ac:dyDescent="0.2">
      <c r="S823" s="228"/>
      <c r="AA823" s="228"/>
    </row>
    <row r="824" spans="19:27" x14ac:dyDescent="0.2">
      <c r="S824" s="228"/>
      <c r="AA824" s="228"/>
    </row>
    <row r="825" spans="19:27" x14ac:dyDescent="0.2">
      <c r="S825" s="228"/>
      <c r="AA825" s="228"/>
    </row>
    <row r="826" spans="19:27" x14ac:dyDescent="0.2">
      <c r="S826" s="228"/>
      <c r="AA826" s="228"/>
    </row>
    <row r="827" spans="19:27" x14ac:dyDescent="0.2">
      <c r="S827" s="228"/>
      <c r="AA827" s="228"/>
    </row>
    <row r="828" spans="19:27" x14ac:dyDescent="0.2">
      <c r="S828" s="228"/>
      <c r="AA828" s="228"/>
    </row>
    <row r="829" spans="19:27" x14ac:dyDescent="0.2">
      <c r="S829" s="228"/>
      <c r="AA829" s="228"/>
    </row>
    <row r="830" spans="19:27" x14ac:dyDescent="0.2">
      <c r="S830" s="228"/>
      <c r="AA830" s="228"/>
    </row>
    <row r="831" spans="19:27" x14ac:dyDescent="0.2">
      <c r="S831" s="228"/>
      <c r="AA831" s="228"/>
    </row>
    <row r="832" spans="19:27" x14ac:dyDescent="0.2">
      <c r="S832" s="228"/>
      <c r="AA832" s="228"/>
    </row>
    <row r="833" spans="19:27" x14ac:dyDescent="0.2">
      <c r="S833" s="228"/>
      <c r="AA833" s="228"/>
    </row>
    <row r="834" spans="19:27" x14ac:dyDescent="0.2">
      <c r="S834" s="228"/>
      <c r="AA834" s="228"/>
    </row>
    <row r="835" spans="19:27" x14ac:dyDescent="0.2">
      <c r="S835" s="228"/>
      <c r="AA835" s="228"/>
    </row>
    <row r="836" spans="19:27" x14ac:dyDescent="0.2">
      <c r="S836" s="228"/>
      <c r="AA836" s="228"/>
    </row>
    <row r="837" spans="19:27" x14ac:dyDescent="0.2">
      <c r="S837" s="228"/>
      <c r="AA837" s="228"/>
    </row>
    <row r="838" spans="19:27" x14ac:dyDescent="0.2">
      <c r="S838" s="228"/>
      <c r="AA838" s="228"/>
    </row>
    <row r="839" spans="19:27" x14ac:dyDescent="0.2">
      <c r="S839" s="228"/>
      <c r="AA839" s="228"/>
    </row>
    <row r="840" spans="19:27" x14ac:dyDescent="0.2">
      <c r="S840" s="228"/>
      <c r="AA840" s="228"/>
    </row>
    <row r="841" spans="19:27" x14ac:dyDescent="0.2">
      <c r="S841" s="228"/>
      <c r="AA841" s="228"/>
    </row>
    <row r="842" spans="19:27" x14ac:dyDescent="0.2">
      <c r="S842" s="228"/>
      <c r="AA842" s="228"/>
    </row>
    <row r="843" spans="19:27" x14ac:dyDescent="0.2">
      <c r="S843" s="228"/>
      <c r="AA843" s="228"/>
    </row>
    <row r="844" spans="19:27" x14ac:dyDescent="0.2">
      <c r="S844" s="228"/>
      <c r="AA844" s="228"/>
    </row>
    <row r="845" spans="19:27" x14ac:dyDescent="0.2">
      <c r="S845" s="228"/>
      <c r="AA845" s="228"/>
    </row>
    <row r="846" spans="19:27" x14ac:dyDescent="0.2">
      <c r="S846" s="228"/>
      <c r="AA846" s="228"/>
    </row>
    <row r="847" spans="19:27" x14ac:dyDescent="0.2">
      <c r="S847" s="228"/>
      <c r="AA847" s="228"/>
    </row>
    <row r="848" spans="19:27" x14ac:dyDescent="0.2">
      <c r="S848" s="228"/>
      <c r="AA848" s="228"/>
    </row>
    <row r="849" spans="19:27" x14ac:dyDescent="0.2">
      <c r="S849" s="228"/>
      <c r="AA849" s="228"/>
    </row>
    <row r="850" spans="19:27" x14ac:dyDescent="0.2">
      <c r="S850" s="228"/>
      <c r="AA850" s="228"/>
    </row>
    <row r="851" spans="19:27" x14ac:dyDescent="0.2">
      <c r="S851" s="228"/>
      <c r="AA851" s="228"/>
    </row>
    <row r="852" spans="19:27" x14ac:dyDescent="0.2">
      <c r="S852" s="228"/>
      <c r="AA852" s="228"/>
    </row>
    <row r="853" spans="19:27" x14ac:dyDescent="0.2">
      <c r="S853" s="228"/>
      <c r="AA853" s="228"/>
    </row>
    <row r="854" spans="19:27" x14ac:dyDescent="0.2">
      <c r="S854" s="228"/>
      <c r="AA854" s="228"/>
    </row>
    <row r="855" spans="19:27" x14ac:dyDescent="0.2">
      <c r="S855" s="228"/>
      <c r="AA855" s="228"/>
    </row>
    <row r="856" spans="19:27" x14ac:dyDescent="0.2">
      <c r="S856" s="228"/>
      <c r="AA856" s="228"/>
    </row>
    <row r="857" spans="19:27" x14ac:dyDescent="0.2">
      <c r="S857" s="228"/>
      <c r="AA857" s="228"/>
    </row>
    <row r="858" spans="19:27" x14ac:dyDescent="0.2">
      <c r="S858" s="228"/>
      <c r="AA858" s="228"/>
    </row>
    <row r="859" spans="19:27" x14ac:dyDescent="0.2">
      <c r="S859" s="228"/>
      <c r="AA859" s="228"/>
    </row>
    <row r="860" spans="19:27" x14ac:dyDescent="0.2">
      <c r="S860" s="228"/>
      <c r="AA860" s="228"/>
    </row>
    <row r="861" spans="19:27" x14ac:dyDescent="0.2">
      <c r="S861" s="228"/>
      <c r="AA861" s="228"/>
    </row>
    <row r="862" spans="19:27" x14ac:dyDescent="0.2">
      <c r="S862" s="228"/>
      <c r="AA862" s="228"/>
    </row>
    <row r="863" spans="19:27" x14ac:dyDescent="0.2">
      <c r="S863" s="228"/>
      <c r="AA863" s="228"/>
    </row>
    <row r="864" spans="19:27" x14ac:dyDescent="0.2">
      <c r="S864" s="228"/>
      <c r="AA864" s="228"/>
    </row>
    <row r="865" spans="19:27" x14ac:dyDescent="0.2">
      <c r="S865" s="228"/>
      <c r="AA865" s="228"/>
    </row>
    <row r="866" spans="19:27" x14ac:dyDescent="0.2">
      <c r="S866" s="228"/>
      <c r="AA866" s="228"/>
    </row>
    <row r="867" spans="19:27" x14ac:dyDescent="0.2">
      <c r="S867" s="228"/>
      <c r="AA867" s="228"/>
    </row>
    <row r="868" spans="19:27" x14ac:dyDescent="0.2">
      <c r="S868" s="228"/>
      <c r="AA868" s="228"/>
    </row>
    <row r="869" spans="19:27" x14ac:dyDescent="0.2">
      <c r="S869" s="228"/>
      <c r="AA869" s="228"/>
    </row>
    <row r="870" spans="19:27" x14ac:dyDescent="0.2">
      <c r="S870" s="228"/>
      <c r="AA870" s="228"/>
    </row>
    <row r="871" spans="19:27" x14ac:dyDescent="0.2">
      <c r="S871" s="228"/>
      <c r="AA871" s="228"/>
    </row>
    <row r="872" spans="19:27" x14ac:dyDescent="0.2">
      <c r="S872" s="228"/>
      <c r="AA872" s="228"/>
    </row>
    <row r="873" spans="19:27" x14ac:dyDescent="0.2">
      <c r="S873" s="228"/>
      <c r="AA873" s="228"/>
    </row>
    <row r="874" spans="19:27" x14ac:dyDescent="0.2">
      <c r="S874" s="228"/>
      <c r="AA874" s="228"/>
    </row>
    <row r="875" spans="19:27" x14ac:dyDescent="0.2">
      <c r="S875" s="228"/>
      <c r="AA875" s="228"/>
    </row>
    <row r="876" spans="19:27" x14ac:dyDescent="0.2">
      <c r="S876" s="228"/>
      <c r="AA876" s="228"/>
    </row>
    <row r="877" spans="19:27" x14ac:dyDescent="0.2">
      <c r="S877" s="228"/>
      <c r="AA877" s="228"/>
    </row>
    <row r="878" spans="19:27" x14ac:dyDescent="0.2">
      <c r="S878" s="228"/>
      <c r="AA878" s="228"/>
    </row>
    <row r="879" spans="19:27" x14ac:dyDescent="0.2">
      <c r="S879" s="228"/>
      <c r="AA879" s="228"/>
    </row>
    <row r="880" spans="19:27" x14ac:dyDescent="0.2">
      <c r="S880" s="228"/>
      <c r="AA880" s="228"/>
    </row>
    <row r="881" spans="19:27" x14ac:dyDescent="0.2">
      <c r="S881" s="228"/>
      <c r="AA881" s="228"/>
    </row>
    <row r="882" spans="19:27" x14ac:dyDescent="0.2">
      <c r="S882" s="228"/>
      <c r="AA882" s="228"/>
    </row>
    <row r="883" spans="19:27" x14ac:dyDescent="0.2">
      <c r="S883" s="228"/>
      <c r="AA883" s="228"/>
    </row>
    <row r="884" spans="19:27" x14ac:dyDescent="0.2">
      <c r="S884" s="228"/>
      <c r="AA884" s="228"/>
    </row>
    <row r="885" spans="19:27" x14ac:dyDescent="0.2">
      <c r="S885" s="228"/>
      <c r="AA885" s="228"/>
    </row>
    <row r="886" spans="19:27" x14ac:dyDescent="0.2">
      <c r="S886" s="228"/>
      <c r="AA886" s="228"/>
    </row>
    <row r="887" spans="19:27" x14ac:dyDescent="0.2">
      <c r="S887" s="228"/>
      <c r="AA887" s="228"/>
    </row>
    <row r="888" spans="19:27" x14ac:dyDescent="0.2">
      <c r="S888" s="228"/>
      <c r="AA888" s="228"/>
    </row>
    <row r="889" spans="19:27" x14ac:dyDescent="0.2">
      <c r="S889" s="228"/>
      <c r="AA889" s="228"/>
    </row>
    <row r="890" spans="19:27" x14ac:dyDescent="0.2">
      <c r="S890" s="228"/>
      <c r="AA890" s="228"/>
    </row>
    <row r="891" spans="19:27" x14ac:dyDescent="0.2">
      <c r="S891" s="228"/>
      <c r="AA891" s="228"/>
    </row>
    <row r="892" spans="19:27" x14ac:dyDescent="0.2">
      <c r="S892" s="228"/>
      <c r="AA892" s="228"/>
    </row>
    <row r="893" spans="19:27" x14ac:dyDescent="0.2">
      <c r="S893" s="228"/>
      <c r="AA893" s="228"/>
    </row>
    <row r="894" spans="19:27" x14ac:dyDescent="0.2">
      <c r="S894" s="228"/>
      <c r="AA894" s="228"/>
    </row>
    <row r="895" spans="19:27" x14ac:dyDescent="0.2">
      <c r="S895" s="228"/>
      <c r="AA895" s="228"/>
    </row>
    <row r="896" spans="19:27" x14ac:dyDescent="0.2">
      <c r="S896" s="228"/>
      <c r="AA896" s="228"/>
    </row>
    <row r="897" spans="19:27" x14ac:dyDescent="0.2">
      <c r="S897" s="228"/>
      <c r="AA897" s="228"/>
    </row>
    <row r="898" spans="19:27" x14ac:dyDescent="0.2">
      <c r="S898" s="228"/>
      <c r="AA898" s="228"/>
    </row>
    <row r="899" spans="19:27" x14ac:dyDescent="0.2">
      <c r="S899" s="228"/>
      <c r="AA899" s="228"/>
    </row>
    <row r="900" spans="19:27" x14ac:dyDescent="0.2">
      <c r="S900" s="228"/>
      <c r="AA900" s="228"/>
    </row>
    <row r="901" spans="19:27" x14ac:dyDescent="0.2">
      <c r="S901" s="228"/>
      <c r="AA901" s="228"/>
    </row>
    <row r="902" spans="19:27" x14ac:dyDescent="0.2">
      <c r="S902" s="228"/>
      <c r="AA902" s="228"/>
    </row>
    <row r="903" spans="19:27" x14ac:dyDescent="0.2">
      <c r="S903" s="228"/>
      <c r="AA903" s="228"/>
    </row>
    <row r="904" spans="19:27" x14ac:dyDescent="0.2">
      <c r="S904" s="228"/>
      <c r="AA904" s="228"/>
    </row>
    <row r="905" spans="19:27" x14ac:dyDescent="0.2">
      <c r="S905" s="228"/>
      <c r="AA905" s="228"/>
    </row>
    <row r="906" spans="19:27" x14ac:dyDescent="0.2">
      <c r="S906" s="228"/>
      <c r="AA906" s="228"/>
    </row>
    <row r="907" spans="19:27" x14ac:dyDescent="0.2">
      <c r="S907" s="228"/>
      <c r="AA907" s="228"/>
    </row>
    <row r="908" spans="19:27" x14ac:dyDescent="0.2">
      <c r="S908" s="228"/>
      <c r="AA908" s="228"/>
    </row>
    <row r="909" spans="19:27" x14ac:dyDescent="0.2">
      <c r="S909" s="228"/>
      <c r="AA909" s="228"/>
    </row>
    <row r="910" spans="19:27" x14ac:dyDescent="0.2">
      <c r="S910" s="228"/>
      <c r="AA910" s="228"/>
    </row>
    <row r="911" spans="19:27" x14ac:dyDescent="0.2">
      <c r="S911" s="228"/>
      <c r="AA911" s="228"/>
    </row>
    <row r="912" spans="19:27" x14ac:dyDescent="0.2">
      <c r="S912" s="228"/>
      <c r="AA912" s="228"/>
    </row>
    <row r="913" spans="19:27" x14ac:dyDescent="0.2">
      <c r="S913" s="228"/>
      <c r="AA913" s="228"/>
    </row>
    <row r="914" spans="19:27" x14ac:dyDescent="0.2">
      <c r="S914" s="228"/>
      <c r="AA914" s="228"/>
    </row>
    <row r="915" spans="19:27" x14ac:dyDescent="0.2">
      <c r="S915" s="228"/>
      <c r="AA915" s="228"/>
    </row>
    <row r="916" spans="19:27" x14ac:dyDescent="0.2">
      <c r="S916" s="228"/>
      <c r="AA916" s="228"/>
    </row>
    <row r="917" spans="19:27" x14ac:dyDescent="0.2">
      <c r="S917" s="228"/>
      <c r="AA917" s="228"/>
    </row>
    <row r="918" spans="19:27" x14ac:dyDescent="0.2">
      <c r="S918" s="228"/>
      <c r="AA918" s="228"/>
    </row>
    <row r="919" spans="19:27" x14ac:dyDescent="0.2">
      <c r="S919" s="228"/>
      <c r="AA919" s="228"/>
    </row>
    <row r="920" spans="19:27" x14ac:dyDescent="0.2">
      <c r="S920" s="228"/>
      <c r="AA920" s="228"/>
    </row>
    <row r="921" spans="19:27" x14ac:dyDescent="0.2">
      <c r="S921" s="228"/>
      <c r="AA921" s="228"/>
    </row>
    <row r="922" spans="19:27" x14ac:dyDescent="0.2">
      <c r="S922" s="228"/>
      <c r="AA922" s="228"/>
    </row>
    <row r="923" spans="19:27" x14ac:dyDescent="0.2">
      <c r="S923" s="228"/>
      <c r="AA923" s="228"/>
    </row>
    <row r="924" spans="19:27" x14ac:dyDescent="0.2">
      <c r="S924" s="228"/>
      <c r="AA924" s="228"/>
    </row>
    <row r="925" spans="19:27" x14ac:dyDescent="0.2">
      <c r="S925" s="228"/>
      <c r="AA925" s="228"/>
    </row>
    <row r="926" spans="19:27" x14ac:dyDescent="0.2">
      <c r="S926" s="228"/>
      <c r="AA926" s="228"/>
    </row>
    <row r="927" spans="19:27" x14ac:dyDescent="0.2">
      <c r="S927" s="228"/>
      <c r="AA927" s="228"/>
    </row>
    <row r="928" spans="19:27" x14ac:dyDescent="0.2">
      <c r="S928" s="228"/>
      <c r="AA928" s="228"/>
    </row>
    <row r="929" spans="19:27" x14ac:dyDescent="0.2">
      <c r="S929" s="228"/>
      <c r="AA929" s="228"/>
    </row>
    <row r="930" spans="19:27" x14ac:dyDescent="0.2">
      <c r="S930" s="228"/>
      <c r="AA930" s="228"/>
    </row>
    <row r="931" spans="19:27" x14ac:dyDescent="0.2">
      <c r="S931" s="228"/>
      <c r="AA931" s="228"/>
    </row>
    <row r="932" spans="19:27" x14ac:dyDescent="0.2">
      <c r="S932" s="228"/>
      <c r="AA932" s="228"/>
    </row>
    <row r="933" spans="19:27" x14ac:dyDescent="0.2">
      <c r="S933" s="228"/>
      <c r="AA933" s="228"/>
    </row>
    <row r="934" spans="19:27" x14ac:dyDescent="0.2">
      <c r="S934" s="228"/>
      <c r="AA934" s="228"/>
    </row>
    <row r="935" spans="19:27" x14ac:dyDescent="0.2">
      <c r="S935" s="228"/>
      <c r="AA935" s="228"/>
    </row>
    <row r="936" spans="19:27" x14ac:dyDescent="0.2">
      <c r="S936" s="228"/>
      <c r="AA936" s="228"/>
    </row>
    <row r="937" spans="19:27" x14ac:dyDescent="0.2">
      <c r="S937" s="228"/>
      <c r="AA937" s="228"/>
    </row>
    <row r="938" spans="19:27" x14ac:dyDescent="0.2">
      <c r="S938" s="228"/>
      <c r="AA938" s="228"/>
    </row>
    <row r="939" spans="19:27" x14ac:dyDescent="0.2">
      <c r="S939" s="228"/>
      <c r="AA939" s="228"/>
    </row>
    <row r="940" spans="19:27" x14ac:dyDescent="0.2">
      <c r="S940" s="228"/>
      <c r="AA940" s="228"/>
    </row>
    <row r="941" spans="19:27" x14ac:dyDescent="0.2">
      <c r="S941" s="228"/>
      <c r="AA941" s="228"/>
    </row>
    <row r="942" spans="19:27" x14ac:dyDescent="0.2">
      <c r="S942" s="228"/>
      <c r="AA942" s="228"/>
    </row>
    <row r="943" spans="19:27" x14ac:dyDescent="0.2">
      <c r="S943" s="228"/>
      <c r="AA943" s="228"/>
    </row>
    <row r="944" spans="19:27" x14ac:dyDescent="0.2">
      <c r="S944" s="228"/>
      <c r="AA944" s="228"/>
    </row>
    <row r="945" spans="19:27" x14ac:dyDescent="0.2">
      <c r="S945" s="228"/>
      <c r="AA945" s="228"/>
    </row>
    <row r="946" spans="19:27" x14ac:dyDescent="0.2">
      <c r="S946" s="228"/>
      <c r="AA946" s="228"/>
    </row>
    <row r="947" spans="19:27" x14ac:dyDescent="0.2">
      <c r="S947" s="228"/>
      <c r="AA947" s="228"/>
    </row>
    <row r="948" spans="19:27" x14ac:dyDescent="0.2">
      <c r="S948" s="228"/>
      <c r="AA948" s="228"/>
    </row>
    <row r="949" spans="19:27" x14ac:dyDescent="0.2">
      <c r="S949" s="228"/>
      <c r="AA949" s="228"/>
    </row>
    <row r="950" spans="19:27" x14ac:dyDescent="0.2">
      <c r="S950" s="228"/>
      <c r="AA950" s="228"/>
    </row>
    <row r="951" spans="19:27" x14ac:dyDescent="0.2">
      <c r="S951" s="228"/>
      <c r="AA951" s="228"/>
    </row>
    <row r="952" spans="19:27" x14ac:dyDescent="0.2">
      <c r="S952" s="228"/>
      <c r="AA952" s="228"/>
    </row>
    <row r="953" spans="19:27" x14ac:dyDescent="0.2">
      <c r="S953" s="228"/>
      <c r="AA953" s="228"/>
    </row>
    <row r="954" spans="19:27" x14ac:dyDescent="0.2">
      <c r="S954" s="228"/>
      <c r="AA954" s="228"/>
    </row>
    <row r="955" spans="19:27" x14ac:dyDescent="0.2">
      <c r="S955" s="228"/>
      <c r="AA955" s="228"/>
    </row>
    <row r="956" spans="19:27" x14ac:dyDescent="0.2">
      <c r="S956" s="228"/>
      <c r="AA956" s="228"/>
    </row>
    <row r="957" spans="19:27" x14ac:dyDescent="0.2">
      <c r="S957" s="228"/>
      <c r="AA957" s="228"/>
    </row>
    <row r="958" spans="19:27" x14ac:dyDescent="0.2">
      <c r="S958" s="228"/>
      <c r="AA958" s="228"/>
    </row>
    <row r="959" spans="19:27" x14ac:dyDescent="0.2">
      <c r="S959" s="228"/>
      <c r="AA959" s="228"/>
    </row>
    <row r="960" spans="19:27" x14ac:dyDescent="0.2">
      <c r="S960" s="228"/>
      <c r="AA960" s="228"/>
    </row>
    <row r="961" spans="19:27" x14ac:dyDescent="0.2">
      <c r="S961" s="228"/>
      <c r="AA961" s="228"/>
    </row>
    <row r="962" spans="19:27" x14ac:dyDescent="0.2">
      <c r="S962" s="228"/>
      <c r="AA962" s="228"/>
    </row>
    <row r="963" spans="19:27" x14ac:dyDescent="0.2">
      <c r="S963" s="228"/>
      <c r="AA963" s="228"/>
    </row>
    <row r="964" spans="19:27" x14ac:dyDescent="0.2">
      <c r="S964" s="228"/>
      <c r="AA964" s="228"/>
    </row>
    <row r="965" spans="19:27" x14ac:dyDescent="0.2">
      <c r="S965" s="228"/>
      <c r="AA965" s="228"/>
    </row>
    <row r="966" spans="19:27" x14ac:dyDescent="0.2">
      <c r="S966" s="228"/>
      <c r="AA966" s="228"/>
    </row>
    <row r="967" spans="19:27" x14ac:dyDescent="0.2">
      <c r="S967" s="228"/>
      <c r="AA967" s="228"/>
    </row>
    <row r="968" spans="19:27" x14ac:dyDescent="0.2">
      <c r="S968" s="228"/>
      <c r="AA968" s="228"/>
    </row>
    <row r="969" spans="19:27" x14ac:dyDescent="0.2">
      <c r="S969" s="228"/>
      <c r="AA969" s="228"/>
    </row>
    <row r="970" spans="19:27" x14ac:dyDescent="0.2">
      <c r="S970" s="228"/>
      <c r="AA970" s="228"/>
    </row>
    <row r="971" spans="19:27" x14ac:dyDescent="0.2">
      <c r="S971" s="228"/>
      <c r="AA971" s="228"/>
    </row>
    <row r="972" spans="19:27" x14ac:dyDescent="0.2">
      <c r="S972" s="228"/>
      <c r="AA972" s="228"/>
    </row>
    <row r="973" spans="19:27" x14ac:dyDescent="0.2">
      <c r="S973" s="228"/>
      <c r="AA973" s="228"/>
    </row>
    <row r="974" spans="19:27" x14ac:dyDescent="0.2">
      <c r="S974" s="228"/>
      <c r="AA974" s="228"/>
    </row>
    <row r="975" spans="19:27" x14ac:dyDescent="0.2">
      <c r="S975" s="228"/>
      <c r="AA975" s="228"/>
    </row>
    <row r="976" spans="19:27" x14ac:dyDescent="0.2">
      <c r="S976" s="228"/>
      <c r="AA976" s="228"/>
    </row>
    <row r="977" spans="19:27" x14ac:dyDescent="0.2">
      <c r="S977" s="228"/>
      <c r="AA977" s="228"/>
    </row>
    <row r="978" spans="19:27" x14ac:dyDescent="0.2">
      <c r="S978" s="228"/>
      <c r="AA978" s="228"/>
    </row>
    <row r="979" spans="19:27" x14ac:dyDescent="0.2">
      <c r="S979" s="228"/>
      <c r="AA979" s="228"/>
    </row>
    <row r="980" spans="19:27" x14ac:dyDescent="0.2">
      <c r="S980" s="228"/>
      <c r="AA980" s="228"/>
    </row>
    <row r="981" spans="19:27" x14ac:dyDescent="0.2">
      <c r="S981" s="228"/>
      <c r="AA981" s="228"/>
    </row>
    <row r="982" spans="19:27" x14ac:dyDescent="0.2">
      <c r="S982" s="228"/>
      <c r="AA982" s="228"/>
    </row>
    <row r="983" spans="19:27" x14ac:dyDescent="0.2">
      <c r="S983" s="228"/>
      <c r="AA983" s="228"/>
    </row>
    <row r="984" spans="19:27" x14ac:dyDescent="0.2">
      <c r="S984" s="228"/>
      <c r="AA984" s="228"/>
    </row>
    <row r="985" spans="19:27" x14ac:dyDescent="0.2">
      <c r="S985" s="228"/>
      <c r="AA985" s="228"/>
    </row>
    <row r="986" spans="19:27" x14ac:dyDescent="0.2">
      <c r="S986" s="228"/>
      <c r="AA986" s="228"/>
    </row>
    <row r="987" spans="19:27" x14ac:dyDescent="0.2">
      <c r="S987" s="228"/>
      <c r="AA987" s="228"/>
    </row>
    <row r="988" spans="19:27" x14ac:dyDescent="0.2">
      <c r="S988" s="228"/>
      <c r="AA988" s="228"/>
    </row>
    <row r="989" spans="19:27" x14ac:dyDescent="0.2">
      <c r="S989" s="228"/>
      <c r="AA989" s="228"/>
    </row>
    <row r="990" spans="19:27" x14ac:dyDescent="0.2">
      <c r="S990" s="228"/>
      <c r="AA990" s="228"/>
    </row>
    <row r="991" spans="19:27" x14ac:dyDescent="0.2">
      <c r="S991" s="228"/>
      <c r="AA991" s="228"/>
    </row>
    <row r="992" spans="19:27" x14ac:dyDescent="0.2">
      <c r="S992" s="228"/>
      <c r="AA992" s="228"/>
    </row>
    <row r="993" spans="19:27" x14ac:dyDescent="0.2">
      <c r="S993" s="228"/>
      <c r="AA993" s="228"/>
    </row>
    <row r="994" spans="19:27" x14ac:dyDescent="0.2">
      <c r="S994" s="228"/>
      <c r="AA994" s="228"/>
    </row>
    <row r="995" spans="19:27" x14ac:dyDescent="0.2">
      <c r="S995" s="228"/>
      <c r="AA995" s="228"/>
    </row>
    <row r="996" spans="19:27" x14ac:dyDescent="0.2">
      <c r="S996" s="228"/>
      <c r="AA996" s="228"/>
    </row>
    <row r="997" spans="19:27" x14ac:dyDescent="0.2">
      <c r="S997" s="228"/>
      <c r="AA997" s="228"/>
    </row>
    <row r="998" spans="19:27" x14ac:dyDescent="0.2">
      <c r="S998" s="228"/>
      <c r="AA998" s="228"/>
    </row>
    <row r="999" spans="19:27" x14ac:dyDescent="0.2">
      <c r="S999" s="228"/>
      <c r="AA999" s="228"/>
    </row>
    <row r="1000" spans="19:27" x14ac:dyDescent="0.2">
      <c r="S1000" s="228"/>
      <c r="AA1000" s="228"/>
    </row>
  </sheetData>
  <mergeCells count="1">
    <mergeCell ref="K2:L2"/>
  </mergeCells>
  <conditionalFormatting sqref="K2 M2">
    <cfRule type="cellIs" dxfId="132" priority="2" operator="equal">
      <formula>"COPY FORMULAS DOWN !!!"</formula>
    </cfRule>
  </conditionalFormatting>
  <conditionalFormatting sqref="K2:M2">
    <cfRule type="cellIs" dxfId="131" priority="1" operator="equal">
      <formula>"OK"</formula>
    </cfRule>
  </conditionalFormatting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22</vt:i4>
      </vt:variant>
    </vt:vector>
  </HeadingPairs>
  <TitlesOfParts>
    <vt:vector size="22" baseType="lpstr">
      <vt:lpstr>Adjusted Ageing (2)</vt:lpstr>
      <vt:lpstr>Calculations &gt;&gt;</vt:lpstr>
      <vt:lpstr>Data for wholesale</vt:lpstr>
      <vt:lpstr>Adj Ageing by Brand</vt:lpstr>
      <vt:lpstr>TM1 weekly</vt:lpstr>
      <vt:lpstr>DATA 2</vt:lpstr>
      <vt:lpstr>AR Provision</vt:lpstr>
      <vt:lpstr>By Brands(for WCAP)</vt:lpstr>
      <vt:lpstr>Adjusted Ageing by Customer</vt:lpstr>
      <vt:lpstr>Pivots</vt:lpstr>
      <vt:lpstr>Sheet1</vt:lpstr>
      <vt:lpstr>Источник &gt;&gt;</vt:lpstr>
      <vt:lpstr>Отчет по покупателям УТ</vt:lpstr>
      <vt:lpstr>Справочники &gt;&gt;</vt:lpstr>
      <vt:lpstr>Credit Days</vt:lpstr>
      <vt:lpstr>Days Ranges</vt:lpstr>
      <vt:lpstr>Brands</vt:lpstr>
      <vt:lpstr>Check 1S 62 vs UT</vt:lpstr>
      <vt:lpstr>UT</vt:lpstr>
      <vt:lpstr>WB</vt:lpstr>
      <vt:lpstr>End of Mar Copy from УТ</vt:lpstr>
      <vt:lpstr>Щербакова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Ilya.Stelmakh</dc:creator>
  <cp:lastModifiedBy>t.tyuleneva</cp:lastModifiedBy>
  <dcterms:created xsi:type="dcterms:W3CDTF">2021-05-11T08:08:14Z</dcterms:created>
  <dcterms:modified xsi:type="dcterms:W3CDTF">2021-09-15T09:19:35Z</dcterms:modified>
</cp:coreProperties>
</file>